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KW FinderKeyword Gap Analysis" sheetId="2" r:id="rId5"/>
    <sheet state="visible" name="Whitetail" sheetId="3" r:id="rId6"/>
    <sheet state="visible" name="Mule Deer" sheetId="4" r:id="rId7"/>
    <sheet state="visible" name="WhatWhen" sheetId="5" r:id="rId8"/>
    <sheet state="visible" name="All deer keywords" sheetId="6" r:id="rId9"/>
  </sheets>
  <definedNames>
    <definedName hidden="1" localSheetId="5" name="_xlnm._FilterDatabase">'All deer keywords'!$A$1:$J$1194</definedName>
  </definedNames>
  <calcPr/>
</workbook>
</file>

<file path=xl/sharedStrings.xml><?xml version="1.0" encoding="utf-8"?>
<sst xmlns="http://schemas.openxmlformats.org/spreadsheetml/2006/main" count="9569" uniqueCount="2009">
  <si>
    <t>Overview:</t>
  </si>
  <si>
    <t>This project involved implementing a sophisticated system for analyzing deerr keywords, aimed at revolutionizing keyword research capabilities.</t>
  </si>
  <si>
    <t>Key highlights include:</t>
  </si>
  <si>
    <t>Comprehensive Keyword Analysis System: Developed a robust system for analyzing deer keywords, resulting in a profound enhancement of keyword research capabilities.</t>
  </si>
  <si>
    <t>Extensive Keyword Compilation: Compiled an exhaustive list of deer keywords covering various categories, providing a comprehensive database for research purposes.</t>
  </si>
  <si>
    <t>Refined Keyword Filtering: Utilized advanced formulas such as Query to filter out keywords containing specific terms, optimizing the analysis of upper funnel keyword categories.</t>
  </si>
  <si>
    <t>Efficient Data Extraction: Leveraged the power of the Xlookup formula to efficiently extract ranking data, offering valuable insights into keyword performance.</t>
  </si>
  <si>
    <t>User-Friendly Interface: Designed a user-friendly KW Finder tab that enables quick filtering and access to data for any deer-related keyword, enhancing usability and efficiency for the team.</t>
  </si>
  <si>
    <t>Streamlined Content Planning: Simplified the process of identifying target keywords for content creation, facilitating the team in planning and executing focused series on specific topics like "whitetail."</t>
  </si>
  <si>
    <t>Enhanced Decision-Making: Significantly improved efficiency and accuracy in keyword analysis, empowering the team to make data-driven decisions for content strategy and optimization.</t>
  </si>
  <si>
    <t>In summary, this project revolutionized deer keyword analysis, providing powerful tools and insights to drive informed content strategies and optimizations.</t>
  </si>
  <si>
    <t>Type keyoword in B1, 
then press Enter</t>
  </si>
  <si>
    <t>deer</t>
  </si>
  <si>
    <t>Keyword Data</t>
  </si>
  <si>
    <t>Keyword Gap Analysis</t>
  </si>
  <si>
    <t>The Meat Eater Data</t>
  </si>
  <si>
    <t>Ranking Position</t>
  </si>
  <si>
    <t>Ranking URL</t>
  </si>
  <si>
    <t>Keyword</t>
  </si>
  <si>
    <t>Search Volume</t>
  </si>
  <si>
    <t>The Meat Eater</t>
  </si>
  <si>
    <t>Realtree</t>
  </si>
  <si>
    <t>Wide Open Spaces</t>
  </si>
  <si>
    <t>how to gut a deer</t>
  </si>
  <si>
    <t>2900</t>
  </si>
  <si>
    <t>1</t>
  </si>
  <si>
    <t>4</t>
  </si>
  <si>
    <t>61</t>
  </si>
  <si>
    <t>https://www.themeateater.com/hunt/whitetail-deer/how-to-gut-a-deer</t>
  </si>
  <si>
    <t>https://realtree.com/timber-2-table-wild-game-recipes/how-to-gut-a-deer-in-6-steps</t>
  </si>
  <si>
    <t>https://www.wideopenspaces.com/salvage-gut-shot-deer/</t>
  </si>
  <si>
    <t>how to tan a deer hide</t>
  </si>
  <si>
    <t>1600</t>
  </si>
  <si>
    <t>Not ranking</t>
  </si>
  <si>
    <t>9</t>
  </si>
  <si>
    <t>https://www.themeateater.com/cook/butchering-and-processing/how-to-tan-a-deer-hide</t>
  </si>
  <si>
    <t>https://www.wideopenspaces.com/7-steps-tanning-deer-hide-easier-think/</t>
  </si>
  <si>
    <t>deer hunt 223</t>
  </si>
  <si>
    <t>1300</t>
  </si>
  <si>
    <t>https://www.themeateater.com/wired-to-hunt/whitetail-hunting-gear/this-cartridge-doesnt-get-enough-love-from-deer-hunters</t>
  </si>
  <si>
    <t>whitetail deer hunting</t>
  </si>
  <si>
    <t>66</t>
  </si>
  <si>
    <t>https://www.themeateater.com/hunt/big-game/tips-and-trick-for-hunting-whitetail-deer</t>
  </si>
  <si>
    <t>https://realtree.com/deer-hunting</t>
  </si>
  <si>
    <t>223 deer hunting</t>
  </si>
  <si>
    <t>1000</t>
  </si>
  <si>
    <t>19</t>
  </si>
  <si>
    <t>https://realtree.com/brow-tines-and-backstrap/why-you-should-use-an-ar-15-as-a-deer-rifle</t>
  </si>
  <si>
    <t>hunt deer with 223</t>
  </si>
  <si>
    <t>28</t>
  </si>
  <si>
    <t>hunting deer with a 223</t>
  </si>
  <si>
    <t>34</t>
  </si>
  <si>
    <t>pallet deer blind</t>
  </si>
  <si>
    <t>30</t>
  </si>
  <si>
    <t>https://www.themeateater.com/hunt/whitetail-deer/photos-how-to-build-a-deer-blind-from-pallets</t>
  </si>
  <si>
    <t>https://www.wideopenspaces.com/the-best-diy-hunting-blinds-you-can-possibly-make-this-soon-before-the-season/</t>
  </si>
  <si>
    <t>deer bedding</t>
  </si>
  <si>
    <t>880</t>
  </si>
  <si>
    <t>3</t>
  </si>
  <si>
    <t>https://www.themeateater.com/wired-to-hunt/whitetail-scouting/how-to-find-whitetail-buck-bedding</t>
  </si>
  <si>
    <t>https://realtree.com/deer-hunting/articles/how-to-hunt-big-buck-bedding-areas</t>
  </si>
  <si>
    <t>223 for deer hunting</t>
  </si>
  <si>
    <t>590</t>
  </si>
  <si>
    <t>36</t>
  </si>
  <si>
    <t>where to shoot a deer</t>
  </si>
  <si>
    <t>14800</t>
  </si>
  <si>
    <t>2</t>
  </si>
  <si>
    <t>27</t>
  </si>
  <si>
    <t>12</t>
  </si>
  <si>
    <t>https://www.themeateater.com/wired-to-hunt/whitetail-hunting/where-to-shoot-a-deer</t>
  </si>
  <si>
    <t>https://realtree.com/deer-hunting/articles/the-best-shot-placement-on-deer</t>
  </si>
  <si>
    <t>https://www.wideopenspaces.com/where-to-shoot-a-deer-for-the-best-odds-of-a-quick-kill/</t>
  </si>
  <si>
    <t>deer camp</t>
  </si>
  <si>
    <t>1900</t>
  </si>
  <si>
    <t>48</t>
  </si>
  <si>
    <t>https://www.themeateater.com/hunt/whitetail-deer/american-deer-camps-a-dying-tradition</t>
  </si>
  <si>
    <t>https://realtree.com/deer-hunting/articles/10-rules-for-deer-camp</t>
  </si>
  <si>
    <t>deer sausage recipe</t>
  </si>
  <si>
    <t>https://www.themeateater.com/cook/recipes/the-only-venison-breakfast-sausage-recipe-you-need</t>
  </si>
  <si>
    <t>https://realtree.com/timber-2-table-wild-game-recipes/venison-and-pork-sweet-italian-sausage-links-recipe</t>
  </si>
  <si>
    <t>are deer color blind</t>
  </si>
  <si>
    <t>59</t>
  </si>
  <si>
    <t>44</t>
  </si>
  <si>
    <t>https://www.themeateater.com/wired-to-hunt/whitetail-hunting/deer-vision-how-whitetails-see-color-light-and-movement</t>
  </si>
  <si>
    <t>https://realtree.com/all/articles/what-deer-really-see</t>
  </si>
  <si>
    <t>https://www.wideopenspaces.com/are-deer-actually-color-blind/</t>
  </si>
  <si>
    <t>mule deer hunting</t>
  </si>
  <si>
    <t>75</t>
  </si>
  <si>
    <t>https://www.themeateater.com/hunt/big-game/ask-meateater-where-should-i-go-on-my-first-mule-deer-hunt</t>
  </si>
  <si>
    <t>https://realtree.com/big-game-hunting/articles/plan-your-public-mule-deer-hunt-now</t>
  </si>
  <si>
    <t>do coyotes eat deer</t>
  </si>
  <si>
    <t>20</t>
  </si>
  <si>
    <t>https://www.themeateater.com/conservation/wildlife-management/coyotes-kill-deer-not-deer-herds</t>
  </si>
  <si>
    <t>https://www.wideopenspaces.com/coyote-vs-deer/</t>
  </si>
  <si>
    <t>field dressing deer</t>
  </si>
  <si>
    <t>15</t>
  </si>
  <si>
    <t>84</t>
  </si>
  <si>
    <t>https://www.themeateater.com/watch/6175620095001/how-to-field-dress-a-deer-with-steven-rinella</t>
  </si>
  <si>
    <t>https://realtree.com/deer-hunting/articles/7-serious-field-dressing-mistakes</t>
  </si>
  <si>
    <t>https://www.wideopenspaces.com/field-dressing-deer-with-gloves/</t>
  </si>
  <si>
    <t>female deer with antlers</t>
  </si>
  <si>
    <t>57</t>
  </si>
  <si>
    <t>https://www.themeateater.com/conservation/wildlife-management/why-do-female-deer-sometimes-grow-antlers</t>
  </si>
  <si>
    <t>https://www.wideopenspaces.com/antlered-doe/</t>
  </si>
  <si>
    <t>tanning deer hide</t>
  </si>
  <si>
    <t>7</t>
  </si>
  <si>
    <t>deer are color blind</t>
  </si>
  <si>
    <t>81</t>
  </si>
  <si>
    <t>air rifle deer hunting</t>
  </si>
  <si>
    <t>720</t>
  </si>
  <si>
    <t>https://www.themeateater.com/hunt/firearm-hunting/can-an-air-rifle-bring-down-a-whitetail</t>
  </si>
  <si>
    <t>deer with 223</t>
  </si>
  <si>
    <t>where to shoot a deer with an arrow</t>
  </si>
  <si>
    <t>22</t>
  </si>
  <si>
    <t>6</t>
  </si>
  <si>
    <t>https://www.wideopenspaces.com/where-to-shoot-a-deer-with-an-arrow/</t>
  </si>
  <si>
    <t>223 for deer</t>
  </si>
  <si>
    <t>https://realtree.com/deer-hunting/articles/the-5-best-bullet-styles-for-deer-hunting</t>
  </si>
  <si>
    <t>are deers blind</t>
  </si>
  <si>
    <t>25</t>
  </si>
  <si>
    <t>https://realtree.com/deer-hunting/articles/busted-5-things-you-don-t-know-about-deer-senses</t>
  </si>
  <si>
    <t>deer 223</t>
  </si>
  <si>
    <t>18</t>
  </si>
  <si>
    <t>gut shot deer</t>
  </si>
  <si>
    <t>https://www.themeateater.com/wired-to-hunt/whitetail-hunting/how-to-deal-with-a-gut-shot-deer</t>
  </si>
  <si>
    <t>https://realtree.com/brow-tines-and-backstrap/it-s-hot-you-shot-a-deer-now-what</t>
  </si>
  <si>
    <t>where do you shoot a deer</t>
  </si>
  <si>
    <t>13</t>
  </si>
  <si>
    <t>11</t>
  </si>
  <si>
    <t>deer colorblind</t>
  </si>
  <si>
    <t>deer sausage recipes</t>
  </si>
  <si>
    <t>94</t>
  </si>
  <si>
    <t>https://www.wideopenspaces.com/an-easy-and-tasty-way-to-make-venison-sausage/</t>
  </si>
  <si>
    <t>call in deer</t>
  </si>
  <si>
    <t>https://www.themeateater.com/wired-to-hunt/whitetail-hunting/how-to-call-in-bucks-during-each-phase-of-the-season</t>
  </si>
  <si>
    <t>https://realtree.com/deer-hunting/articles/smack-talk-aggressive-deer-calling-strategies</t>
  </si>
  <si>
    <t>what colors can deer see</t>
  </si>
  <si>
    <t>63</t>
  </si>
  <si>
    <t>what colours can deer see</t>
  </si>
  <si>
    <t>can deer see color</t>
  </si>
  <si>
    <t>62</t>
  </si>
  <si>
    <t>82</t>
  </si>
  <si>
    <t>https://www.wideopenspaces.com/deer-vision-the-science/</t>
  </si>
  <si>
    <t>deer hide tannery</t>
  </si>
  <si>
    <t>where to aim on a deer</t>
  </si>
  <si>
    <t>are deer colorblind</t>
  </si>
  <si>
    <t>29</t>
  </si>
  <si>
    <t>deer country</t>
  </si>
  <si>
    <t>https://www.themeateater.com/shows/deer-country</t>
  </si>
  <si>
    <t>where to aim on deer</t>
  </si>
  <si>
    <t>where to shoot deer</t>
  </si>
  <si>
    <t>3600</t>
  </si>
  <si>
    <t>10</t>
  </si>
  <si>
    <t>calling in a deer</t>
  </si>
  <si>
    <t>2400</t>
  </si>
  <si>
    <t>best broadheads for deer</t>
  </si>
  <si>
    <t>54</t>
  </si>
  <si>
    <t>17</t>
  </si>
  <si>
    <t>https://www.themeateater.com/gear/general/best-hunting-broadheads</t>
  </si>
  <si>
    <t>https://realtree.com/bowhunting/articles/choosing-the-best-broadheads-for-specific-game</t>
  </si>
  <si>
    <t>https://www.wideopenspaces.com/best-broadheads-whitetail-deer/</t>
  </si>
  <si>
    <t>skinning a deer</t>
  </si>
  <si>
    <t>https://www.themeateater.com/hunt/big-game/how-to-hang-and-skin-a-deer-in-the-field</t>
  </si>
  <si>
    <t>https://realtree.com/timber-2-table-wild-game-recipes/how-to-skin-a-deer-in-6-steps</t>
  </si>
  <si>
    <t>where does a deer sleep</t>
  </si>
  <si>
    <t>26</t>
  </si>
  <si>
    <t>https://www.themeateater.com/wired-to-hunt/whitetail-scouting/where-do-deer-sleep</t>
  </si>
  <si>
    <t>https://realtree.com/brow-tines-and-backstrap/15-places-big-bucks-bed-that-deer-hunters-should-hunt</t>
  </si>
  <si>
    <t>https://www.wideopenspaces.com/where-do-deer-sleep/</t>
  </si>
  <si>
    <t>deer grunt call</t>
  </si>
  <si>
    <t>https://www.themeateater.com/wired-to-hunt/whitetail-hunting/3-grunt-call-vocalizations-every-whitetail-hunter-should-know</t>
  </si>
  <si>
    <t>https://realtree.com/brow-tines-and-backstrap/podcast-how-the-grunt-call-came-to-be</t>
  </si>
  <si>
    <t>deer jerkey</t>
  </si>
  <si>
    <t>50</t>
  </si>
  <si>
    <t>https://www.themeateater.com/watch/6278033203001/how-to-make-venison-jerky-with-kevin-gillespie</t>
  </si>
  <si>
    <t>https://realtree.com/timber-2-table-wild-game-recipes/magic-chef-realtree-venison-jerky-recipe</t>
  </si>
  <si>
    <t>https://www.wideopenspaces.com/venison-jerky-recipes/</t>
  </si>
  <si>
    <t>deer shot</t>
  </si>
  <si>
    <t>5</t>
  </si>
  <si>
    <t>69</t>
  </si>
  <si>
    <t>https://realtree.com/deer-hunting/articles/15-tips-for-one-shot-kills</t>
  </si>
  <si>
    <t>grunt call deer</t>
  </si>
  <si>
    <t>best deer hunting states</t>
  </si>
  <si>
    <t>https://www.themeateater.com/hunt/general/which-states-produce-the-best-deer-hunters</t>
  </si>
  <si>
    <t>https://realtree.com/brow-tines-and-backstrap/18-great-gun-hunting-states-for-deer-hunters</t>
  </si>
  <si>
    <t>https://www.wideopenspaces.com/top-10-places-hunt-whitetail-u-s-pics/</t>
  </si>
  <si>
    <t>deer hunting with ground blinds</t>
  </si>
  <si>
    <t>8</t>
  </si>
  <si>
    <t>41</t>
  </si>
  <si>
    <t>https://www.themeateater.com/wired-to-hunt/whitetail-scouting/how-to-set-up-a-ground-blind-that-wont-spook-deer</t>
  </si>
  <si>
    <t>https://realtree.com/bowhunting/articles/8-tips-for-bowhunting-deer-from-a-ground-blind</t>
  </si>
  <si>
    <t>https://www.wideopenspaces.com/treestand-vs-groundblind-when-and-where-you-should-use-either-one/</t>
  </si>
  <si>
    <t>deer ribs</t>
  </si>
  <si>
    <t>https://www.themeateater.com/cook/recipes/venison-ribs</t>
  </si>
  <si>
    <t>deer's color</t>
  </si>
  <si>
    <t>gut shot on deer</t>
  </si>
  <si>
    <t>shooting deer</t>
  </si>
  <si>
    <t>https://realtree.com/timber-2-table-articles/meat-hunter-s-rules-for-shooting-the-right-deer</t>
  </si>
  <si>
    <t>tanned deer hides</t>
  </si>
  <si>
    <t>31</t>
  </si>
  <si>
    <t>world record deer</t>
  </si>
  <si>
    <t>23</t>
  </si>
  <si>
    <t>https://www.themeateater.com/hunt/whitetail-deer/this-might-be-the-new-world-record-whitetail</t>
  </si>
  <si>
    <t>https://realtree.com/all/articles/watch-out-milo-here-he-comes</t>
  </si>
  <si>
    <t>https://www.wideopenspaces.com/value-of-a-monster-buck/</t>
  </si>
  <si>
    <t>youth deer rifle</t>
  </si>
  <si>
    <t>98</t>
  </si>
  <si>
    <t>https://www.themeateater.com/hunt/firearm-hunting/the-best-rifle-calibers-for-youth-hunters</t>
  </si>
  <si>
    <t>https://www.wideopenspaces.com/top-5-youth-hunting-rifles-deer-hunting-pics/</t>
  </si>
  <si>
    <t>female deer</t>
  </si>
  <si>
    <t>6600</t>
  </si>
  <si>
    <t>how to field dress a deer</t>
  </si>
  <si>
    <t>4400</t>
  </si>
  <si>
    <t>97</t>
  </si>
  <si>
    <t>mule deer vs whitetail</t>
  </si>
  <si>
    <t>https://www.themeateater.com/wired-to-hunt/whitetail-management/whitetails-and-mulies-a-comparison</t>
  </si>
  <si>
    <t>https://realtree.com/deer-hunting/articles/8-major-differences-between-whitetails-and-mule-deer</t>
  </si>
  <si>
    <t>do deer move in the rain</t>
  </si>
  <si>
    <t>74</t>
  </si>
  <si>
    <t>https://www.themeateater.com/wired-to-hunt/whitetail-hunting/should-you-deer-hunt-in-the-rain</t>
  </si>
  <si>
    <t>https://realtree.com/brow-tines-and-backstrap/why-windy-days-are-great-for-deer-hunting</t>
  </si>
  <si>
    <t>https://www.wideopenspaces.com/deer-hunting-in-the-rain/</t>
  </si>
  <si>
    <t>deer sausage</t>
  </si>
  <si>
    <t>46</t>
  </si>
  <si>
    <t>https://realtree.com/timber-2-table-wild-game-recipes/easy-deer-camp-red-beans-and-rice-with-venison-and-sausage</t>
  </si>
  <si>
    <t>deer with fangs</t>
  </si>
  <si>
    <t>65</t>
  </si>
  <si>
    <t>https://www.themeateater.com/wired-to-hunt/whitetail-management/why-some-whitetails-grow-fangs</t>
  </si>
  <si>
    <t>https://realtree.com/brow-tines-and-backstrap/some-deer-have-fangs</t>
  </si>
  <si>
    <t>https://www.wideopenspaces.com/have-you-ever-seen-a-mule-deer-with-fangs-before/</t>
  </si>
  <si>
    <t>calling for deer</t>
  </si>
  <si>
    <t>best deer rifle</t>
  </si>
  <si>
    <t>33</t>
  </si>
  <si>
    <t>https://www.themeateater.com/hunt/firearm-hunting/5-best-rifles-for-new-hunters</t>
  </si>
  <si>
    <t>https://realtree.com/deer-hunting/articles/the-new-hunter-s-guide-to-buying-your-first-deer-rifle</t>
  </si>
  <si>
    <t>https://www.wideopenspaces.com/best-deer-hunting-rifles/</t>
  </si>
  <si>
    <t>best place to shoot a deer</t>
  </si>
  <si>
    <t>gutting a deer</t>
  </si>
  <si>
    <t>https://www.wideopenspaces.com/hunting-myth-buster-never-gut-a-deer-near-your-treestand/</t>
  </si>
  <si>
    <t>world record whitetail deer</t>
  </si>
  <si>
    <t>21</t>
  </si>
  <si>
    <t>https://realtree.com/deer-hunting/articles/heads-of-state-all-about-state-record-bucks</t>
  </si>
  <si>
    <t>https://www.wideopenspaces.com/mel-johnson-buck/</t>
  </si>
  <si>
    <t>deer sleeping</t>
  </si>
  <si>
    <t>grunt calls for deer</t>
  </si>
  <si>
    <t>51</t>
  </si>
  <si>
    <t>https://realtree.com/brow-tines-and-backstrap/do-bucks-delay-their-response-to-grunt-calls</t>
  </si>
  <si>
    <t>calling a deer</t>
  </si>
  <si>
    <t>deer hunting in the rain</t>
  </si>
  <si>
    <t>22250 for deer</t>
  </si>
  <si>
    <t>https://www.themeateater.com/hunt/firearm-hunting/caliber-battle-223-rem-vs-22-250-rem</t>
  </si>
  <si>
    <t>best spot to shoot a deer</t>
  </si>
  <si>
    <t>call in a deer</t>
  </si>
  <si>
    <t>do deer come out in the rain</t>
  </si>
  <si>
    <t>64</t>
  </si>
  <si>
    <t>14</t>
  </si>
  <si>
    <t>https://realtree.com/brow-tines-and-backstrap/5-watering-habits-of-mature-deer</t>
  </si>
  <si>
    <t>kill zone on deer</t>
  </si>
  <si>
    <t>shot placement deer</t>
  </si>
  <si>
    <t>will deer move in the rain</t>
  </si>
  <si>
    <t>deer shot placement</t>
  </si>
  <si>
    <t>deer steak</t>
  </si>
  <si>
    <t>https://www.themeateater.com/wild-and-whole/wild-recipes/butter-basted-venison-steaks-recipe</t>
  </si>
  <si>
    <t>https://realtree.com/timber-2-table-wild-game-recipes/black-pepper-and-honey-deer-steak-bites-recipe</t>
  </si>
  <si>
    <t>do female deer have antlers</t>
  </si>
  <si>
    <t>where do deer sleep</t>
  </si>
  <si>
    <t>39</t>
  </si>
  <si>
    <t>https://realtree.com/brow-tines-and-backstrap/8-bedding-habits-of-mature-deer</t>
  </si>
  <si>
    <t>deer steak recipe</t>
  </si>
  <si>
    <t>fat deer</t>
  </si>
  <si>
    <t>https://www.themeateater.com/cook/butchering-and-processing/how-to-use-wild-game-fat</t>
  </si>
  <si>
    <t>https://realtree.com/timber-2-table-articles/how-to-save-and-cook-venison-caul-fat</t>
  </si>
  <si>
    <t>deer leg</t>
  </si>
  <si>
    <t>https://www.themeateater.com/watch/6175617016001/how-to-break-down-a-deer-s-hind-leg</t>
  </si>
  <si>
    <t>whitetail deer versus mule deer</t>
  </si>
  <si>
    <t>https://www.wideopenspaces.com/whitetail-vs-mule-deer-the-differences-why-you-should-hunt-them-and-which-is-best/</t>
  </si>
  <si>
    <t>biggest whitetail deer</t>
  </si>
  <si>
    <t>https://realtree.com/brow-tines-and-backstrap/3-biggest-typical-white-tailed-bucks-of-all-time</t>
  </si>
  <si>
    <t>https://www.wideopenspaces.com/5-biggest-whitetail-bucks-ever-found-dead/</t>
  </si>
  <si>
    <t>deer rut 2022</t>
  </si>
  <si>
    <t>https://www.themeateater.com/wired-to-hunt/whitetail-hunting/rut-fresh-report-10-27-2022</t>
  </si>
  <si>
    <t>https://realtree.com/brow-tines-and-backstrap/2022-southeast-deer-hunting-forecast</t>
  </si>
  <si>
    <t>22 250 for deer</t>
  </si>
  <si>
    <t>72</t>
  </si>
  <si>
    <t>88</t>
  </si>
  <si>
    <t>https://www.wideopenspaces.com/22-250-remington-varmint-round/</t>
  </si>
  <si>
    <t>deer call grunt</t>
  </si>
  <si>
    <t>mule deer vs white tail</t>
  </si>
  <si>
    <t>37</t>
  </si>
  <si>
    <t>deer coloration</t>
  </si>
  <si>
    <t>do female deers have antlers</t>
  </si>
  <si>
    <t>skin a deer</t>
  </si>
  <si>
    <t>white tail vs mule deer</t>
  </si>
  <si>
    <t>deer steak recipes</t>
  </si>
  <si>
    <t>mule deer buck</t>
  </si>
  <si>
    <t>https://www.themeateater.com/watch/6290992279001/how-to-score-a-mule-deer-buck</t>
  </si>
  <si>
    <t>https://realtree.com/big-game-hunting/articles/5-things-to-know-about-big-mule-deer</t>
  </si>
  <si>
    <t>crossbow deer hunting</t>
  </si>
  <si>
    <t>https://www.themeateater.com/wired-to-hunt/whitetail-hunting-gear/is-crossbow-hunting-really-archery-hunting</t>
  </si>
  <si>
    <t>https://realtree.com/brow-tines-and-backstrap/5-tips-for-better-crossbow-hunting</t>
  </si>
  <si>
    <t>https://www.wideopenspaces.com/how-long-can-it-realistically-take-a-beginner-to-kill-a-deer-with-a-crossbow/</t>
  </si>
  <si>
    <t>deer grunt sounds</t>
  </si>
  <si>
    <t>87</t>
  </si>
  <si>
    <t>https://www.wideopenspaces.com/deer-sounds-making-sense-of-the-sounds-of-the-deer-woods/</t>
  </si>
  <si>
    <t>deer liver</t>
  </si>
  <si>
    <t>https://www.themeateater.com/cook/recipes/liver-and-onions-recipe</t>
  </si>
  <si>
    <t>https://realtree.com/timber-2-table-wild-game-recipes/pan-fried-venison-liver-with-onions-and-beer-gravy-recipe</t>
  </si>
  <si>
    <t>deer kill zone</t>
  </si>
  <si>
    <t>how to age a deer</t>
  </si>
  <si>
    <t>https://www.themeateater.com/wired-to-hunt/whitetail-management/how-to-age-a-whitetail-buck-on-the-hoof</t>
  </si>
  <si>
    <t>https://realtree.com/deer-hunting/articles/really-how-old-is-that-buck</t>
  </si>
  <si>
    <t>https://www.wideopenspaces.com/tell-age-deer-pics/</t>
  </si>
  <si>
    <t>kill zone on a deer</t>
  </si>
  <si>
    <t>deer cuts</t>
  </si>
  <si>
    <t>https://www.themeateater.com/cook/cooking-techniques/5-venison-cuts-you-need-to-know</t>
  </si>
  <si>
    <t>https://www.wideopenspaces.com/venison-cuts-ranked/</t>
  </si>
  <si>
    <t>scent glands on deer</t>
  </si>
  <si>
    <t>https://www.themeateater.com/wired-to-hunt/whitetail-management/what-you-need-to-know-about-whitetail-buck-glands</t>
  </si>
  <si>
    <t>https://realtree.com/brow-tines-and-backstrap/why-buck-tarsal-is-the-deadliest-scent-in-the-deer-woods</t>
  </si>
  <si>
    <t>cuts of meat deer</t>
  </si>
  <si>
    <t>how to skin deer</t>
  </si>
  <si>
    <t>best deer hunting caliber</t>
  </si>
  <si>
    <t>32</t>
  </si>
  <si>
    <t>https://www.themeateater.com/wired-to-hunt/whitetail-hunting-gear/5-best-whitetail-cartridges</t>
  </si>
  <si>
    <t>https://www.wideopenspaces.com/best-deer-hunting-caliber-for-women/</t>
  </si>
  <si>
    <t>how to skin a deer</t>
  </si>
  <si>
    <t>mule deer vs whitetail deer</t>
  </si>
  <si>
    <t>bow hunting deer</t>
  </si>
  <si>
    <t>https://www.themeateater.com/watch/6303966877001/ozark-whitetail-bowhunting</t>
  </si>
  <si>
    <t>https://realtree.com/bowhunting/articles/10-bowhunting-sins</t>
  </si>
  <si>
    <t>deer grunt</t>
  </si>
  <si>
    <t>47</t>
  </si>
  <si>
    <t>deer scent glands</t>
  </si>
  <si>
    <t>whitetail deer vitals</t>
  </si>
  <si>
    <t>https://www.wideopenspaces.com/how-to-find-and-aim-for-deer-vitals/</t>
  </si>
  <si>
    <t>rutting deer</t>
  </si>
  <si>
    <t>https://www.themeateater.com/hunt/whitetail-deer/video-rutting-buck-makes-crazy-vocalizations</t>
  </si>
  <si>
    <t>https://realtree.com/deer-hunting/articles/5-rut-buck-behaviors-you-should-recognize</t>
  </si>
  <si>
    <t>243 for deer</t>
  </si>
  <si>
    <t>https://www.themeateater.com/hunt/firearm-hunting/caliber-battle-270-win-vs-243-win</t>
  </si>
  <si>
    <t>https://www.wideopenspaces.com/why-the-243-is-hands-down-the-best-deer-rifle/</t>
  </si>
  <si>
    <t>kill zone deer</t>
  </si>
  <si>
    <t>meat cuts on deer</t>
  </si>
  <si>
    <t>tarsal glands deer</t>
  </si>
  <si>
    <t>whitetail vs mule deer</t>
  </si>
  <si>
    <t>how to score a deer</t>
  </si>
  <si>
    <t>https://www.themeateater.com/watch/6259336077001/how-to-score-a-whitetail-deer</t>
  </si>
  <si>
    <t>https://realtree.com/deer-hunting/articles/how-to-score-a-buck-on-the-boone-and-crocket-scale</t>
  </si>
  <si>
    <t>https://www.wideopenspaces.com/how-to-score-a-deer-measuring-your-trophy-step-by-step/</t>
  </si>
  <si>
    <t>recipe deer heart</t>
  </si>
  <si>
    <t>https://www.themeateater.com/watch/6175573953001/meateater-s-seared-venison-heart-with-whiskey-butter</t>
  </si>
  <si>
    <t>https://realtree.com/timber-2-table-wild-game-recipes/pan-fried-venison-heart-with-black-pepper-buttermilk-gravy</t>
  </si>
  <si>
    <t>https://www.wideopenspaces.com/huntchef-venison-heart-recipe/</t>
  </si>
  <si>
    <t>how to butcher a deer</t>
  </si>
  <si>
    <t>https://www.themeateater.com/watch/list/1670860111805882434%20</t>
  </si>
  <si>
    <t>https://realtree.com/timber-2-table-articles/5-reasons-to-butcher-your-own-deer-this-season</t>
  </si>
  <si>
    <t>https://www.wideopenspaces.com/you-actually-dont-have-to-know-how-to-butcher-a-deer-completely/</t>
  </si>
  <si>
    <t>do deer move in the wind</t>
  </si>
  <si>
    <t>https://www.themeateater.com/wired-to-hunt/whitetail-hunting/how-to-kill-a-buck-in-high-wind</t>
  </si>
  <si>
    <t>https://www.wideopenspaces.com/what-are-the-best-deer-hunting-times-throughout-the-day/</t>
  </si>
  <si>
    <t>how to cook deer steak</t>
  </si>
  <si>
    <t>shot placement on deer</t>
  </si>
  <si>
    <t>deer heart recipes</t>
  </si>
  <si>
    <t>https://www.wideopenspaces.com/seared-venison-heart-with-whiskey-butter-recipe/</t>
  </si>
  <si>
    <t>cuts of meat on deer</t>
  </si>
  <si>
    <t>16</t>
  </si>
  <si>
    <t>deer hunting video</t>
  </si>
  <si>
    <t>https://www.wideopenspaces.com/10-deer-hunting-videos-get-primed-season-opener/</t>
  </si>
  <si>
    <t>how do deer sleep</t>
  </si>
  <si>
    <t>49</t>
  </si>
  <si>
    <t>how to score a whitetail deer</t>
  </si>
  <si>
    <t>53</t>
  </si>
  <si>
    <t>https://www.themeateater.com/wired-to-hunt/whitetail-management/video-how-to-score-a-whitetail-buck</t>
  </si>
  <si>
    <t>best caliber deer rifle</t>
  </si>
  <si>
    <t>boiling deer skull</t>
  </si>
  <si>
    <t>https://www.themeateater.com/hunt/general/ask-meateater-how-do-you-make-a-skull-mount</t>
  </si>
  <si>
    <t>how to butcher deer</t>
  </si>
  <si>
    <t>68</t>
  </si>
  <si>
    <t>how to european mount deer</t>
  </si>
  <si>
    <t>https://www.wideopenspaces.com/how-to-do-a-european-mount-in-4-easy-steps/</t>
  </si>
  <si>
    <t>saddle deer stand</t>
  </si>
  <si>
    <t>https://www.themeateater.com/watch/6302418210001/s1-e43-the-pros-and-cons-of-tree-saddles-for-deer-hunting-or-saddle-hunting-costs-benefits-techniques</t>
  </si>
  <si>
    <t>whitetail deer calls</t>
  </si>
  <si>
    <t>78</t>
  </si>
  <si>
    <t>best deer rifle caliber</t>
  </si>
  <si>
    <t>40</t>
  </si>
  <si>
    <t>best rifle to hunt deer</t>
  </si>
  <si>
    <t>butchering a deer</t>
  </si>
  <si>
    <t>diagram of deer vitals</t>
  </si>
  <si>
    <t>35</t>
  </si>
  <si>
    <t>national deer association</t>
  </si>
  <si>
    <t>https://store.themeateater.com/products/national-deer-association-donation.html?lang=en_US</t>
  </si>
  <si>
    <t>https://www.wideopenspaces.com/rare-video-shows-deer-eating-a-snake/</t>
  </si>
  <si>
    <t>deer diet</t>
  </si>
  <si>
    <t>https://www.themeateater.com/wired-to-hunt/whitetail-management/10-natural-food-sources-every-deer-hunter-should-know</t>
  </si>
  <si>
    <t>https://www.wideopenspaces.com/what-do-deer-eat/</t>
  </si>
  <si>
    <t>how to european mount a deer</t>
  </si>
  <si>
    <t>kill shots on deer</t>
  </si>
  <si>
    <t>when is the rut for deer 2022</t>
  </si>
  <si>
    <t>24</t>
  </si>
  <si>
    <t>https://realtree.com/deer-hunting/articles/the-best-times-to-deer-hunt-in-2022</t>
  </si>
  <si>
    <t>best gun to hunt deer</t>
  </si>
  <si>
    <t>https://www.themeateater.com/hunt/firearm-hunting/the-5-guns-every-hunter-should-own</t>
  </si>
  <si>
    <t>deer vital area</t>
  </si>
  <si>
    <t>meat cuts deer</t>
  </si>
  <si>
    <t>https://www.wideopenspaces.com/check-illustrated-deer-meat-guide/</t>
  </si>
  <si>
    <t>deer vitals</t>
  </si>
  <si>
    <t>deer hunters</t>
  </si>
  <si>
    <t>https://realtree.com/brow-tines-and-backstrap/20-knowledgeable-deer-hunters-you-should-follow-on-social-media-0</t>
  </si>
  <si>
    <t>deer hunting gear</t>
  </si>
  <si>
    <t>https://www.themeateater.com/wired-to-hunt/whitetail-hunting-gear/hunting-gear-that-will-actually-help-you-kill-more-bucks</t>
  </si>
  <si>
    <t>https://realtree.com/brow-tines-and-backstrap/declutter-your-old-hunting-gear</t>
  </si>
  <si>
    <t>broadside deer</t>
  </si>
  <si>
    <t>biggest whitetail deer ever killed</t>
  </si>
  <si>
    <t>https://www.themeateater.com/hunt/whitetail-deer/is-this-50-point-whitetail-the-new-world-record</t>
  </si>
  <si>
    <t>cuts of meat from a deer</t>
  </si>
  <si>
    <t>meat cuts on a deer</t>
  </si>
  <si>
    <t>https://www.themeateater.com/watch/6171359676001/how-to-cut-venison-steaks-with-ryan-callaghan</t>
  </si>
  <si>
    <t>cuts of a deer</t>
  </si>
  <si>
    <t>38</t>
  </si>
  <si>
    <t>cutting deer</t>
  </si>
  <si>
    <t>https://www.themeateater.com/watch/6185211248001/how-to-butcher-a-deer-with-steven-rinella</t>
  </si>
  <si>
    <t>giant mule deer</t>
  </si>
  <si>
    <t>https://www.themeateater.com/watch/6222000778001/s4-e12-big-buck-dreams-mule-deer-special</t>
  </si>
  <si>
    <t>https://realtree.com/big-game-hunting/articles/the-top-states-for-record-mule-deer-in-the-last-10-years</t>
  </si>
  <si>
    <t>liver shot deer</t>
  </si>
  <si>
    <t>https://www.themeateater.com/wired-to-hunt/whitetail-hunting/how-long-should-you-wait-to-blood-trail-a-deer</t>
  </si>
  <si>
    <t>meat cuts from deer</t>
  </si>
  <si>
    <t>deer heart recipe</t>
  </si>
  <si>
    <t>https://www.wideopenspaces.com/hilarious-romantic-take-on-how-to-prepare-deer-heart/</t>
  </si>
  <si>
    <t>how to process a deer</t>
  </si>
  <si>
    <t>https://www.themeateater.com/watch/6275506601001/how-to-butcher-your-own-deer-steve-s-way</t>
  </si>
  <si>
    <t>biggest deer ever killed</t>
  </si>
  <si>
    <t>deer blood color chart</t>
  </si>
  <si>
    <t>https://www.themeateater.com/wired-to-hunt/whitetail-hunting/what-you-need-to-know-about-blood-trailing-whitetail</t>
  </si>
  <si>
    <t>https://realtree.com/brow-tines-and-backstrap/20-tips-for-blood-trailing-deer</t>
  </si>
  <si>
    <t>deer chili</t>
  </si>
  <si>
    <t>https://www.themeateater.com/watch/6175334134001/cooking-game-venison-chili</t>
  </si>
  <si>
    <t>https://realtree.com/timber-2-table-wild-game-recipes/contest-winning-venison-chili-recipe</t>
  </si>
  <si>
    <t>https://www.wideopenspaces.com/top-5-venison-chili-recipe/</t>
  </si>
  <si>
    <t>deer meat cuts</t>
  </si>
  <si>
    <t>best caliber for deer hunting</t>
  </si>
  <si>
    <t>45</t>
  </si>
  <si>
    <t>best caliber to hunt deer</t>
  </si>
  <si>
    <t>how to cook deer heart</t>
  </si>
  <si>
    <t>https://www.wideopenspaces.com/how-to-clean-a-deer-heart/</t>
  </si>
  <si>
    <t>a female deer</t>
  </si>
  <si>
    <t>deer butchering</t>
  </si>
  <si>
    <t>https://www.themeateater.com/watch/6258237862001/s6-e06-cooking-special-butchering-a-whole-deer</t>
  </si>
  <si>
    <t>deer vitals diagram</t>
  </si>
  <si>
    <t>58</t>
  </si>
  <si>
    <t>color deer</t>
  </si>
  <si>
    <t>deer sheds</t>
  </si>
  <si>
    <t>https://www.themeateater.com/wired-to-hunt/whitetail-scouting/3-guaranteed-places-to-find-whitetail-sheds</t>
  </si>
  <si>
    <t>https://realtree.com/brow-tines-and-backstrap/why-bucks-shed-antlers-and-how-to-hunt-them</t>
  </si>
  <si>
    <t>https://www.wideopenspaces.com/deer-shed-antlers-pics/</t>
  </si>
  <si>
    <t>cheap deer blind ideas</t>
  </si>
  <si>
    <t>76</t>
  </si>
  <si>
    <t>https://realtree.com/brow-tines-and-backstrap/how-to-build-a-shooting-house-on-a-budget</t>
  </si>
  <si>
    <t>https://www.wideopenspaces.com/deer-hunting-blind-spacious/</t>
  </si>
  <si>
    <t>deer heart</t>
  </si>
  <si>
    <t>deer tracks in snow</t>
  </si>
  <si>
    <t>https://www.themeateater.com/wired-to-hunt/whitetail-scouting/how-to-identify-a-big-buck-track-in-snow</t>
  </si>
  <si>
    <t>how to make deer jerky</t>
  </si>
  <si>
    <t>https://www.wideopenspaces.com/venison-jerky-recipe/</t>
  </si>
  <si>
    <t>best caliber for deer</t>
  </si>
  <si>
    <t>43</t>
  </si>
  <si>
    <t>deer kill shot</t>
  </si>
  <si>
    <t>nilgai deer</t>
  </si>
  <si>
    <t>https://www.themeateater.com/shows/meateater/season-9/south-texas-nilgai</t>
  </si>
  <si>
    <t>https://www.wideopenspaces.com/nilgai-species-profile-hunting-the-blue-bull/</t>
  </si>
  <si>
    <t>deer hunting accessories</t>
  </si>
  <si>
    <t>https://www.themeateater.com/hunt/firearm-hunting/5-gun-accessories-every-deer-hunter-should-own</t>
  </si>
  <si>
    <t>how to clean a deer</t>
  </si>
  <si>
    <t>https://www.wideopenspaces.com/how-to-clean-a-deer-skull/</t>
  </si>
  <si>
    <t>deer vision</t>
  </si>
  <si>
    <t>92</t>
  </si>
  <si>
    <t>big mule deer</t>
  </si>
  <si>
    <t>https://www.wideopenspaces.com/biggest-mule-deer-kills-pics/</t>
  </si>
  <si>
    <t>deer and deer hunting rut calendar 2022</t>
  </si>
  <si>
    <t>meat cuts of a deer</t>
  </si>
  <si>
    <t>https://realtree.com/deer-hunting/articles/12-reasons-why-your-venison-tastes-like-hell</t>
  </si>
  <si>
    <t>mule deer hunt</t>
  </si>
  <si>
    <t>mule deer</t>
  </si>
  <si>
    <t>40500</t>
  </si>
  <si>
    <t>deer calls</t>
  </si>
  <si>
    <t>5400</t>
  </si>
  <si>
    <t>deer hide</t>
  </si>
  <si>
    <t>mounted deer</t>
  </si>
  <si>
    <t>https://www.themeateater.com/hunt/big-game/what-to-do-when-you-plan-on-getting-a-deer-mounted</t>
  </si>
  <si>
    <t>https://realtree.com/brow-tines-and-backstrap/20-crazy-good-deer-mounts-from-the-nwtf-convention</t>
  </si>
  <si>
    <t>https://www.wideopenspaces.com/whitetail-wednesday-how-much-do-people-pay-for-shoulder-mounts-in-your-area/</t>
  </si>
  <si>
    <t>deer scrape</t>
  </si>
  <si>
    <t>https://www.themeateater.com/wired-to-hunt/whitetail-hunting/how-to-kill-a-buck-hunting-scrapes</t>
  </si>
  <si>
    <t>https://realtree.com/brow-tines-and-backstrap/what-to-know-about-scrapes</t>
  </si>
  <si>
    <t>https://www.wideopenspaces.com/the-importance-of-deer-scrapes/</t>
  </si>
  <si>
    <t>biggest deer in the world</t>
  </si>
  <si>
    <t>colorado mule deer</t>
  </si>
  <si>
    <t>https://www.themeateater.com/watch/6252076018001/s2-e03-big-beautiful-bucks-colorado-mule-deer</t>
  </si>
  <si>
    <t>deer gland scent</t>
  </si>
  <si>
    <t>best time to hunt deer moon phase 2022</t>
  </si>
  <si>
    <t>https://www.themeateater.com/wired-to-hunt/whitetail-hunting/the-debate-about-lunar-effects-on-whitetails</t>
  </si>
  <si>
    <t>marinade deer tenderloin</t>
  </si>
  <si>
    <t>https://www.themeateater.com/cook/recipes/garlic-herb-venison-marinade-recipe</t>
  </si>
  <si>
    <t>https://realtree.com/timber-2-table-wild-game-recipes/bourbon-buttermilk-fried-deer-tenderloin</t>
  </si>
  <si>
    <t>https://www.wideopenspaces.com/top-5-venison-marinades/</t>
  </si>
  <si>
    <t>smoked deer roast</t>
  </si>
  <si>
    <t>https://www.themeateater.com/cook/recipes/texas-style-barbecue-venison-roast-recipe</t>
  </si>
  <si>
    <t>https://realtree.com/timber-2-table-wild-game-recipes/smoked-venison-neck-roast</t>
  </si>
  <si>
    <t>https://www.wideopenspaces.com/smoked-venison-recipes/</t>
  </si>
  <si>
    <t>biggest deer in world</t>
  </si>
  <si>
    <t>91</t>
  </si>
  <si>
    <t>when do deer sleep</t>
  </si>
  <si>
    <t>deer heart location</t>
  </si>
  <si>
    <t>how to make deer summer sausage</t>
  </si>
  <si>
    <t>55</t>
  </si>
  <si>
    <t>https://www.themeateater.com/cook/recipes/summer-sausage-recipe</t>
  </si>
  <si>
    <t>https://realtree.com/timber-2-table-articles/jalape-o-pepper-jack-venison-summer-sausage-part-2</t>
  </si>
  <si>
    <t>https://www.wideopenspaces.com/venison-summer-sausage-recipe/</t>
  </si>
  <si>
    <t>deercalls</t>
  </si>
  <si>
    <t>european mount deer</t>
  </si>
  <si>
    <t>https://realtree.com/brow-tines-and-backstrap/7-different-deer-taxidermy-options-and-their-costs</t>
  </si>
  <si>
    <t>deer mounts</t>
  </si>
  <si>
    <t>https://www.themeateater.com/hunt/whitetail-deer/fact-checker-do-outdoor-stores-pay-big-money-for-big-mounts</t>
  </si>
  <si>
    <t>https://www.wideopenspaces.com/whitetailwednesday-25-unique-ideas-for-your-next-whitetail-mount/</t>
  </si>
  <si>
    <t>best deer hunting rifle</t>
  </si>
  <si>
    <t>https://realtree.com/brow-tines-and-backstrap/5-factors-to-consider-when-buying-a-deer-hunting-rifle</t>
  </si>
  <si>
    <t>deer hunt bow</t>
  </si>
  <si>
    <t>70</t>
  </si>
  <si>
    <t>https://www.themeateater.com/wired-to-hunt/whitetail-hunting-gear/how-to-buy-your-first-deer-hunting-bow</t>
  </si>
  <si>
    <t>https://realtree.com/brow-tines-and-backstrap/how-to-build-a-self-bow-and-kill-a-deer-with-it</t>
  </si>
  <si>
    <t>https://www.wideopenspaces.com/hunting-deer-with-a-bow-past-archery-season/</t>
  </si>
  <si>
    <t>deer roast crock pot</t>
  </si>
  <si>
    <t>42</t>
  </si>
  <si>
    <t>https://www.themeateater.com/cook/recipes/freestyle-cooking-pickle-juice-venison-pot-roast-recipe</t>
  </si>
  <si>
    <t>https://realtree.com/timber-2-table-wild-game-recipes/bavarian-style-slow-cooker-venison-and-sauerkraut-pot-roast</t>
  </si>
  <si>
    <t>https://www.wideopenspaces.com/the-best-crock-pot-venison-pot-roast-recipe-ever/</t>
  </si>
  <si>
    <t>deer in the woods</t>
  </si>
  <si>
    <t>https://www.themeateater.com/wired-to-hunt/whitetail-hunting/3-ways-to-get-your-deer-out-of-the-woods</t>
  </si>
  <si>
    <t>https://realtree.com/deer-hunting/articles/don-t-get-killed-in-the-deer-woods</t>
  </si>
  <si>
    <t>marinated deer tenderloin</t>
  </si>
  <si>
    <t>https://realtree.com/timber-2-table-wild-game-recipes/miso-marinated-venison-backstrap</t>
  </si>
  <si>
    <t>deer grunt sound</t>
  </si>
  <si>
    <t>deer calla</t>
  </si>
  <si>
    <t>deer bow hunt</t>
  </si>
  <si>
    <t>73</t>
  </si>
  <si>
    <t>https://www.themeateater.com/wired-to-hunt/whitetail-hunting/how-far-is-too-far-to-shoot-a-deer-with-a-bow</t>
  </si>
  <si>
    <t>deer female</t>
  </si>
  <si>
    <t>deer steak marinade</t>
  </si>
  <si>
    <t>how to quarter a deer</t>
  </si>
  <si>
    <t>https://www.themeateater.com/watch/6185157028001/how-to-quarter-and-pack-game-out-of-the-backcountry-conservation-field-notes-with-steven-rinella</t>
  </si>
  <si>
    <t>https://realtree.com/timber-2-table-wild-game-recipes/how-to-quarter-a-deer-in-7-steps</t>
  </si>
  <si>
    <t>https://www.wideopenspaces.com/quarter-deer-living-room/</t>
  </si>
  <si>
    <t>deer antler size chart</t>
  </si>
  <si>
    <t>https://www.themeateater.com/wired-to-hunt/whitetail-hunting/photos-whitetail-antler-growth-timeline</t>
  </si>
  <si>
    <t>deer in woods</t>
  </si>
  <si>
    <t>high shoulder shot deer</t>
  </si>
  <si>
    <t>scoring a deer</t>
  </si>
  <si>
    <t>https://realtree.com/all/articles/scoring-your-whitetail-trophy</t>
  </si>
  <si>
    <t>deer color</t>
  </si>
  <si>
    <t>https://www.wideopenspaces.com/whitetailwednesday-the-rarest-deer-color-phase-of-all-melanistic/</t>
  </si>
  <si>
    <t>when does deer sleep</t>
  </si>
  <si>
    <t>deer call sounds</t>
  </si>
  <si>
    <t>https://www.wideopenspaces.com/best-buck-calls/</t>
  </si>
  <si>
    <t>deer hunter bow</t>
  </si>
  <si>
    <t>aging deer</t>
  </si>
  <si>
    <t>https://realtree.com/midwest-whitetail/articles/how-to-age-deer-after-tagging-them</t>
  </si>
  <si>
    <t>best days to deer hunt 2022</t>
  </si>
  <si>
    <t>https://www.themeateater.com/wired-to-hunt/whitetail-hunting/the-best-days-for-all-day-rut-hunts</t>
  </si>
  <si>
    <t>deer rifles</t>
  </si>
  <si>
    <t>https://www.wideopenspaces.com/5-awesome-deer-rifles-500/</t>
  </si>
  <si>
    <t>best deer skinning knife</t>
  </si>
  <si>
    <t>https://www.themeateater.com/gear/general/best-hunting-knives</t>
  </si>
  <si>
    <t>https://realtree.com/brow-tines-and-backstrap/choose-the-best-knife-for-deer-hunting</t>
  </si>
  <si>
    <t>cooking deer meat</t>
  </si>
  <si>
    <t>deer foot print</t>
  </si>
  <si>
    <t>https://www.themeateater.com/wired-to-hunt/whitetail-scouting/what-you-need-to-know-about-deer-tracks</t>
  </si>
  <si>
    <t>https://www.wideopenspaces.com/deer-tracks-identification/</t>
  </si>
  <si>
    <t>deer rub</t>
  </si>
  <si>
    <t>https://www.themeateater.com/wired-to-hunt/whitetail-scouting/do-rub-lines-matter-during-the-whitetail-rut</t>
  </si>
  <si>
    <t>https://realtree.com/brow-tines-and-backstrap/4-types-of-buck-rubs-you-need-to-know</t>
  </si>
  <si>
    <t>https://www.wideopenspaces.com/buck-rubs/</t>
  </si>
  <si>
    <t>euro mount deer</t>
  </si>
  <si>
    <t>can deer see orange</t>
  </si>
  <si>
    <t>whitetail deer age chart</t>
  </si>
  <si>
    <t>https://realtree.com/brow-tines-and-backstrap/how-long-do-white-tailed-deer-live</t>
  </si>
  <si>
    <t>how to make deer sausage</t>
  </si>
  <si>
    <t>deer rifle calibers</t>
  </si>
  <si>
    <t>https://www.wideopenspaces.com/new-deer-hunting-calibers/</t>
  </si>
  <si>
    <t>what is female deer called</t>
  </si>
  <si>
    <t>deer meat cutting</t>
  </si>
  <si>
    <t>93</t>
  </si>
  <si>
    <t>predators of a deer</t>
  </si>
  <si>
    <t>https://www.themeateater.com/wired-to-hunt/whitetail-management/the-predator-that-deer-fear-most</t>
  </si>
  <si>
    <t>deer decoy</t>
  </si>
  <si>
    <t>https://www.themeateater.com/wired-to-hunt/whitetail-hunting/how-to-use-a-doe-decoy-during-the-rut</t>
  </si>
  <si>
    <t>https://realtree.com/deer-hunting/articles/how-to-decoy-a-buck</t>
  </si>
  <si>
    <t>https://www.wideopenspaces.com/deer-decoys-top-options/</t>
  </si>
  <si>
    <t>aging deer by teeth</t>
  </si>
  <si>
    <t>83</t>
  </si>
  <si>
    <t>https://www.themeateater.com/wired-to-hunt/whitetail-management/the-big-fat-cementum-aging-tooth-test-how-accurate-is-it-really</t>
  </si>
  <si>
    <t>a deer</t>
  </si>
  <si>
    <t>deer decoys</t>
  </si>
  <si>
    <t>https://realtree.com/deer-hunting/articles/10-pro-tips-for-deer-hunting-with-decoys</t>
  </si>
  <si>
    <t>https://www.wideopenspaces.com/do-deer-decoys-work-these-are-a-few-situations-where-they-do-and-some-where-they-dont/</t>
  </si>
  <si>
    <t>deer shoulder mounts</t>
  </si>
  <si>
    <t>what is a female deer called</t>
  </si>
  <si>
    <t>deer hunting calibers</t>
  </si>
  <si>
    <t>how to cook deer sausage</t>
  </si>
  <si>
    <t>deer recipes</t>
  </si>
  <si>
    <t>https://www.themeateater.com/recipes/ingredients/venison</t>
  </si>
  <si>
    <t>https://realtree.com/timber-2-table-wild-game-recipes/venison-recipes</t>
  </si>
  <si>
    <t>deer movement</t>
  </si>
  <si>
    <t>https://www.themeateater.com/wired-to-hunt/whitetail-hunting/how-weather-impacts-late-season-deer-movement</t>
  </si>
  <si>
    <t>https://realtree.com/deer-hunting/articles/10-best-times-to-deer-hunt</t>
  </si>
  <si>
    <t>deer hoof print</t>
  </si>
  <si>
    <t>deer hunting clothes</t>
  </si>
  <si>
    <t>https://www.themeateater.com/gear/gear-hunt/the-best-material-for-hunting-clothes</t>
  </si>
  <si>
    <t>https://realtree.com/realtree-edge</t>
  </si>
  <si>
    <t>fighting deer</t>
  </si>
  <si>
    <t>https://www.themeateater.com/hunt/whitetail-deer/video-whitetail-buck-fights-angus-bull</t>
  </si>
  <si>
    <t>mule deer vs elk</t>
  </si>
  <si>
    <t>https://www.themeateater.com/hunt/elk/4-ways-elk-hunting-is-not-deer-hunting</t>
  </si>
  <si>
    <t>colorado mule deer hunting</t>
  </si>
  <si>
    <t>wisconsin deer hunting hours</t>
  </si>
  <si>
    <t>https://www.themeateater.com/hunt/whitetail-deer/americas-worst-deer-hunting-law-could-change-next-week</t>
  </si>
  <si>
    <t>deer movement forecast</t>
  </si>
  <si>
    <t>https://www.themeateater.com/watch/6280954363001/s1-e25-does-wind-actually-impact-deer-movement</t>
  </si>
  <si>
    <t>how much meat in a deer</t>
  </si>
  <si>
    <t>https://www.themeateater.com/cook/butchering-and-processing/how-much-fat-should-you-add-to-ground-venison</t>
  </si>
  <si>
    <t>nebraska mule deer hunting</t>
  </si>
  <si>
    <t>https://www.wideopenspaces.com/best-mule-deer-hunting-states/</t>
  </si>
  <si>
    <t>what does deer poop look like</t>
  </si>
  <si>
    <t>https://www.themeateater.com/wired-to-hunt/whitetail-scouting/fact-checker-can-you-identify-a-mature-buck-by-droppings</t>
  </si>
  <si>
    <t>https://realtree.com/brow-tines-and-backstrap/everything-you-ever-wanted-to-know-about-deer-poop</t>
  </si>
  <si>
    <t>https://www.wideopenspaces.com/deer-poop-identification/</t>
  </si>
  <si>
    <t>deer bucks</t>
  </si>
  <si>
    <t>https://www.themeateater.com/hunt/big-game/why-are-bucks-always-last-in-line</t>
  </si>
  <si>
    <t>https://realtree.com/brow-tines-and-backstrap/4-things-to-know-about-whitetail-buck-bachelor-groups</t>
  </si>
  <si>
    <t>best deer jerky recipe</t>
  </si>
  <si>
    <t>https://www.themeateater.com/cook/recipes/smoked-venison-jerky-recipe</t>
  </si>
  <si>
    <t>homemade deer blinds</t>
  </si>
  <si>
    <t>https://www.wideopenspaces.com/8-homemade-hunting-blinds-pics/</t>
  </si>
  <si>
    <t>ground blinds for deer hunting</t>
  </si>
  <si>
    <t>how long is deer meat good in the freezer</t>
  </si>
  <si>
    <t>96</t>
  </si>
  <si>
    <t>https://www.themeateater.com/cook/butchering-and-processing/best-practices-for-freezing-meat</t>
  </si>
  <si>
    <t>https://realtree.com/timber-2-table-articles/is-that-venison-freezer-burned</t>
  </si>
  <si>
    <t>https://www.wideopenspaces.com/vacuum-sealing-venison/</t>
  </si>
  <si>
    <t>mule deer vs blacktail deer</t>
  </si>
  <si>
    <t>https://www.themeateater.com/watch/6175627104001/steven-rinella-explains-how-the-mule-deer-species-evolved</t>
  </si>
  <si>
    <t>deer food</t>
  </si>
  <si>
    <t>71</t>
  </si>
  <si>
    <t>https://www.themeateater.com/wired-to-hunt/whitetail-scouting/4-natural-food-sources-every-public-land-deer-hunter-should-know</t>
  </si>
  <si>
    <t>https://realtree.com/all/articles/early-eats-mean-big-bucks</t>
  </si>
  <si>
    <t>deer rut</t>
  </si>
  <si>
    <t>https://www.themeateater.com/wired-to-hunt/whitetail-hunting/how-the-whitetail-rut-differs-in-the-big-woods</t>
  </si>
  <si>
    <t>https://realtree.com/brow-tines-and-backstrap/10-facts-about-the-whitetail-rut</t>
  </si>
  <si>
    <t>best time to hunt deer</t>
  </si>
  <si>
    <t>https://www.themeateater.com/wired-to-hunt/whitetail-hunting/do-mornings-or-evenings-make-better-rut-hunts</t>
  </si>
  <si>
    <t>deer footprints</t>
  </si>
  <si>
    <t>processing a deer</t>
  </si>
  <si>
    <t>mule deer foundation</t>
  </si>
  <si>
    <t>https://store.themeateater.com/products/mule-deer-foundation-donation.html?lang=en_US</t>
  </si>
  <si>
    <t>when are deer most active</t>
  </si>
  <si>
    <t>https://www.themeateater.com/wired-to-hunt/whitetail-hunting/does-temperature-affect-deer-movement</t>
  </si>
  <si>
    <t>deer in the rut</t>
  </si>
  <si>
    <t>https://www.themeateater.com/wired-to-hunt/whitetail-hunting/how-to-hunt-the-whitetail-rut-in-big-woods</t>
  </si>
  <si>
    <t>deer neck shot placement</t>
  </si>
  <si>
    <t>how to cape a deer</t>
  </si>
  <si>
    <t>https://realtree.com/timber-2-table-wild-game-recipes/how-to-cape-a-deer</t>
  </si>
  <si>
    <t>high shoulder shot on deer</t>
  </si>
  <si>
    <t>deer bacon</t>
  </si>
  <si>
    <t>https://www.themeateater.com/cook/recipes/venison-bacon-bits-recipe</t>
  </si>
  <si>
    <t>https://realtree.com/timber-2-table-articles/how-to-make-bacon-from-ground-deer-meat</t>
  </si>
  <si>
    <t>deer loin recipe</t>
  </si>
  <si>
    <t>https://www.wideopenspaces.com/top-6-venison-tenderloin-recipes/</t>
  </si>
  <si>
    <t>the rut for deer</t>
  </si>
  <si>
    <t>https://realtree.com/deer-hunting/articles/how-to-hunt-the-phases-of-the-rut</t>
  </si>
  <si>
    <t>deer meat recipes</t>
  </si>
  <si>
    <t>56</t>
  </si>
  <si>
    <t>deer tenderloin recipes</t>
  </si>
  <si>
    <t>https://www.themeateater.com/recipes/cuts/loin</t>
  </si>
  <si>
    <t>seeds for deer food plots</t>
  </si>
  <si>
    <t>https://www.themeateater.com/wired-to-hunt/whitetail-management/how-to-plant-a-food-plot-on-a-budget</t>
  </si>
  <si>
    <t>https://realtree.com/food-plots-and-land-management/articles/mess-hall-mixtures-5-food-plot-combos-for-full-season</t>
  </si>
  <si>
    <t>deer gun</t>
  </si>
  <si>
    <t>https://www.themeateater.com/hunt/firearm-hunting/is-your-deer-gun-overkill</t>
  </si>
  <si>
    <t>mule deer antlers</t>
  </si>
  <si>
    <t>doe deer female deer</t>
  </si>
  <si>
    <t>deer nocturnal</t>
  </si>
  <si>
    <t>https://www.themeateater.com/wired-to-hunt/whitetail-hunting/how-to-kill-a-nocturnal-buck</t>
  </si>
  <si>
    <t>https://realtree.com/deer-hunting/articles/the-myth-of-the-nocturnal-buck</t>
  </si>
  <si>
    <t>https://www.wideopenspaces.com/are-deer-nocturnal/</t>
  </si>
  <si>
    <t>deerblind</t>
  </si>
  <si>
    <t>deer tongue</t>
  </si>
  <si>
    <t>https://www.themeateater.com/cook/recipes/pan-fried-venison-tongue-recipe</t>
  </si>
  <si>
    <t>rifle deer hunting</t>
  </si>
  <si>
    <t>https://www.themeateater.com/hunt/firearm-hunting/should-your-next-deer-rifle-be-an-ar-15</t>
  </si>
  <si>
    <t>what does a deer sound like</t>
  </si>
  <si>
    <t>https://realtree.com/deer-hunting/articles/can-you-talk-deer</t>
  </si>
  <si>
    <t>deer hunting rifles</t>
  </si>
  <si>
    <t>deer video</t>
  </si>
  <si>
    <t>https://www.themeateater.com/watch/6209664304001/how-to-shock-pouch-a-deer-with-clay-newcomb</t>
  </si>
  <si>
    <t>deer prints in snow</t>
  </si>
  <si>
    <t>heart on deer</t>
  </si>
  <si>
    <t>how to cook deer meat</t>
  </si>
  <si>
    <t>food plots for deer</t>
  </si>
  <si>
    <t>https://realtree.com/food-plots-and-land-management/galleries/how-to-plant-a-micro-kill-plot-for-deer</t>
  </si>
  <si>
    <t>deer loin recipes</t>
  </si>
  <si>
    <t>how much meat on a deer</t>
  </si>
  <si>
    <t>https://www.wideopenspaces.com/heres-a-video-showing-how-much-meat-you-should-expect-from-a-whitetail-deer/</t>
  </si>
  <si>
    <t>columbian black tail deer</t>
  </si>
  <si>
    <t>https://www.themeateater.com/hunt/black-tailed-deer/a-guide-to-hunting-blacktail-deer</t>
  </si>
  <si>
    <t>deer movement chart</t>
  </si>
  <si>
    <t>blacktail deer</t>
  </si>
  <si>
    <t>https://www.wideopenspaces.com/how-to-hunt-blacktail-deer/</t>
  </si>
  <si>
    <t>deer roast recipe</t>
  </si>
  <si>
    <t>77</t>
  </si>
  <si>
    <t>https://www.themeateater.com/cook/recipes/shredded-venison-roast</t>
  </si>
  <si>
    <t>https://realtree.com/timber-2-table-wild-game-recipes/stovetop-venison-roast</t>
  </si>
  <si>
    <t>https://www.wideopenspaces.com/instant-pot-venison-roast-yep-heres-a-recipe/</t>
  </si>
  <si>
    <t>deer droppings</t>
  </si>
  <si>
    <t>elk deer</t>
  </si>
  <si>
    <t>deer antler age chart</t>
  </si>
  <si>
    <t>attacking deer</t>
  </si>
  <si>
    <t>https://www.themeateater.com/watch/6297952570001/video-mountain-lion-peels-bark-to-hide-deer-kill</t>
  </si>
  <si>
    <t>https://realtree.com/turkey-blog-with-steve-hickoff/video-territorial-deer-attack-on-backyard-turkey-flock</t>
  </si>
  <si>
    <t>deer meat recipe</t>
  </si>
  <si>
    <t>https://realtree.com/brow-tines-and-backstrap/10-awesome-venison-recipes-for-deer-hunters</t>
  </si>
  <si>
    <t>mule deer doe</t>
  </si>
  <si>
    <t>how much meat from a deer</t>
  </si>
  <si>
    <t>deer spikes</t>
  </si>
  <si>
    <t>https://www.wideopenspaces.com/spike-deer-science/</t>
  </si>
  <si>
    <t>deer out</t>
  </si>
  <si>
    <t>whitetail deer anatomy</t>
  </si>
  <si>
    <t>https://www.wideopenspaces.com/the-great-deer-anatomy-explainer-and-what-you-need-to-know-as-a-hunter/</t>
  </si>
  <si>
    <t>deer mounta</t>
  </si>
  <si>
    <t>deer videos</t>
  </si>
  <si>
    <t>how much meat from deer</t>
  </si>
  <si>
    <t>deer bleat</t>
  </si>
  <si>
    <t>https://www.themeateater.com/wired-to-hunt/whitetail-hunting/how-to-call-in-a-doe</t>
  </si>
  <si>
    <t>https://www.wideopenspaces.com/how-to-find-the-right-deer-bleat-call-for-hunting/</t>
  </si>
  <si>
    <t>points for deer</t>
  </si>
  <si>
    <t>https://www.themeateater.com/watch/5989788983001/meateater-glossary-pinch-point</t>
  </si>
  <si>
    <t>deer blind</t>
  </si>
  <si>
    <t>8100</t>
  </si>
  <si>
    <t>vampire deer</t>
  </si>
  <si>
    <t>https://www.wideopenspaces.com/vampire-deer-exist/</t>
  </si>
  <si>
    <t>rifle for deer</t>
  </si>
  <si>
    <t>muledeer</t>
  </si>
  <si>
    <t>not deer pictures</t>
  </si>
  <si>
    <t>https://www.themeateater.com/wired-to-hunt/whitetail-hunting-gear/5-mistakes-deer-hunters-make-with-trail-cameras</t>
  </si>
  <si>
    <t>taxidermy deer head</t>
  </si>
  <si>
    <t>80</t>
  </si>
  <si>
    <t>https://realtree.com/brow-tines-and-backstrap/how-long-should-deer-taxidermy-take</t>
  </si>
  <si>
    <t>https://www.wideopenspaces.com/deer-taxidermy-options/</t>
  </si>
  <si>
    <t>deer roast recipes</t>
  </si>
  <si>
    <t>https://www.wideopenspaces.com/this-savory-venison-roast-recipe-will-blow-everyone-away/</t>
  </si>
  <si>
    <t>hunting deer with shotgun</t>
  </si>
  <si>
    <t>https://realtree.com/deer-hunting/articles/deer-hunting-with-a-slug-gun</t>
  </si>
  <si>
    <t>https://www.wideopenspaces.com/the-legalities-trends-and-efficacy-of-deer-hunting-with-shotguns/</t>
  </si>
  <si>
    <t>deer age chart</t>
  </si>
  <si>
    <t>deer idaho</t>
  </si>
  <si>
    <t>https://www.themeateater.com/watch/6258237301001/s6-e04-land-of-the-giants-idaho-mule-deer-part-1</t>
  </si>
  <si>
    <t>deer laying down</t>
  </si>
  <si>
    <t>deer gutting knife</t>
  </si>
  <si>
    <t>deer standing</t>
  </si>
  <si>
    <t>https://www.themeateater.com/wired-to-hunt/whitetail-hunting/how-to-deer-hunt-standing-corn</t>
  </si>
  <si>
    <t>is an elk a deer</t>
  </si>
  <si>
    <t>https://www.wideopenspaces.com/the-difference-between-a-bull-elk-and-a-red-stag/</t>
  </si>
  <si>
    <t>hang on deer stand</t>
  </si>
  <si>
    <t>https://www.themeateater.com/wired-to-hunt/whitetail-hunting-gear/youre-hanging-your-tree-stands-wrong</t>
  </si>
  <si>
    <t>https://realtree.com/brow-tines-and-backstrap/is-it-safe-to-leave-treestands-out-all-year</t>
  </si>
  <si>
    <t>https://www.wideopenspaces.com/make-your-own-wooden-hang-on-deer-stand-this-guy-did/</t>
  </si>
  <si>
    <t>taxidermy for deer</t>
  </si>
  <si>
    <t>https://www.themeateater.com/wired-to-hunt/whitetail-hunting-gear/how-to-pick-a-good-deer-taxidermist</t>
  </si>
  <si>
    <t>https://www.wideopenspaces.com/taxidermy-deer-mount-how-much/</t>
  </si>
  <si>
    <t>when is the deer rut</t>
  </si>
  <si>
    <t>https://www.themeateater.com/wired-to-hunt/whitetail-hunting/rut-fresh-report-11-17-2022</t>
  </si>
  <si>
    <t>mule deer hunts</t>
  </si>
  <si>
    <t>deer roast</t>
  </si>
  <si>
    <t>how to cook deer tenderloin</t>
  </si>
  <si>
    <t>https://www.themeateater.com/watch/6175573952001/how-to-cook-venison-loin-in-the-field</t>
  </si>
  <si>
    <t>what do a deer sound like</t>
  </si>
  <si>
    <t>deer skin</t>
  </si>
  <si>
    <t>deer lease</t>
  </si>
  <si>
    <t>https://www.themeateater.com/hunt/big-game/ask-wired-to-hunt-how-do-i-find-a-hunting-lease</t>
  </si>
  <si>
    <t>deer nose</t>
  </si>
  <si>
    <t>https://www.themeateater.com/wired-to-hunt/whitetail-hunting/unmeasured-power-how-well-can-deer-smell</t>
  </si>
  <si>
    <t>https://realtree.com/brow-tines-and-backstrap/alabama-s-mysterious-big-nose-deer</t>
  </si>
  <si>
    <t>deer roast in crock pot</t>
  </si>
  <si>
    <t>https://www.themeateater.com/recipes/techniques/slow-cooking</t>
  </si>
  <si>
    <t>https://realtree.com/timber-2-table-wild-game-recipes/slow-cooker-venison-stroganoff</t>
  </si>
  <si>
    <t>european deer mount ideas</t>
  </si>
  <si>
    <t>deer mounts for sale</t>
  </si>
  <si>
    <t>picture deer poop</t>
  </si>
  <si>
    <t>idaho mule deer hunts</t>
  </si>
  <si>
    <t>deer skull mount</t>
  </si>
  <si>
    <t>95</t>
  </si>
  <si>
    <t>deer carcass</t>
  </si>
  <si>
    <t>https://www.themeateater.com/hunt/whitetail-deer/video-deer-carcass-completely-decomposes-in-5-days</t>
  </si>
  <si>
    <t>not deer</t>
  </si>
  <si>
    <t>elk vs deer</t>
  </si>
  <si>
    <t>not-deer</t>
  </si>
  <si>
    <t>does deer eat acorns</t>
  </si>
  <si>
    <t>https://www.themeateater.com/wired-to-hunt/whitetail-scouting/how-to-whitetail-hunt-around-acorns</t>
  </si>
  <si>
    <t>https://realtree.com/deer-hunting/articles/everything-you-need-to-know-about-acorns</t>
  </si>
  <si>
    <t>https://www.wideopenspaces.com/oak-trees-deer/</t>
  </si>
  <si>
    <t>whitetail deer buck</t>
  </si>
  <si>
    <t>https://www.themeateater.com/wired-to-hunt/whitetail-management/you-wont-believe-how-far-this-buck-traveled</t>
  </si>
  <si>
    <t>https://realtree.com/deer-hunting/articles/habits-of-mature-whitetail-deer</t>
  </si>
  <si>
    <t>deer tenderloin recipe</t>
  </si>
  <si>
    <t>https://www.themeateater.com/cook/recipes/venison-tenderloin-with-italian-salsa-verde-recipe</t>
  </si>
  <si>
    <t>world record mule deer</t>
  </si>
  <si>
    <t>https://www.themeateater.com/conservation/wildlife-management/the-letterman-buck</t>
  </si>
  <si>
    <t>best deer feed</t>
  </si>
  <si>
    <t>https://www.themeateater.com/wired-to-hunt/whitetail-scouting/best-food-sources-to-deer-hunt-in-october</t>
  </si>
  <si>
    <t>https://realtree.com/brow-tines-and-backstrap/8-things-you-can-use-to-bait-deer</t>
  </si>
  <si>
    <t>https://www.wideopenspaces.com/5-deer-attractants-drive-whitetail-bucks-crazy-pics/</t>
  </si>
  <si>
    <t>deer poop image</t>
  </si>
  <si>
    <t>deer season washington</t>
  </si>
  <si>
    <t>https://www.themeateater.com/conservation/wildlife-management/spring-bear-hunting-season-shut-down-again-in-washington-state</t>
  </si>
  <si>
    <t>diy deer stand</t>
  </si>
  <si>
    <t>wisconsin deer hunting hours 2022</t>
  </si>
  <si>
    <t>https://www.themeateater.com/shows/meateater</t>
  </si>
  <si>
    <t>deer head mounts</t>
  </si>
  <si>
    <t>unique deer mounts</t>
  </si>
  <si>
    <t>diy deer blind</t>
  </si>
  <si>
    <t>ground deer recipes</t>
  </si>
  <si>
    <t>https://www.themeateater.com/recipes/cuts/ground</t>
  </si>
  <si>
    <t>https://realtree.com/timber-2-table-wild-game-recipes/ground-venison-and-rice-bake</t>
  </si>
  <si>
    <t>https://www.wideopenspaces.com/5-ground-venison-recipes-that-will-become-your-new-go-to/</t>
  </si>
  <si>
    <t>wyoming mule deer hunts</t>
  </si>
  <si>
    <t>deer meet</t>
  </si>
  <si>
    <t>https://realtree.com/deer-hunting/articles/how-to-can-deer-meat</t>
  </si>
  <si>
    <t>shoulder mount deer</t>
  </si>
  <si>
    <t>soybeans for deer</t>
  </si>
  <si>
    <t>https://www.themeateater.com/wired-to-hunt/whitetail-management/will-deer-eat-yellow-soybeans</t>
  </si>
  <si>
    <t>https://realtree.com/food-plots-and-land-management/articles/food-plot-seed-how-to-plant-soybeans</t>
  </si>
  <si>
    <t>deer buck</t>
  </si>
  <si>
    <t>https://realtree.com/deer-hunting/articles/deer-aging-criteria-is-that-buck-mature</t>
  </si>
  <si>
    <t>deer backstrap recipes</t>
  </si>
  <si>
    <t>https://www.themeateater.com/recipes/cuts/backstrap</t>
  </si>
  <si>
    <t>https://www.wideopenspaces.com/venison-backstrap-recipes/</t>
  </si>
  <si>
    <t>deer hunting rifle</t>
  </si>
  <si>
    <t>sitka blacktail deer</t>
  </si>
  <si>
    <t>https://www.themeateater.com/shows/meateater/season-1/into-the-clouds-sitka-blacktail-deer</t>
  </si>
  <si>
    <t>https://realtree.com/all/articles/the-sitka-adventure</t>
  </si>
  <si>
    <t>deer poo</t>
  </si>
  <si>
    <t>deer skull mounts</t>
  </si>
  <si>
    <t>89</t>
  </si>
  <si>
    <t>https://www.wideopenspaces.com/european-skull-mount/</t>
  </si>
  <si>
    <t>deer jerky</t>
  </si>
  <si>
    <t>52</t>
  </si>
  <si>
    <t>deer meat near me</t>
  </si>
  <si>
    <t>deer summer sausage</t>
  </si>
  <si>
    <t>mounted deer antlers</t>
  </si>
  <si>
    <t>anatomy of deer</t>
  </si>
  <si>
    <t>https://www.themeateater.com/listen/wired-to-hunt/ep-546-the-story-of-deer-survival-whitetail-anatom</t>
  </si>
  <si>
    <t>kansas deer tags</t>
  </si>
  <si>
    <t>https://www.themeateater.com/hunt/big-game/big-game-tags-the-over-the-counter-option</t>
  </si>
  <si>
    <t>https://www.wideopenspaces.com/kansas-deer-hunting/</t>
  </si>
  <si>
    <t>saber tooth deer</t>
  </si>
  <si>
    <t>https://www.themeateater.com/shows/sabertooth</t>
  </si>
  <si>
    <t>spikezilla deer</t>
  </si>
  <si>
    <t>wyoming deer</t>
  </si>
  <si>
    <t>https://www.themeateater.com/shows/meateater/season-9/wyoming-mule-deer-part-1</t>
  </si>
  <si>
    <t>https://www.wideopenspaces.com/wyoming-deer-hunting/</t>
  </si>
  <si>
    <t>deer rifle</t>
  </si>
  <si>
    <t>90</t>
  </si>
  <si>
    <t>hunting deer</t>
  </si>
  <si>
    <t>deer vs elk</t>
  </si>
  <si>
    <t>do a deer</t>
  </si>
  <si>
    <t>deer euro mount ideas</t>
  </si>
  <si>
    <t>deer hunting with dogs</t>
  </si>
  <si>
    <t>https://www.themeateater.com/listen/wired-to-hunt/the-wired-to-hunt-podcast-episode-45-deer-dogs-wit</t>
  </si>
  <si>
    <t>https://realtree.com/deer-hunting/articles/5-traits-of-a-good-blood-trailing-deer-dog</t>
  </si>
  <si>
    <t>https://www.wideopenspaces.com/the-art-of-hunting-deer-with-dogs/</t>
  </si>
  <si>
    <t>head mounts for deer</t>
  </si>
  <si>
    <t>yearling deer</t>
  </si>
  <si>
    <t>https://www.themeateater.com/hunt/big-game/ask-meateater-whats-wrong-with-shooting-young-bucks</t>
  </si>
  <si>
    <t>https://realtree.com/brow-tines-and-backstrap/where-do-the-little-bucks-go</t>
  </si>
  <si>
    <t>doe a deer a female deer</t>
  </si>
  <si>
    <t>rain deer</t>
  </si>
  <si>
    <t>deer backstraps</t>
  </si>
  <si>
    <t>https://realtree.com/timber-2-table-wild-game-recipes/reverse-seared-smoked-venison-backstrap</t>
  </si>
  <si>
    <t>deer tree stands</t>
  </si>
  <si>
    <t>https://www.themeateater.com/wired-to-hunt/whitetail-scouting/how-to-pick-the-perfect-tree-stand-location-in-summer</t>
  </si>
  <si>
    <t>https://realtree.com/deer-hunting/articles/15-tips-for-deer-hunting-from-a-treestand</t>
  </si>
  <si>
    <t>whitetail deer skull</t>
  </si>
  <si>
    <t>https://www.themeateater.com/wired-to-hunt/whitetail-management/cranial-abscess-syndrome-the-false-cwd</t>
  </si>
  <si>
    <t>gun for deer hunting</t>
  </si>
  <si>
    <t>anatomy of a deer</t>
  </si>
  <si>
    <t>the deer hunting</t>
  </si>
  <si>
    <t>https://www.themeateater.com/wired-to-hunt/whitetail-hunting/why-december-deer-hunting-can-be-amazing-or-terrible</t>
  </si>
  <si>
    <t>big buck deer</t>
  </si>
  <si>
    <t>https://www.themeateater.com/wired-to-hunt/whitetail-hunting/how-to-track-a-buck-in-the-big-woods</t>
  </si>
  <si>
    <t>https://realtree.com/deer-hunting/articles/how-to-hunt-big-old-mature-bucks</t>
  </si>
  <si>
    <t>deer poop vs bear poop</t>
  </si>
  <si>
    <t>https://www.wideopenspaces.com/can-you-id-these-animals-by-their-poop/</t>
  </si>
  <si>
    <t>is deer meat good for you</t>
  </si>
  <si>
    <t>67</t>
  </si>
  <si>
    <t>deer tracks</t>
  </si>
  <si>
    <t>what does deer sound like</t>
  </si>
  <si>
    <t>couse deer</t>
  </si>
  <si>
    <t>https://www.themeateater.com/watch/6174832058001/steven-rinella-tracks-coues-deer-in-arizona</t>
  </si>
  <si>
    <t>https://realtree.com/deer-hunting/articles/the-toughest-deer</t>
  </si>
  <si>
    <t>do deer move when its windy</t>
  </si>
  <si>
    <t>deer poop images</t>
  </si>
  <si>
    <t>pet deer</t>
  </si>
  <si>
    <t>https://www.themeateater.com/conservation/wildlife-management/video-game-warden-shoots-familys-pet-deer</t>
  </si>
  <si>
    <t>https://www.wideopenspaces.com/deer-as-pets/</t>
  </si>
  <si>
    <t>deer woods</t>
  </si>
  <si>
    <t>best feed for deer</t>
  </si>
  <si>
    <t>https://realtree.com/brow-tines-and-backstrap/10-feeding-habits-of-mature-deer</t>
  </si>
  <si>
    <t>food plot seed for deer</t>
  </si>
  <si>
    <t>cellular deer camera</t>
  </si>
  <si>
    <t>https://www.themeateater.com/gear/general/best-trail-cameras</t>
  </si>
  <si>
    <t>https://realtree.com/brow-tines-and-backstrap/is-a-trail-camera-ban-coming-to-a-state-near-you</t>
  </si>
  <si>
    <t>lock on deer stand</t>
  </si>
  <si>
    <t>https://www.themeateater.com/wired-to-hunt/whitetail-scouting/ask-meateater-how-high-do-you-hang-tree-stands</t>
  </si>
  <si>
    <t>oklahoma deer hunting</t>
  </si>
  <si>
    <t>https://www.themeateater.com/hunt/whitetail-deer/deer-fart-almost-ruins-hunt-for-potential-oklahoma-record-buck</t>
  </si>
  <si>
    <t>https://www.wideopenspaces.com/the-great-big-oklahoma-deer-hunting-guide/</t>
  </si>
  <si>
    <t>deer anatomy</t>
  </si>
  <si>
    <t>coues deer</t>
  </si>
  <si>
    <t>mounted deer head</t>
  </si>
  <si>
    <t>deer tenderloin</t>
  </si>
  <si>
    <t>colorado deer</t>
  </si>
  <si>
    <t>deer shot placement neck</t>
  </si>
  <si>
    <t>https://www.themeateater.com/wired-to-hunt/whitetail-hunting/the-truth-about-frontal-shots-on-deer</t>
  </si>
  <si>
    <t>are deer nocturnal</t>
  </si>
  <si>
    <t>deer running</t>
  </si>
  <si>
    <t>https://www.themeateater.com/hunt/big-game/ask-meateater-will-you-shoot-at-running-game</t>
  </si>
  <si>
    <t>images deer poop</t>
  </si>
  <si>
    <t>deer blinds for sale near me</t>
  </si>
  <si>
    <t>montana mule deer hunts</t>
  </si>
  <si>
    <t>deer hunts</t>
  </si>
  <si>
    <t>https://www.themeateater.com/wired-to-hunt/whitetail-hunting/the-reality-of-outfitted-deer-hunts</t>
  </si>
  <si>
    <t>what sound does a deer make</t>
  </si>
  <si>
    <t>deer european mount</t>
  </si>
  <si>
    <t>does deer</t>
  </si>
  <si>
    <t>https://realtree.com/brow-tines-and-backstrap/does-a-snorting-deer-mean-your-hunt-s-over</t>
  </si>
  <si>
    <t>how to cook deer backstrap</t>
  </si>
  <si>
    <t>https://www.themeateater.com/cook/cooking-techniques/how-to-cook-a-backstrap-steak</t>
  </si>
  <si>
    <t>deer predators</t>
  </si>
  <si>
    <t>https://realtree.com/deer-hunting/articles/predators-are-decimating-mule-deer-herds</t>
  </si>
  <si>
    <t>deer stand plans</t>
  </si>
  <si>
    <t>deer movement times chart</t>
  </si>
  <si>
    <t>deer hunting california</t>
  </si>
  <si>
    <t>https://www.themeateater.com/watch/6175630772001/steven-rinella-hunts-his-first-columbia-blacktail-deer-in-california</t>
  </si>
  <si>
    <t>deer shed</t>
  </si>
  <si>
    <t>https://www.themeateater.com/wired-to-hunt/whitetail-scouting/ask-wired-to-hunt-when-should-you-start-shed-hunting</t>
  </si>
  <si>
    <t>how do deer stay warm in the winter</t>
  </si>
  <si>
    <t>https://realtree.com/brow-tines-and-backstrap/7-hot-tactics-for-cold-weather-deer-hunting</t>
  </si>
  <si>
    <t>https://www.wideopenspaces.com/deer-survive-winter/</t>
  </si>
  <si>
    <t>mule deer range</t>
  </si>
  <si>
    <t>https://realtree.com/all/articles/are-mule-deer-getting-the-boot-from-whitetails</t>
  </si>
  <si>
    <t>do a deer a female deer</t>
  </si>
  <si>
    <t>picture of a deer buck</t>
  </si>
  <si>
    <t>https://www.wideopenspaces.com/check-25-awesome-vintage-deer-hunting-photos-whitetailwednesday/</t>
  </si>
  <si>
    <t>deer meat</t>
  </si>
  <si>
    <t>12100</t>
  </si>
  <si>
    <t>deer meat for sale</t>
  </si>
  <si>
    <t>columbian black tailed deer</t>
  </si>
  <si>
    <t>taxidermy deer</t>
  </si>
  <si>
    <t>what do deer eat in the wild</t>
  </si>
  <si>
    <t>https://realtree.com/the-realblog-with-stephanie-mallory/did-you-know-deer-eat-meat</t>
  </si>
  <si>
    <t>https://www.wideopenspaces.com/do-deer-eat-meat/</t>
  </si>
  <si>
    <t>what do deers like to eat</t>
  </si>
  <si>
    <t>whitetail deer mounts</t>
  </si>
  <si>
    <t>deer cameras</t>
  </si>
  <si>
    <t>https://realtree.com/deer-hunting/articles/5-advanced-trail-camera-tactics</t>
  </si>
  <si>
    <t>https://www.wideopenspaces.com/11-trail-cameras-tested-quality-distance-trigger-speed/</t>
  </si>
  <si>
    <t>deer with antlers</t>
  </si>
  <si>
    <t>https://realtree.com/all/articles/antler-trivia</t>
  </si>
  <si>
    <t>deer cams</t>
  </si>
  <si>
    <t>back straps deer</t>
  </si>
  <si>
    <t>bear poop vs deer poop</t>
  </si>
  <si>
    <t>https://www.wideopenspaces.com/bear-scat-how-to-identify-poop-from-the-most-common-species/</t>
  </si>
  <si>
    <t>do deer eat acorns</t>
  </si>
  <si>
    <t>easy drawings of a deer</t>
  </si>
  <si>
    <t>deer with horns</t>
  </si>
  <si>
    <t>pooping deer</t>
  </si>
  <si>
    <t>https://www.themeateater.com/hunt/whitetail-deer/how-to-crap-in-the-woods-like-a-pro</t>
  </si>
  <si>
    <t>deer scat</t>
  </si>
  <si>
    <t>what is deer meat called</t>
  </si>
  <si>
    <t>what sound does the deer make</t>
  </si>
  <si>
    <t>deer pics</t>
  </si>
  <si>
    <t>https://realtree.com/deer-hunting/articles/10-tips-for-great-deer-pictures</t>
  </si>
  <si>
    <t>what deer eat</t>
  </si>
  <si>
    <t>monster mule deer</t>
  </si>
  <si>
    <t>https://www.wideopenspaces.com/mule-deer-hunt-velvet-mule-deer/</t>
  </si>
  <si>
    <t>ms deer season</t>
  </si>
  <si>
    <t>https://realtree.com/deer-hunting/articles/where-to-deer-hunt-in-february</t>
  </si>
  <si>
    <t>deer movement times today</t>
  </si>
  <si>
    <t>dead deer get well soon</t>
  </si>
  <si>
    <t>https://www.themeateater.com/cook/butchering-and-processing/do-you-need-to-bleed-deer</t>
  </si>
  <si>
    <t>https://realtree.com/brow-tines-and-backstrap/just-how-bad-has-winter-kill-been-on-deer-this-year</t>
  </si>
  <si>
    <t>deer stock</t>
  </si>
  <si>
    <t>https://www.themeateater.com/cook/recipes/how-to-make-wild-game-stock</t>
  </si>
  <si>
    <t>homemade deer stand</t>
  </si>
  <si>
    <t>skinwalker deer</t>
  </si>
  <si>
    <t>https://www.themeateater.com/hunt/whitetail-deer/video-zombie-deer-with-unbelievable-wound-caught-on-trail-camera</t>
  </si>
  <si>
    <t>ground deer meat recipes</t>
  </si>
  <si>
    <t>deer burger recipe</t>
  </si>
  <si>
    <t>https://www.themeateater.com/cook/recipes/copycat-white-castle-venison-burgers</t>
  </si>
  <si>
    <t>https://www.wideopenspaces.com/axis-venison-burgers/</t>
  </si>
  <si>
    <t>michigan deer hunting</t>
  </si>
  <si>
    <t>https://www.themeateater.com/listen/wired-to-hunt/ep-341-planning-a-once-in-a-lifetime-michigan-deer-hunt-with-dan-johnson</t>
  </si>
  <si>
    <t>https://www.wideopenspaces.com/an-outsiders-look-at-michigan-deer-hunting/</t>
  </si>
  <si>
    <t>food for deer</t>
  </si>
  <si>
    <t>buck deer pictures</t>
  </si>
  <si>
    <t>https://www.themeateater.com/hunt/whitetail-deer/photos-this-buck-might-crush-the-indiana-state-record</t>
  </si>
  <si>
    <t>https://www.wideopenspaces.com/8-ways-take-bad-photo-trophy-buck-pics/</t>
  </si>
  <si>
    <t>european deer mount</t>
  </si>
  <si>
    <t>deer call</t>
  </si>
  <si>
    <t>deer camera</t>
  </si>
  <si>
    <t>https://www.themeateater.com/wired-to-hunt/whitetail-scouting/youre-using-trail-camera-photos-wrong</t>
  </si>
  <si>
    <t>https://realtree.com/brow-tines-and-backstrap/how-to-use-a-trail-camera</t>
  </si>
  <si>
    <t>doh deer</t>
  </si>
  <si>
    <t>arizona deer</t>
  </si>
  <si>
    <t>deer femur</t>
  </si>
  <si>
    <t>https://www.themeateater.com/cook/butchering-and-processing/video-how-to-remove-a-venison-hindquarter</t>
  </si>
  <si>
    <t>https://www.wideopenspaces.com/deer-bone-marrow/</t>
  </si>
  <si>
    <t>ticks on deer</t>
  </si>
  <si>
    <t>https://www.themeateater.com/conservation/wildlife-management/is-killing-more-deer-the-answer-to-reducing-tick-diseases</t>
  </si>
  <si>
    <t>whitetail deer pictures</t>
  </si>
  <si>
    <t>deer mount</t>
  </si>
  <si>
    <t>backstrap deer</t>
  </si>
  <si>
    <t>https://www.wideopenspaces.com/grilled-venison-backstrap-recipe-is-a-mouthwatering-favorite/</t>
  </si>
  <si>
    <t>black tailed deer</t>
  </si>
  <si>
    <t>deercast</t>
  </si>
  <si>
    <t>https://www.themeateater.com/wired-to-hunt/whitetail-hunting/how-mark-drury-predicts-buck-movement-based-on-wind</t>
  </si>
  <si>
    <t>https://www.wideopenspaces.com/a-more-detailed-look-at-the-drury-outdoors-deercast-hunting-app/</t>
  </si>
  <si>
    <t>deer stew</t>
  </si>
  <si>
    <t>https://www.themeateater.com/cook/recipes/guinness-venison-stew</t>
  </si>
  <si>
    <t>https://realtree.com/timber-2-table-wild-game-recipes/bonnies-easy-venison-stew</t>
  </si>
  <si>
    <t>deer stew recipe</t>
  </si>
  <si>
    <t>79</t>
  </si>
  <si>
    <t>https://realtree.com/timber-2-table-wild-game-recipes/muley-caldillo-mexican-style-mule-deer-stew</t>
  </si>
  <si>
    <t>how many stomachs does a deer have</t>
  </si>
  <si>
    <t>https://www.themeateater.com/cook/cooking-techniques/5-organs-you-should-save-from-deer</t>
  </si>
  <si>
    <t>hemp rope for deer</t>
  </si>
  <si>
    <t>https://www.themeateater.com/wired-to-hunt/whitetail-management/the-most-underrated-type-of-food-plot</t>
  </si>
  <si>
    <t>deer stand</t>
  </si>
  <si>
    <t>9900</t>
  </si>
  <si>
    <t>https://realtree.com/timber-2-table-articles/the-10-best-snacks-for-the-deer-stand</t>
  </si>
  <si>
    <t>melanistic deer</t>
  </si>
  <si>
    <t>https://www.themeateater.com/conservation/wildlife-management/video-texas-biologists-spot-one-in-a-million-deer</t>
  </si>
  <si>
    <t>https://realtree.com/brow-tines-and-backstrap/have-you-ever-seen-a-melanistic-whitetail</t>
  </si>
  <si>
    <t>fanged deer</t>
  </si>
  <si>
    <t>doe a deer</t>
  </si>
  <si>
    <t>https://realtree.com/brow-tines-and-backstrap/5-signs-a-doe-is-in-estrous</t>
  </si>
  <si>
    <t>how often do male deer grow new antlers</t>
  </si>
  <si>
    <t>deer scat images</t>
  </si>
  <si>
    <t>deer diagram</t>
  </si>
  <si>
    <t>deer hunter games</t>
  </si>
  <si>
    <t>https://www.themeateater.com/wired-to-hunt/whitetail-hunting/5-games-every-deer-camp-should-have</t>
  </si>
  <si>
    <t>https://www.wideopenspaces.com/5-of-the-best-hunting-video-games-ever-made/</t>
  </si>
  <si>
    <t>whitetail deer antlers</t>
  </si>
  <si>
    <t>https://realtree.com/brow-tines-and-backstrap/10-amazing-facts-about-velvet-antlers</t>
  </si>
  <si>
    <t>best deer hunting rifles 2022</t>
  </si>
  <si>
    <t>https://realtree.com/big-game-hunting/articles/picking-the-best-rifle-and-caliber-for-pig-hunting</t>
  </si>
  <si>
    <t>deer mounting ideas</t>
  </si>
  <si>
    <t>how to clean a deer skull</t>
  </si>
  <si>
    <t>deer hunting videos</t>
  </si>
  <si>
    <t>60</t>
  </si>
  <si>
    <t>https://realtree.com/deer-hunting/articles/deer-hunting-the-late-season</t>
  </si>
  <si>
    <t>deer burger</t>
  </si>
  <si>
    <t>https://www.themeateater.com/cook/recipes/venison-smashburger-recipe</t>
  </si>
  <si>
    <t>https://realtree.com/timber-2-table-wild-game-recipes/stuffed-venison-burgers</t>
  </si>
  <si>
    <t>https://www.wideopenspaces.com/top-6-venison-burger-recipes/</t>
  </si>
  <si>
    <t>do deer antlers fall off</t>
  </si>
  <si>
    <t>https://www.themeateater.com/wired-to-hunt/whitetail-management/why-midwest-whitetails-shedding-early</t>
  </si>
  <si>
    <t>deer poop</t>
  </si>
  <si>
    <t>deer backstrap</t>
  </si>
  <si>
    <t>deer hunting games</t>
  </si>
  <si>
    <t>deer season indiana 2022</t>
  </si>
  <si>
    <t>https://www.wideopenspaces.com/indiana-hunting-license/</t>
  </si>
  <si>
    <t>black-tailed deer</t>
  </si>
  <si>
    <t>deer fighting</t>
  </si>
  <si>
    <t>https://www.themeateater.com/watch/6211742820001/rutting-buck-fights-bull-angus</t>
  </si>
  <si>
    <t>https://www.wideopenspaces.com/tines-flying-two-mature-whitetails-fight-and-a-third-buck-surprises-both/</t>
  </si>
  <si>
    <t>deer noise</t>
  </si>
  <si>
    <t>https://www.themeateater.com/wired-to-hunt/whitetail-hunting/how-well-do-deer-hear</t>
  </si>
  <si>
    <t>deer burger recipes</t>
  </si>
  <si>
    <t>deer food plot</t>
  </si>
  <si>
    <t>deer hunting hours wisconsin</t>
  </si>
  <si>
    <t>monster whitetail deer</t>
  </si>
  <si>
    <t>https://realtree.com/deer-hunting/articles/serious-sleeper-states-with-big-whitetails</t>
  </si>
  <si>
    <t>what do deer like to eat</t>
  </si>
  <si>
    <t>deer hunting blinds</t>
  </si>
  <si>
    <t>deer movement chart 2022</t>
  </si>
  <si>
    <t>high fence deer</t>
  </si>
  <si>
    <t>https://www.wideopenspaces.com/ethics-check-is-high-fence-hunting-actually-a-brilliant-business-idea/</t>
  </si>
  <si>
    <t>what eats deer</t>
  </si>
  <si>
    <t>cars that hit deer</t>
  </si>
  <si>
    <t>https://www.themeateater.com/conservation/habitat/bar-room-banter-top-10-states-for-deer-vehicle-collisions</t>
  </si>
  <si>
    <t>deer pooping</t>
  </si>
  <si>
    <t>best food plot for deer</t>
  </si>
  <si>
    <t>https://www.themeateater.com/wired-to-hunt/whitetail-management/3-best-food-plot-shapes</t>
  </si>
  <si>
    <t>https://realtree.com/deer-hunting/articles/5-food-plots-for-procrastinators</t>
  </si>
  <si>
    <t>https://www.wideopenspaces.com/9-food-plot-tips-will-bring-deer-droves/</t>
  </si>
  <si>
    <t>climbing deer stand</t>
  </si>
  <si>
    <t>https://www.wideopenspaces.com/let-these-old-tree-climbing-stands-take-you-back-in-time/</t>
  </si>
  <si>
    <t>deer ankles</t>
  </si>
  <si>
    <t>whitetail deer</t>
  </si>
  <si>
    <t>deer cast</t>
  </si>
  <si>
    <t>https://realtree.com/brow-tines-and-backstrap/10-best-deer-hunting-apps-for-2019</t>
  </si>
  <si>
    <t>sika deer maryland</t>
  </si>
  <si>
    <t>https://www.themeateater.com/hunt/big-game/season-8-episode-3-gear-ghosts-of-the-chesapeake</t>
  </si>
  <si>
    <t>https://www.wideopenspaces.com/maryland-sika-deer-hunting/</t>
  </si>
  <si>
    <t>why do deer shed their antlers</t>
  </si>
  <si>
    <t>https://www.themeateater.com/wired-to-hunt/whitetail-scouting/the-buck-that-never-shed-its-antlers</t>
  </si>
  <si>
    <t>https://realtree.com/brow-tines-and-backstrap/why-are-some-bucks-shedding-antlers-early</t>
  </si>
  <si>
    <t>deer tags</t>
  </si>
  <si>
    <t>https://www.themeateater.com/hunt/big-game/big-game-tags-understanding-license-draws</t>
  </si>
  <si>
    <t>what do white tailed deer eat</t>
  </si>
  <si>
    <t>deer pictures</t>
  </si>
  <si>
    <t>https://www.wideopenspaces.com/can-find-hidden-animals-round-2-deer-pics/</t>
  </si>
  <si>
    <t>deer jerky recipe</t>
  </si>
  <si>
    <t>https://www.themeateater.com/cook/recipes/maple-syrup-venison-jerky-recipe</t>
  </si>
  <si>
    <t>deer shoulder mount</t>
  </si>
  <si>
    <t>food plot seeds for deer</t>
  </si>
  <si>
    <t>deer legs</t>
  </si>
  <si>
    <t>https://www.wideopenspaces.com/deer-hooves-what-theyre-made-from-and-indicators-of-health/</t>
  </si>
  <si>
    <t>deer jerky marinade</t>
  </si>
  <si>
    <t>deer caller</t>
  </si>
  <si>
    <t>average deer weight</t>
  </si>
  <si>
    <t>deer jerky recipes</t>
  </si>
  <si>
    <t>deermeat for dinner</t>
  </si>
  <si>
    <t>https://www.wideopenspaces.com/searching-for-the-best-venison-recipe-what-30-minutes-googling-deer-meat-taught-me/</t>
  </si>
  <si>
    <t>get well soon dead deer</t>
  </si>
  <si>
    <t>black tail deer</t>
  </si>
  <si>
    <t>how to draw a deer easy</t>
  </si>
  <si>
    <t>deer drive</t>
  </si>
  <si>
    <t>https://www.themeateater.com/wired-to-hunt/whitetail-hunting/how-to-mooch-deer-like-doug-duren</t>
  </si>
  <si>
    <t>https://www.wideopenspaces.com/what-is-a-deer-drive/</t>
  </si>
  <si>
    <t>doe mule deer</t>
  </si>
  <si>
    <t>skinning knife for deer</t>
  </si>
  <si>
    <t>https://realtree.com/brow-tines-and-backstrap/15-steps-to-forge-your-own-deer-skinning-knife</t>
  </si>
  <si>
    <t>big deer</t>
  </si>
  <si>
    <t>deer poop pictures</t>
  </si>
  <si>
    <t>pronghorn deer</t>
  </si>
  <si>
    <t>https://www.themeateater.com/hunt/pronghorn-antelope/a-guide-to-hunting-pronghorn-antelope</t>
  </si>
  <si>
    <t>best deer hunting times</t>
  </si>
  <si>
    <t>when do whitetail deer shed their antlers</t>
  </si>
  <si>
    <t>deer tag</t>
  </si>
  <si>
    <t>deer meat for dinner</t>
  </si>
  <si>
    <t>https://www.wideopenspaces.com/this-13-foot-1100-pound-alligator-needs-a-whole-wall-for-the-mount/</t>
  </si>
  <si>
    <t>do bears eat deer</t>
  </si>
  <si>
    <t>https://www.themeateater.com/hunt/black-bear/a-guide-to-hunting-black-bear</t>
  </si>
  <si>
    <t>hunting deer with a shotgun</t>
  </si>
  <si>
    <t>https://www.themeateater.com/gear/gear-hunt/hunting-slug-guns</t>
  </si>
  <si>
    <t>rabbit poop vs deer poop</t>
  </si>
  <si>
    <t>a pet deer</t>
  </si>
  <si>
    <t>pop up deer blind</t>
  </si>
  <si>
    <t>https://realtree.com/all/articles/staying-grounded</t>
  </si>
  <si>
    <t>deer food plots</t>
  </si>
  <si>
    <t>https://realtree.com/brow-tines-and-backstrap/micro-food-plots-for-bow-season</t>
  </si>
  <si>
    <t>deer feet</t>
  </si>
  <si>
    <t>deer sound</t>
  </si>
  <si>
    <t>biggest deer</t>
  </si>
  <si>
    <t>https://www.themeateater.com/hunt/mule-deer/is-this-the-new-texas-state-record-mule-deer</t>
  </si>
  <si>
    <t>deer jerky seasoning</t>
  </si>
  <si>
    <t>is deer meat healthy</t>
  </si>
  <si>
    <t>deer tracking dogs near me</t>
  </si>
  <si>
    <t>https://www.themeateater.com/wired-to-hunt/whitetail-hunting/how-to-train-your-dog-to-blood-trail-deer</t>
  </si>
  <si>
    <t>how to can deer meat</t>
  </si>
  <si>
    <t>https://www.wideopenspaces.com/canned-venison-how-to-preserve-your-wild-game-meat-the-old-fashioned-way/</t>
  </si>
  <si>
    <t>deer season texas 2022</t>
  </si>
  <si>
    <t>https://www.wideopenspaces.com/when-does-deer-season-end-in-texas/</t>
  </si>
  <si>
    <t>deer backstrap recipe</t>
  </si>
  <si>
    <t>https://realtree.com/timber-2-table-wild-game-recipes/deer-camp-deep-fried-backstrap-recipe</t>
  </si>
  <si>
    <t>https://www.wideopenspaces.com/mouthwatering-stuffed-venison-backstrap/</t>
  </si>
  <si>
    <t>horns of a deer</t>
  </si>
  <si>
    <t>https://www.themeateater.com/conservation/wildlife-management/does-hunting-make-animals-evolve-smaller-antlers-and-horns</t>
  </si>
  <si>
    <t>sitka deer</t>
  </si>
  <si>
    <t>deer taxidermy</t>
  </si>
  <si>
    <t>deer vitals target</t>
  </si>
  <si>
    <t>indiana deer hunting</t>
  </si>
  <si>
    <t>https://realtree.com/brow-tines-and-backstrap/how-indiana-became-the-best-big-buck-state-in-the-nation</t>
  </si>
  <si>
    <t>buck deer</t>
  </si>
  <si>
    <t>https://realtree.com/deer-hunting/articles/10-things-you-didn-t-know-about-velvet-bucks</t>
  </si>
  <si>
    <t>oklahoma deer season 2022</t>
  </si>
  <si>
    <t>deer season georgia 2022</t>
  </si>
  <si>
    <t>https://www.themeateater.com/wired-to-hunt/whitetail-hunting/rut-fresh-report-11-10-2022</t>
  </si>
  <si>
    <t>https://www.wideopenspaces.com/when-does-deer-season-end-in-georgia/</t>
  </si>
  <si>
    <t>bucks deer</t>
  </si>
  <si>
    <t>https://realtree.com/deer-hunting/articles/how-managing-for-older-bigger-bucks-helps-the-entire-deer-herd</t>
  </si>
  <si>
    <t>do deer lose their antlers every year</t>
  </si>
  <si>
    <t>deer scat image</t>
  </si>
  <si>
    <t>cool deer mounts</t>
  </si>
  <si>
    <t>deer ear</t>
  </si>
  <si>
    <t>deer processor</t>
  </si>
  <si>
    <t>https://www.themeateater.com/conservation/wildlife-management/deer-processors-face-91-charges-for-poaching-and-money-laundering</t>
  </si>
  <si>
    <t>https://realtree.com/timber-2-table-articles/5-things-your-deer-processor-hates</t>
  </si>
  <si>
    <t>fawn deer</t>
  </si>
  <si>
    <t>https://www.themeateater.com/wired-to-hunt/whitetail-management/what-is-killing-americas-fawns</t>
  </si>
  <si>
    <t>how long to dehydrate deer jerky</t>
  </si>
  <si>
    <t>https://www.wideopenspaces.com/3-venison-jerky-pointers-worth-setting-to-memory/</t>
  </si>
  <si>
    <t>deer movement times</t>
  </si>
  <si>
    <t>what does cwd look like in deer meat</t>
  </si>
  <si>
    <t>https://www.themeateater.com/hunt/big-game/why-every-hunter-should-care-about-chronic-wasting-disease</t>
  </si>
  <si>
    <t>https://realtree.com/brow-tines-and-backstrap/6-things-hunters-have-to-know-about-chronic-wasting-disease</t>
  </si>
  <si>
    <t>deer drop</t>
  </si>
  <si>
    <t>https://www.themeateater.com/wired-to-hunt/whitetail-hunting-gear/new-studies-show-deer-can-duck-nearly-any-arrow</t>
  </si>
  <si>
    <t>https://realtree.com/deer-hunting/articles/deer-hunting-a-quest-for-a-drop-tine-buck</t>
  </si>
  <si>
    <t>live deer cam</t>
  </si>
  <si>
    <t>https://realtree.com/the-realblog-with-stephanie-mallory/watch-live-cam-of-maine-deer-pantry</t>
  </si>
  <si>
    <t>louisiana deer season 2022</t>
  </si>
  <si>
    <t>when do deer lose their antlers</t>
  </si>
  <si>
    <t>deer leg bones</t>
  </si>
  <si>
    <t>86</t>
  </si>
  <si>
    <t>deer hunter</t>
  </si>
  <si>
    <t>27100</t>
  </si>
  <si>
    <t>https://www.themeateater.com/wired-to-hunt/whitetail-hunting/5-habits-that-will-make-you-a-better-deer-hunter</t>
  </si>
  <si>
    <t>https://realtree.com/deer-hunting/articles/25-tips-for-new-deer-hunters</t>
  </si>
  <si>
    <t>deer versus elk</t>
  </si>
  <si>
    <t>nebraska deer season 2022</t>
  </si>
  <si>
    <t>https://www.themeateater.com/conservation/wildlife-management/nebraska-introduces-controversial-july-elk-season</t>
  </si>
  <si>
    <t>https://realtree.com/brow-tines-and-backstrap/2022-midwest-deer-hunting-forecast</t>
  </si>
  <si>
    <t>https://www.wideopenspaces.com/nebraska-turkey-hunting/</t>
  </si>
  <si>
    <t>deer hunting</t>
  </si>
  <si>
    <t>deer cube steak recipes</t>
  </si>
  <si>
    <t>https://www.themeateater.com/cook/recipes/venison-steak-and-eggs-recipe</t>
  </si>
  <si>
    <t>climber deer stand</t>
  </si>
  <si>
    <t>https://realtree.com/brow-tines-and-backstrap/the-case-for-climbing-stands</t>
  </si>
  <si>
    <t>how to attract deer</t>
  </si>
  <si>
    <t>https://www.themeateater.com/wired-to-hunt/whitetail-hunting-gear/the-single-best-way-to-get-bucks-on-trail-cam-without-bait</t>
  </si>
  <si>
    <t>ky deer season 2022</t>
  </si>
  <si>
    <t>https://realtree.com/brow-tines-and-backstrap/kentucky-proposes-massive-changes-to-deer-hunting-seasons-and-regulations</t>
  </si>
  <si>
    <t>small deer</t>
  </si>
  <si>
    <t>https://www.themeateater.com/wired-to-hunt/whitetail-hunting/how-to-deer-hunt-a-small-property</t>
  </si>
  <si>
    <t>https://realtree.com/all/articles/small-property-whitetails</t>
  </si>
  <si>
    <t>kentucky deer season 2022</t>
  </si>
  <si>
    <t>deer season ky 2022</t>
  </si>
  <si>
    <t>deer head mount</t>
  </si>
  <si>
    <t>85</t>
  </si>
  <si>
    <t>deer hunt</t>
  </si>
  <si>
    <t>https://www.themeateater.com/wired-to-hunt/whitetail-scouting/how-the-hunting-public-finds-quality-public-land-deer-hunting</t>
  </si>
  <si>
    <t>https://realtree.com/deer-hunting/articles/how-to-deer-hunt-in-september</t>
  </si>
  <si>
    <t>when is rutting season for deer</t>
  </si>
  <si>
    <t>what do deer eat</t>
  </si>
  <si>
    <t>18100</t>
  </si>
  <si>
    <t>deer noises</t>
  </si>
  <si>
    <t>how fast a deer can run</t>
  </si>
  <si>
    <t>nebraska deer season</t>
  </si>
  <si>
    <t>axis deer hunting</t>
  </si>
  <si>
    <t>https://www.themeateater.com/listen/the-element/e288-texas-summer-axis-deer-hunting-axis-rut-south</t>
  </si>
  <si>
    <t>ar deer season</t>
  </si>
  <si>
    <t>deer leases</t>
  </si>
  <si>
    <t>deer shot placement chart</t>
  </si>
  <si>
    <t>do deer shed their antlers every year</t>
  </si>
  <si>
    <t>running deer</t>
  </si>
  <si>
    <t>elevated deer blind</t>
  </si>
  <si>
    <t>https://www.wideopenspaces.com/elevated-hunting-blind/</t>
  </si>
  <si>
    <t>deer in snow</t>
  </si>
  <si>
    <t>ground deer jerky recipe</t>
  </si>
  <si>
    <t>https://www.themeateater.com/cook/recipes/chipotle-cherry-goose-jerky-recipe</t>
  </si>
  <si>
    <t>https://realtree.com/timber-2-table-wild-game-recipes/sliced-jerky-vs-ground-which-is-best</t>
  </si>
  <si>
    <t>https://www.wideopenspaces.com/best-way-to-make-venison-jerky/</t>
  </si>
  <si>
    <t>why do deers shed their antlers</t>
  </si>
  <si>
    <t>how much does deer weigh</t>
  </si>
  <si>
    <t>notdeer</t>
  </si>
  <si>
    <t>moose vs deer</t>
  </si>
  <si>
    <t>https://www.themeateater.com/hunt/moose/a-guide-to-hunting-moose</t>
  </si>
  <si>
    <t>corn for deer</t>
  </si>
  <si>
    <t>https://realtree.com/brow-tines-and-backstrap/will-skyrocketing-corn-prices-affect-your-deer-season</t>
  </si>
  <si>
    <t>https://www.wideopenspaces.com/deer-corn/</t>
  </si>
  <si>
    <t>deers falling down at the part</t>
  </si>
  <si>
    <t>https://www.themeateater.com/wired-to-hunt/whitetail-scouting/12-quick-pro-tips-to-improve-your-deer-hunting-this-fall</t>
  </si>
  <si>
    <t>deer jerky dehydrator</t>
  </si>
  <si>
    <t>whistle for deer</t>
  </si>
  <si>
    <t>https://www.themeateater.com/conservation/anthropology/is-this-the-oldest-duck-call-in-the-world</t>
  </si>
  <si>
    <t>deer rutting season</t>
  </si>
  <si>
    <t>what does deer taste like</t>
  </si>
  <si>
    <t>https://www.themeateater.com/cook/cooking-techniques/stop-using-the-word-gamey</t>
  </si>
  <si>
    <t>https://www.wideopenspaces.com/the-4-most-effective-ways-to-get-rid-of-the-gamey-taste-in-wild-meat/</t>
  </si>
  <si>
    <t>deer cwd</t>
  </si>
  <si>
    <t>https://www.themeateater.com/wired-to-hunt/whitetail-management/what-the-cwd-bill-means-for-deer-and-deer-hunters</t>
  </si>
  <si>
    <t>deer season va 2022</t>
  </si>
  <si>
    <t>https://www.themeateater.com/conservation/policy-and-legislation/virginia-finally-ends-sunday-hunting-ban</t>
  </si>
  <si>
    <t>va deer season 2022</t>
  </si>
  <si>
    <t>bj deer</t>
  </si>
  <si>
    <t>https://www.themeateater.com/</t>
  </si>
  <si>
    <t>does a deer eat meat</t>
  </si>
  <si>
    <t>deer minerals</t>
  </si>
  <si>
    <t>https://www.themeateater.com/wired-to-hunt/whitetail-management/what-you-need-to-know-about-minerals-for-deer</t>
  </si>
  <si>
    <t>https://realtree.com/deer-hunting/articles/do-your-deer-need-minerals</t>
  </si>
  <si>
    <t>how much does a deer weigh</t>
  </si>
  <si>
    <t>99</t>
  </si>
  <si>
    <t>deer country wallpaper</t>
  </si>
  <si>
    <t>what is cwd in deer</t>
  </si>
  <si>
    <t>deer head mounted</t>
  </si>
  <si>
    <t>do deer mourn their dead</t>
  </si>
  <si>
    <t>100</t>
  </si>
  <si>
    <t>https://www.themeateater.com/wired-to-hunt/whitetail-hunting-gear/what-ive-learned-from-missing-so-many-deer</t>
  </si>
  <si>
    <t>axis deer</t>
  </si>
  <si>
    <t>https://www.wideopenspaces.com/invasion-axis-deer/</t>
  </si>
  <si>
    <t>deer skull</t>
  </si>
  <si>
    <t>22200</t>
  </si>
  <si>
    <t>piebald deer</t>
  </si>
  <si>
    <t>https://www.wideopenspaces.com/rare-piebald-deer-herd/</t>
  </si>
  <si>
    <t>deer antlers</t>
  </si>
  <si>
    <t>deer feeder</t>
  </si>
  <si>
    <t>https://realtree.com/brow-tines-and-backstrap/how-to-make-a-homemade-deer-feeder</t>
  </si>
  <si>
    <t>deer drawing</t>
  </si>
  <si>
    <t>https://realtree.com/brow-tines-and-backstrap/when-to-draw-your-bow-on-deer</t>
  </si>
  <si>
    <t>albino deer</t>
  </si>
  <si>
    <t>https://www.wideopenspaces.com/whitetailwednesday-should-we-shoot-albino-and-piebald-deer/</t>
  </si>
  <si>
    <t>deer corn</t>
  </si>
  <si>
    <t>deer antler velvet</t>
  </si>
  <si>
    <t>ehd deer</t>
  </si>
  <si>
    <t>https://realtree.com/brow-tines-and-backstrap/will-ehd-be-a-factor-this-deer-season</t>
  </si>
  <si>
    <t>deer feeding times</t>
  </si>
  <si>
    <t>https://www.wideopenspaces.com/deer-feeding-times/</t>
  </si>
  <si>
    <t>deer head</t>
  </si>
  <si>
    <t>deer antler</t>
  </si>
  <si>
    <t>deer processors near me</t>
  </si>
  <si>
    <t>doe deer</t>
  </si>
  <si>
    <t>https://realtree.com/deer-hunting/articles/5-characteristics-of-adult-does</t>
  </si>
  <si>
    <t>how to draw a deer</t>
  </si>
  <si>
    <t>deer processor near me</t>
  </si>
  <si>
    <t>deer season 2022</t>
  </si>
  <si>
    <t>missouri deer season 2022</t>
  </si>
  <si>
    <t>https://www.wideopenspaces.com/when-does-deer-season-end-in-missouri/</t>
  </si>
  <si>
    <t>tripod deer stand</t>
  </si>
  <si>
    <t>https://www.wideopenspaces.com/tripod-treestand/</t>
  </si>
  <si>
    <t>water deer</t>
  </si>
  <si>
    <t>https://realtree.com/all/articles/just-add-water</t>
  </si>
  <si>
    <t>what do deers eat</t>
  </si>
  <si>
    <t>black deer</t>
  </si>
  <si>
    <t>https://www.wideopenspaces.com/black-deer-in-backyard-how-rare-is-this-color-variation/</t>
  </si>
  <si>
    <t>deer cart</t>
  </si>
  <si>
    <t>https://www.wideopenspaces.com/best-deer-carts/</t>
  </si>
  <si>
    <t>deer eyes</t>
  </si>
  <si>
    <t>https://realtree.com/the-realblog-with-stephanie-mallory/taxidermist-discovers-third-eye-when-preparing-deer-for-european</t>
  </si>
  <si>
    <t>indiana deer season 2022</t>
  </si>
  <si>
    <t>pictures of deer</t>
  </si>
  <si>
    <t>tndeer</t>
  </si>
  <si>
    <t>https://oldforums.realtree.com/topic/109585-anyone-hunting-western-tn/</t>
  </si>
  <si>
    <t>when do deer shed their antlers</t>
  </si>
  <si>
    <t>dead deer</t>
  </si>
  <si>
    <t>https://realtree.com/deer-hunting/rack-reports/2023/04/02/3-year-old-finds-monster-dead-buck-in-ohio</t>
  </si>
  <si>
    <t>deer corn near me</t>
  </si>
  <si>
    <t>deer season texas</t>
  </si>
  <si>
    <t>deer shedding antlers</t>
  </si>
  <si>
    <t>deer skeleton</t>
  </si>
  <si>
    <t>https://www.wideopenspaces.com/pics-fully-assembled-deer-skeleton-is-eye-candy-for-the-whitetail-lover/</t>
  </si>
  <si>
    <t>deer sounds</t>
  </si>
  <si>
    <t>deer symbolism</t>
  </si>
  <si>
    <t>https://realtree.com/deer-hunting/articles/the-meaning-of-deer-hunting-hunting-truth-in-life</t>
  </si>
  <si>
    <t>deer teeth</t>
  </si>
  <si>
    <t>field dressing a deer</t>
  </si>
  <si>
    <t>how long do deer live</t>
  </si>
  <si>
    <t>https://www.wideopenspaces.com/lifespan-whitetail-deer/</t>
  </si>
  <si>
    <t>missouri deer season</t>
  </si>
  <si>
    <t>https://www.wideopenspaces.com/missouri-deer-hunting-all-to-know-about-this-buck-buck-paradise/</t>
  </si>
  <si>
    <t>nc deer season 2022</t>
  </si>
  <si>
    <t>red stag deer</t>
  </si>
  <si>
    <t>https://realtree.com/the-realblog-with-stephanie-mallory/red-stag-spotted-on-georgia-game-cameras</t>
  </si>
  <si>
    <t>tripod deer stands</t>
  </si>
  <si>
    <t>alabama deer season</t>
  </si>
  <si>
    <t>https://realtree.com/brow-tines-and-backstrap/debate-settled-deep-south-deer-are-the-toughest-to-hunt</t>
  </si>
  <si>
    <t>antlers deer</t>
  </si>
  <si>
    <t>deer chili recipe</t>
  </si>
  <si>
    <t>deer picture</t>
  </si>
  <si>
    <t>deer season nc 2022</t>
  </si>
  <si>
    <t>deer target</t>
  </si>
  <si>
    <t>https://www.wideopenspaces.com/the-best-3d-archery-targets/</t>
  </si>
  <si>
    <t>deer velvet</t>
  </si>
  <si>
    <t>ehd in deer</t>
  </si>
  <si>
    <t>indiana deer season</t>
  </si>
  <si>
    <t>https://www.wideopenspaces.com/indiana-shotgun-deer-season/</t>
  </si>
  <si>
    <t>opening season for deer</t>
  </si>
  <si>
    <t>https://realtree.com/deer-hunting/articles/15-tips-for-opening-day-of-gun-season</t>
  </si>
  <si>
    <t>texas deer season</t>
  </si>
  <si>
    <t>arkansas deer season</t>
  </si>
  <si>
    <t>brownville deer pantry</t>
  </si>
  <si>
    <t>call of deer</t>
  </si>
  <si>
    <t>catchin deers</t>
  </si>
  <si>
    <t>https://www.wideopenspaces.com/catchin-up-with-catchin-deers-wide-open-spaces-speaks-with-former-nhler-mike-fisher/</t>
  </si>
  <si>
    <t>deer doe</t>
  </si>
  <si>
    <t>deer food plot seed</t>
  </si>
  <si>
    <t>https://realtree.com/food-plots-and-land-management/articles/food-plot-seed-how-to-plant-white-clover</t>
  </si>
  <si>
    <t>deer hooves</t>
  </si>
  <si>
    <t>deer images</t>
  </si>
  <si>
    <t>https://realtree.com/</t>
  </si>
  <si>
    <t>deer lifespan</t>
  </si>
  <si>
    <t>deer meme</t>
  </si>
  <si>
    <t>https://www.wideopenspaces.com/whitetailwednesday-15-hilarious-deer-hunting-memes-true/</t>
  </si>
  <si>
    <t>deer processors</t>
  </si>
  <si>
    <t>deer season georgia</t>
  </si>
  <si>
    <t>do deer shed their antlers</t>
  </si>
  <si>
    <t>eye of the deer</t>
  </si>
  <si>
    <t>https://www.wideopenspaces.com/buck-hidden-third-eye/</t>
  </si>
  <si>
    <t>florida deer season</t>
  </si>
  <si>
    <t>https://www.wideopenspaces.com/hunt-deer-january-february/</t>
  </si>
  <si>
    <t>georgia deer season</t>
  </si>
  <si>
    <t>https://realtree.com/brow-tines-and-backstrap/ranking-the-toughest-deer-hunting-no-1-the-southeast</t>
  </si>
  <si>
    <t>https://www.wideopenspaces.com/georgia-deer-hunting/</t>
  </si>
  <si>
    <t>georgia deer season 2022</t>
  </si>
  <si>
    <t>kentucky deer season</t>
  </si>
  <si>
    <t>kill deer</t>
  </si>
  <si>
    <t>https://realtree.com/brow-tines-and-backstrap/don-t-let-a-dead-deer-kill-you</t>
  </si>
  <si>
    <t>michigan deer season</t>
  </si>
  <si>
    <t>https://www.wideopenspaces.com/heres-michigans-early-antlerless-deer-season-explained-quickly-easily/</t>
  </si>
  <si>
    <t>michigan deer season 2022</t>
  </si>
  <si>
    <t>https://www.wideopenspaces.com/michigan-muzzleloader-season/</t>
  </si>
  <si>
    <t>mississippi deer season</t>
  </si>
  <si>
    <t>mn deer hunting 2022</t>
  </si>
  <si>
    <t>https://www.wideopenspaces.com/mn-deer-hunting-zones/</t>
  </si>
  <si>
    <t>open season for deer</t>
  </si>
  <si>
    <t>opening day of deer season 2022</t>
  </si>
  <si>
    <t>pa deer season</t>
  </si>
  <si>
    <t>https://www.wideopenspaces.com/pennsylvania-deer-hunting/</t>
  </si>
  <si>
    <t>stag deer</t>
  </si>
  <si>
    <t>texas deer season 2022</t>
  </si>
  <si>
    <t>when is deer season</t>
  </si>
  <si>
    <t>wisconsin deer season</t>
  </si>
  <si>
    <t>https://realtree.com/brow-tines-and-backstrap/wisconsin-hunters-reject-changes-to-deer-season</t>
  </si>
  <si>
    <t>axis deer texas</t>
  </si>
  <si>
    <t>best deer attractant</t>
  </si>
  <si>
    <t>blue tongue deer</t>
  </si>
  <si>
    <t>https://www.wideopenspaces.com/blue-tongue-disease-in-deer/</t>
  </si>
  <si>
    <t>deer attractant</t>
  </si>
  <si>
    <t>deer butcher near me</t>
  </si>
  <si>
    <t>deer ehd</t>
  </si>
  <si>
    <t>deer gestation period</t>
  </si>
  <si>
    <t>https://www.wideopenspaces.com/whitetail-deer-gestation-period/</t>
  </si>
  <si>
    <t>deer hiding</t>
  </si>
  <si>
    <t>https://www.wideopenspaces.com/find-7-deer-hiding-images/</t>
  </si>
  <si>
    <t>deer mount poses</t>
  </si>
  <si>
    <t>https://realtree.com/brow-tines-and-backstrap/whitetail-taxidermy-poses-for-your-next-deer-mount</t>
  </si>
  <si>
    <t>deer mushroom</t>
  </si>
  <si>
    <t>https://realtree.com/timber-2-table-wild-game-recipes/deer-heart-and-mushroom-steak-sandwiches</t>
  </si>
  <si>
    <t>deer season tn 2022</t>
  </si>
  <si>
    <t>deer seed for food plots</t>
  </si>
  <si>
    <t>deer shed antlers</t>
  </si>
  <si>
    <t>deer shedding velvet</t>
  </si>
  <si>
    <t>https://www.wideopenspaces.com/10-awesome-photos-of-deer-shedding-their-velvet-pics/</t>
  </si>
  <si>
    <t>deer tail</t>
  </si>
  <si>
    <t>https://realtree.com/deer-hunting/articles/talk-to-the-tail-understanding-whitetail-body-language</t>
  </si>
  <si>
    <t>deer warts</t>
  </si>
  <si>
    <t>https://realtree.com/deer-hunting/all-about-deer-warts</t>
  </si>
  <si>
    <t>https://www.wideopenspaces.com/deer-warts/</t>
  </si>
  <si>
    <t>deerstand</t>
  </si>
  <si>
    <t>diy deer feeder</t>
  </si>
  <si>
    <t>https://www.wideopenspaces.com/make-poor-mans-deer-feeder/</t>
  </si>
  <si>
    <t>drone deer recovery</t>
  </si>
  <si>
    <t>https://realtree.com/deer-hunting-what-is-drone-deer-recovery</t>
  </si>
  <si>
    <t>https://www.wideopenspaces.com/drone-big-buck-recovery/</t>
  </si>
  <si>
    <t>ga deer season 2022</t>
  </si>
  <si>
    <t>gestation period for a deer</t>
  </si>
  <si>
    <t>gestation period for deer</t>
  </si>
  <si>
    <t>how high can a deer jump</t>
  </si>
  <si>
    <t>https://realtree.com/midwest-whitetail/articles/string-jumpers-how-to-aim-at-alert-deer</t>
  </si>
  <si>
    <t>https://www.wideopenspaces.com/deer-tries-to-jump-high-fence-video/</t>
  </si>
  <si>
    <t>how to draw deer</t>
  </si>
  <si>
    <t>kansas deer season 2022</t>
  </si>
  <si>
    <t>life span of a deer</t>
  </si>
  <si>
    <t>lifespan deer</t>
  </si>
  <si>
    <t>mn deer hunting zones</t>
  </si>
  <si>
    <t>mn deer opener 2022</t>
  </si>
  <si>
    <t>n.c. deer season 2022</t>
  </si>
  <si>
    <t>nc deer season</t>
  </si>
  <si>
    <t>https://www.wideopenspaces.com/north-carolina-adds-alligator-hunting-changes-deer-and-bear-zones/</t>
  </si>
  <si>
    <t>oklahoma deer season</t>
  </si>
  <si>
    <t>picture of a deer</t>
  </si>
  <si>
    <t>spike deer</t>
  </si>
  <si>
    <t>spotted deer</t>
  </si>
  <si>
    <t>the legacy of a whitetail deer hunter</t>
  </si>
  <si>
    <t>https://www.wideopenspaces.com/the-legacy-of-a-whitetail-deer-hunter/</t>
  </si>
  <si>
    <t>tn deer season</t>
  </si>
  <si>
    <t>https://www.wideopenspaces.com/tennessee-approves-3-day-archery-only-deer-season-for-august/</t>
  </si>
  <si>
    <t>what is ehd in deer</t>
  </si>
  <si>
    <t>alabama deer season 2022</t>
  </si>
  <si>
    <t>https://www.wideopenspaces.com/alabama-hunting-license/</t>
  </si>
  <si>
    <t>arkansas deer season 2022</t>
  </si>
  <si>
    <t>automatic deer feeder</t>
  </si>
  <si>
    <t>https://www.wideopenspaces.com/best-deer-feeders/</t>
  </si>
  <si>
    <t>backpack deer mount</t>
  </si>
  <si>
    <t>black widow deer lures</t>
  </si>
  <si>
    <t>https://realtree.com/deer-hunting/articles/the-deer-pee-empire</t>
  </si>
  <si>
    <t>deer and hunter costume</t>
  </si>
  <si>
    <t>https://www.wideopenspaces.com/10-hunting-halloween-costumes/</t>
  </si>
  <si>
    <t>deer antler mount</t>
  </si>
  <si>
    <t>deer antlers for sale</t>
  </si>
  <si>
    <t>deer carts</t>
  </si>
  <si>
    <t>deer corn for sale near me</t>
  </si>
  <si>
    <t>deer face paint</t>
  </si>
  <si>
    <t>https://www.wideopenspaces.com/best-camo-face-paint/</t>
  </si>
  <si>
    <t>deer feeding chart</t>
  </si>
  <si>
    <t>https://realtree.com/fish-game-forecaster</t>
  </si>
  <si>
    <t>deer hoof</t>
  </si>
  <si>
    <t>deer movement times by zip code</t>
  </si>
  <si>
    <t>deer names</t>
  </si>
  <si>
    <t>https://www.wideopenspaces.com/trouble-naming-your-hit-list-buck-65-buck-nicknames/</t>
  </si>
  <si>
    <t>deer poop vs rabbit poop</t>
  </si>
  <si>
    <t>deer puns</t>
  </si>
  <si>
    <t>https://www.wideopenspaces.com/19-deer-hunting-jokes/</t>
  </si>
  <si>
    <t>deer season arkansas 2022</t>
  </si>
  <si>
    <t>deer season ga</t>
  </si>
  <si>
    <t>deer season michigan</t>
  </si>
  <si>
    <t>deer season missouri 2022</t>
  </si>
  <si>
    <t>deer season n.c. 2022</t>
  </si>
  <si>
    <t>deer skulls</t>
  </si>
  <si>
    <t>do deer eat meat</t>
  </si>
  <si>
    <t>draw a deer</t>
  </si>
  <si>
    <t>group of deer</t>
  </si>
  <si>
    <t>homemade deer feeder</t>
  </si>
  <si>
    <t>how high can deer jump</t>
  </si>
  <si>
    <t>how long are deer pregnant</t>
  </si>
  <si>
    <t>iowa deer season 2022</t>
  </si>
  <si>
    <t>https://realtree.com/brow-tines-and-backstrap/iowa-law-expands-rifle-options-for-late-season-antlerless-hunts</t>
  </si>
  <si>
    <t>komodo dragon eating deer</t>
  </si>
  <si>
    <t>https://www.wideopenspaces.com/komodo-dragon-hunts-kills-deer-brutal-footage/</t>
  </si>
  <si>
    <t>name deer</t>
  </si>
  <si>
    <t>naming deer</t>
  </si>
  <si>
    <t>ohio deer gun season</t>
  </si>
  <si>
    <t>https://www.wideopenspaces.com/deer-hunting-in-ohio-what-you-should-know/</t>
  </si>
  <si>
    <t>opening season deer</t>
  </si>
  <si>
    <t>pedestal deer mount</t>
  </si>
  <si>
    <t>velvet deer antler</t>
  </si>
  <si>
    <t>walmart deer corn</t>
  </si>
  <si>
    <t>when does deer season end</t>
  </si>
  <si>
    <t>academy deer feeders</t>
  </si>
  <si>
    <t>alabama deer hunting</t>
  </si>
  <si>
    <t>albinism deer</t>
  </si>
  <si>
    <t>are deer herbivores</t>
  </si>
  <si>
    <t>best deer feeder</t>
  </si>
  <si>
    <t>deer blind plans</t>
  </si>
  <si>
    <t>deer corn feeder</t>
  </si>
  <si>
    <t>deer corn walmart</t>
  </si>
  <si>
    <t>deer eye</t>
  </si>
  <si>
    <t>deer facts</t>
  </si>
  <si>
    <t>https://realtree.com/deer-hunting/articles/15-fascinating-facts-about-whitetail-biology-and-behavior</t>
  </si>
  <si>
    <t>deer feeding times by zip code</t>
  </si>
  <si>
    <t>deer herd</t>
  </si>
  <si>
    <t>deer hunting season pa 2022</t>
  </si>
  <si>
    <t>deer hunting season wisconsin</t>
  </si>
  <si>
    <t>https://www.wideopenspaces.com/wisconsin-deer-hunting-everything-hunters-need-to-know/</t>
  </si>
  <si>
    <t>deer memes</t>
  </si>
  <si>
    <t>deer mineral block</t>
  </si>
  <si>
    <t>https://oldforums.realtree.com/topic/102277-mineralsalt-blocks/</t>
  </si>
  <si>
    <t>deer mount ideas</t>
  </si>
  <si>
    <t>deer opener in mn</t>
  </si>
  <si>
    <t>deer opener mn</t>
  </si>
  <si>
    <t>https://www.wideopenspaces.com/mn-turkey-season/</t>
  </si>
  <si>
    <t>deer pantry</t>
  </si>
  <si>
    <t>deer season alabama</t>
  </si>
  <si>
    <t>deer season arkansas</t>
  </si>
  <si>
    <t>deer season ga 2022</t>
  </si>
  <si>
    <t>deer season indiana</t>
  </si>
  <si>
    <t>deer season oklahoma</t>
  </si>
  <si>
    <t>deer season sc</t>
  </si>
  <si>
    <t>deer season tn</t>
  </si>
  <si>
    <t>deer skinning knife</t>
  </si>
  <si>
    <t>deer's life span</t>
  </si>
  <si>
    <t>do deer eat carrots</t>
  </si>
  <si>
    <t>do deer eat sunflowers</t>
  </si>
  <si>
    <t>https://realtree.com/food-plots-and-land-management/articles/food-plot-seed-how-to-plant-sunflowers</t>
  </si>
  <si>
    <t>full sneak deer mount</t>
  </si>
  <si>
    <t>gestation period for white tailed deer</t>
  </si>
  <si>
    <t>gestation period for whitetail deer</t>
  </si>
  <si>
    <t>gestation period of a whitetail deer</t>
  </si>
  <si>
    <t>gestation period of whitetail deer</t>
  </si>
  <si>
    <t>growing deer tv</t>
  </si>
  <si>
    <t>https://www.wideopenspaces.com/3-hunting-shows-binge-watch-stuck-indoors-snowstorm/</t>
  </si>
  <si>
    <t>head deer</t>
  </si>
  <si>
    <t>https://realtree.com/the-realblog-with-stephanie-mallory/crooked-head-deer-defies-odds-for-survival</t>
  </si>
  <si>
    <t>herd of deer</t>
  </si>
  <si>
    <t>homemade deer feeders</t>
  </si>
  <si>
    <t>how high deer can jump</t>
  </si>
  <si>
    <t>illinois deer season</t>
  </si>
  <si>
    <t>https://www.wideopenspaces.com/deer-hunting-in-illinois-does-a-boone-crockett-buck-await/</t>
  </si>
  <si>
    <t>illinois deer season 2022</t>
  </si>
  <si>
    <t>indiana deer license</t>
  </si>
  <si>
    <t>inside luxury deer blind</t>
  </si>
  <si>
    <t>https://www.wideopenspaces.com/5-luxury-hunting-blinds-you-might-be-able-to-afford/</t>
  </si>
  <si>
    <t>kansas deer season</t>
  </si>
  <si>
    <t>ladder deer stands</t>
  </si>
  <si>
    <t>mean deer</t>
  </si>
  <si>
    <t>mn deer season</t>
  </si>
  <si>
    <t>mn deer season 2022</t>
  </si>
  <si>
    <t>mo deer season 2022</t>
  </si>
  <si>
    <t>non typical deer</t>
  </si>
  <si>
    <t>https://realtree.com/deer-hunting/articles/states-that-haven-t-produced-a-non-typical-booner-in-the-last-10-years</t>
  </si>
  <si>
    <t>https://www.wideopenspaces.com/typical-vs-non-typical-deer/</t>
  </si>
  <si>
    <t>ohio deer hunting</t>
  </si>
  <si>
    <t>painted deer skull</t>
  </si>
  <si>
    <t>https://www.wideopenspaces.com/dip-deer-skull-spray-paint-diy-video/</t>
  </si>
  <si>
    <t>pictures deer</t>
  </si>
  <si>
    <t>semi sneak deer mount</t>
  </si>
  <si>
    <t>tennessee deer season</t>
  </si>
  <si>
    <t>tndeer forums</t>
  </si>
  <si>
    <t>what do deer eat in the winter</t>
  </si>
  <si>
    <t>https://www.wideopenspaces.com/what-do-deer-elk-and-moose-do-in-the-winter/</t>
  </si>
  <si>
    <t>what does deer eat</t>
  </si>
  <si>
    <t>where do deer live</t>
  </si>
  <si>
    <t>wv deer season 2022</t>
  </si>
  <si>
    <t>can a deer swim</t>
  </si>
  <si>
    <t>https://www.wideopenspaces.com/deer-swimming-in-the-hudson-river-gets-rescued/</t>
  </si>
  <si>
    <t>check in deer in ohio</t>
  </si>
  <si>
    <t>deer antler sheds</t>
  </si>
  <si>
    <t>deer cam</t>
  </si>
  <si>
    <t>deer growing hair on eyes</t>
  </si>
  <si>
    <t>deer habitat</t>
  </si>
  <si>
    <t>https://realtree.com/food-plots-and-land-management/articles/do-cedar-trees-make-good-deer-habitat</t>
  </si>
  <si>
    <t>deer head tattoo</t>
  </si>
  <si>
    <t>https://www.wideopenspaces.com/16-horrible-hunting-tattoos/</t>
  </si>
  <si>
    <t>deer hunting in florida</t>
  </si>
  <si>
    <t>deer hunting meme</t>
  </si>
  <si>
    <t>deer hunting memes</t>
  </si>
  <si>
    <t>deer hunting near me</t>
  </si>
  <si>
    <t>https://www.wideopenspaces.com/5-of-the-best-public-places-to-hunt-in-ohio/</t>
  </si>
  <si>
    <t>deer hunting season michigan</t>
  </si>
  <si>
    <t>https://www.wideopenspaces.com/michigan-deer-combo-license-explained/</t>
  </si>
  <si>
    <t>deer hunting season mn 2022</t>
  </si>
  <si>
    <t>deer hunting tattoos</t>
  </si>
  <si>
    <t>https://realtree.com/the-realblog-with-stephanie-mallory/top-10-hunting-tattoos-for-2017</t>
  </si>
  <si>
    <t>https://www.wideopenspaces.com/20-great-hunting-tattoos-youll-want-to-get/</t>
  </si>
  <si>
    <t>deer image</t>
  </si>
  <si>
    <t>deer jokes</t>
  </si>
  <si>
    <t>deer lease in texas</t>
  </si>
  <si>
    <t>https://www.wideopenspaces.com/finding-land-to-hunt-in-texas-isnt-as-hard-as-you-might-think/</t>
  </si>
  <si>
    <t>deer license in indiana</t>
  </si>
  <si>
    <t>deer meaning</t>
  </si>
  <si>
    <t>deer pedestal mount</t>
  </si>
  <si>
    <t>deer season alabama 2022</t>
  </si>
  <si>
    <t>deer season florida</t>
  </si>
  <si>
    <t>deer season in georgia</t>
  </si>
  <si>
    <t>deer season in il</t>
  </si>
  <si>
    <t>deer season in texas</t>
  </si>
  <si>
    <t>deer season mississippi</t>
  </si>
  <si>
    <t>deer season ohio</t>
  </si>
  <si>
    <t>deer season pa</t>
  </si>
  <si>
    <t>deer with spots</t>
  </si>
  <si>
    <t>facts about deer</t>
  </si>
  <si>
    <t>fl deer season</t>
  </si>
  <si>
    <t>ga deer season</t>
  </si>
  <si>
    <t>georgia deer hunting season</t>
  </si>
  <si>
    <t>hairless deer</t>
  </si>
  <si>
    <t>https://www.wideopenspaces.com/hairless-buck/</t>
  </si>
  <si>
    <t>how high a deer can jump</t>
  </si>
  <si>
    <t>hydro dipped deer skull</t>
  </si>
  <si>
    <t>ia deer seasons</t>
  </si>
  <si>
    <t>illinois deer hunting</t>
  </si>
  <si>
    <t>maine deer season 2022</t>
  </si>
  <si>
    <t>https://realtree.com/brow-tines-and-backstrap/2022-northeast-deer-hunting-forecast</t>
  </si>
  <si>
    <t>michigan deer hunting season</t>
  </si>
  <si>
    <t>michigan dnr deer reporting</t>
  </si>
  <si>
    <t>https://www.wideopenspaces.com/michigan-deer-license-sales/</t>
  </si>
  <si>
    <t>missouri deer hunting</t>
  </si>
  <si>
    <t>mn deer hunting</t>
  </si>
  <si>
    <t>mn deer hunting season</t>
  </si>
  <si>
    <t>mn deer register</t>
  </si>
  <si>
    <t>https://www.wideopenspaces.com/minnesota-deer-hunting/</t>
  </si>
  <si>
    <t>nh deer season 2022</t>
  </si>
  <si>
    <t>puns about deer</t>
  </si>
  <si>
    <t>reindeer meat</t>
  </si>
  <si>
    <t>https://www.wideopenspaces.com/reindeer-meat/</t>
  </si>
  <si>
    <t>sc deer season 2022</t>
  </si>
  <si>
    <t>snow deer heated socks</t>
  </si>
  <si>
    <t>https://www.wideopenspaces.com/best-heated-socks/</t>
  </si>
  <si>
    <t>texas deer</t>
  </si>
  <si>
    <t>when is deer season in texas</t>
  </si>
  <si>
    <t>wisconsin deer hunting</t>
  </si>
  <si>
    <t>wisconsin deer hunting season</t>
  </si>
  <si>
    <t>acis deer</t>
  </si>
  <si>
    <t>brownville food pantry for deer</t>
  </si>
  <si>
    <t>https://www.wideopenspaces.com/buck-loses-an-antler-while-sparring-at-feeder/</t>
  </si>
  <si>
    <t>canning deer meat</t>
  </si>
  <si>
    <t>https://realtree.com/timber-2-table-wild-game-recipes/easy-canned-venison</t>
  </si>
  <si>
    <t>crush deer cam</t>
  </si>
  <si>
    <t>deer attack</t>
  </si>
  <si>
    <t>deer busters</t>
  </si>
  <si>
    <t>https://realtree.com/deer-hunting/articles/ghost-busters-what-to-do-when-your-buck-disappears</t>
  </si>
  <si>
    <t>deer butchering near me</t>
  </si>
  <si>
    <t>deer butchers near me</t>
  </si>
  <si>
    <t>deer diseases</t>
  </si>
  <si>
    <t>https://www.wideopenspaces.com/whitetail-deer-diseases/</t>
  </si>
  <si>
    <t>deer dog</t>
  </si>
  <si>
    <t>deer feeders amazon</t>
  </si>
  <si>
    <t>deer feeders homemade</t>
  </si>
  <si>
    <t>deer fibroma</t>
  </si>
  <si>
    <t>deer for pets</t>
  </si>
  <si>
    <t>deer jumping</t>
  </si>
  <si>
    <t>https://realtree.com/the-realblog-with-stephanie-mallory/deer-are-jumping-to-their-death-off-pennsylvania-bypass</t>
  </si>
  <si>
    <t>deer lake orchard</t>
  </si>
  <si>
    <t>https://realtree.com/food-plots-and-land-management/articles/how-to-plant-a-deer-orchard</t>
  </si>
  <si>
    <t>deer lease texas</t>
  </si>
  <si>
    <t>deer meadows outfitters</t>
  </si>
  <si>
    <t>deer meat processing near me</t>
  </si>
  <si>
    <t>deer mullet</t>
  </si>
  <si>
    <t>deer pic</t>
  </si>
  <si>
    <t>deer pong</t>
  </si>
  <si>
    <t>https://www.wideopenspaces.com/deer-pong/</t>
  </si>
  <si>
    <t>deer rack</t>
  </si>
  <si>
    <t>https://realtree.com/all/articles/rack-em-up</t>
  </si>
  <si>
    <t>deer rutting</t>
  </si>
  <si>
    <t>deer season 2022 missouri</t>
  </si>
  <si>
    <t>deer season kansas 2022</t>
  </si>
  <si>
    <t>deer season mississippi 2022</t>
  </si>
  <si>
    <t>deer season sc 2022</t>
  </si>
  <si>
    <t>deer shedding velvet painful</t>
  </si>
  <si>
    <t>deer tags in missouri</t>
  </si>
  <si>
    <t>deer with fibromas</t>
  </si>
  <si>
    <t>deer young</t>
  </si>
  <si>
    <t>https://realtree.com/deer-hunting/articles/top-10-pope-young-deer-hunting-states</t>
  </si>
  <si>
    <t>delaware deer season</t>
  </si>
  <si>
    <t>does deer eat sunflowers</t>
  </si>
  <si>
    <t>drop tine deer</t>
  </si>
  <si>
    <t>https://www.wideopenspaces.com/whitetailwednesday-check-out-8-of-the-coolest-drop-tine-bucks-ever/</t>
  </si>
  <si>
    <t>elevated deer blinds</t>
  </si>
  <si>
    <t>gestation deer</t>
  </si>
  <si>
    <t>illinois deer hunting season</t>
  </si>
  <si>
    <t>images of deer</t>
  </si>
  <si>
    <t>indiana deer hunting season</t>
  </si>
  <si>
    <t>indiana youth deer season 2022</t>
  </si>
  <si>
    <t>kentucky deer hunting</t>
  </si>
  <si>
    <t>komodo dragon eats deer</t>
  </si>
  <si>
    <t>maryland deer season</t>
  </si>
  <si>
    <t>michigan deer reporting</t>
  </si>
  <si>
    <t>https://www.wideopenspaces.com/michigan-deer-reporting/</t>
  </si>
  <si>
    <t>michigan hunting seasons deer</t>
  </si>
  <si>
    <t>https://www.wideopenspaces.com/michigan-late-doe-season/</t>
  </si>
  <si>
    <t>mississippi deer season 2022</t>
  </si>
  <si>
    <t>missouri deer tags</t>
  </si>
  <si>
    <t>https://realtree.com/deer-hunting/articles/3-top-states-for-diy-big-buck-hunters</t>
  </si>
  <si>
    <t>mn deer registration</t>
  </si>
  <si>
    <t>mn youth deer hunt 2022</t>
  </si>
  <si>
    <t>muddy deer blinds</t>
  </si>
  <si>
    <t>pvc deer feeder</t>
  </si>
  <si>
    <t>seeing a deer meaning</t>
  </si>
  <si>
    <t>snake eating deer</t>
  </si>
  <si>
    <t>tri pod deer stand</t>
  </si>
  <si>
    <t>wall pedestal deer mount</t>
  </si>
  <si>
    <t>what are deer antlers made of</t>
  </si>
  <si>
    <t>https://www.wideopenspaces.com/what-are-antlers-made-from/</t>
  </si>
  <si>
    <t>when does deer season end in texas</t>
  </si>
  <si>
    <t>when does deer season start in texas</t>
  </si>
  <si>
    <t>wi deer season</t>
  </si>
  <si>
    <t>wisconsin deer hunting regulations</t>
  </si>
  <si>
    <t>young deer</t>
  </si>
  <si>
    <t>120 class whitetail deer</t>
  </si>
  <si>
    <t>https://realtree.com/brow-tines-and-backstrap/when-you-should-pass-a-buck-and-when-you-shouldn-t</t>
  </si>
  <si>
    <t>https://www.wideopenspaces.com/120-class-whitetail-deer-id/</t>
  </si>
  <si>
    <t>230 inch deer</t>
  </si>
  <si>
    <t>https://www.wideopenspaces.com/12-of-the-biggest-poached-deer-ever-stolen-from-law-abiding-hunters/</t>
  </si>
  <si>
    <t>410 slug for deer</t>
  </si>
  <si>
    <t>https://www.wideopenspaces.com/can-410-shotgun-slug-take-deer-check-video/</t>
  </si>
  <si>
    <t>6 point deer</t>
  </si>
  <si>
    <t>https://www.wideopenspaces.com/less-10-awesome-bucks-6-fewer-points-whitetailwednesday/</t>
  </si>
  <si>
    <t>alabama deer hunting season</t>
  </si>
  <si>
    <t>are deer omnivores</t>
  </si>
  <si>
    <t>black piebald deer</t>
  </si>
  <si>
    <t>boone and crockett deer</t>
  </si>
  <si>
    <t>https://www.wideopenspaces.com/boone-and-crockett-top-whitetail-states/</t>
  </si>
  <si>
    <t>deer antler decor</t>
  </si>
  <si>
    <t>https://www.wideopenspaces.com/12-amazing-shed-antler-decorations-ladies/</t>
  </si>
  <si>
    <t>deer antlers shedding</t>
  </si>
  <si>
    <t>deer attacked</t>
  </si>
  <si>
    <t>deer bait</t>
  </si>
  <si>
    <t>deer blind chairs</t>
  </si>
  <si>
    <t>https://www.wideopenspaces.com/take-a-load-off-with-these-10-hunting-blind-chairs/</t>
  </si>
  <si>
    <t>deer bologna</t>
  </si>
  <si>
    <t>https://realtree.com/timber-2-table-wild-game-recipes/deer-camp-stuffed-bologna-chub-recipe</t>
  </si>
  <si>
    <t>deer camera walmart</t>
  </si>
  <si>
    <t>deer corn for sale</t>
  </si>
  <si>
    <t>deer feed near me</t>
  </si>
  <si>
    <t>deer feeding times today</t>
  </si>
  <si>
    <t>deer gambrel</t>
  </si>
  <si>
    <t>deer gestation</t>
  </si>
  <si>
    <t>deer hunting in georgia</t>
  </si>
  <si>
    <t>https://realtree.com/deer-hunting/articles/10-tips-for-deer-hunting-in-the-south</t>
  </si>
  <si>
    <t>deer hunting season georgia</t>
  </si>
  <si>
    <t>deer hunting season pa</t>
  </si>
  <si>
    <t>deer hunting season texas</t>
  </si>
  <si>
    <t>deer hunting wisconsin regulations</t>
  </si>
  <si>
    <t>deer license wisconsin</t>
  </si>
  <si>
    <t>deer scent</t>
  </si>
  <si>
    <t>deer season fl</t>
  </si>
  <si>
    <t>deer season for ohio</t>
  </si>
  <si>
    <t>deer season illinois 2022</t>
  </si>
  <si>
    <t>deer season in ga</t>
  </si>
  <si>
    <t>deer season in tn</t>
  </si>
  <si>
    <t>deer season iowa</t>
  </si>
  <si>
    <t>deer season maryland</t>
  </si>
  <si>
    <t>deer season pa 2022</t>
  </si>
  <si>
    <t>deer season wisconsin</t>
  </si>
  <si>
    <t>deer season wv 2022</t>
  </si>
  <si>
    <t>deer tags mo</t>
  </si>
  <si>
    <t>deer target archery</t>
  </si>
  <si>
    <t>deer with drop tines</t>
  </si>
  <si>
    <t>deer with warts</t>
  </si>
  <si>
    <t>deer with white spots</t>
  </si>
  <si>
    <t>deerhunting</t>
  </si>
  <si>
    <t>do foxes eat deer</t>
  </si>
  <si>
    <t>https://www.wideopenspaces.com/what-do-foxes-eat/</t>
  </si>
  <si>
    <t>female mule deer</t>
  </si>
  <si>
    <t>funny deer</t>
  </si>
  <si>
    <t>https://realtree.com/deer-hunting/articles/blunders-afield-funny-and-weird-mistakes-that-cost-me-deer</t>
  </si>
  <si>
    <t>georgia hunting seasons deer</t>
  </si>
  <si>
    <t>gifts for deer hunters</t>
  </si>
  <si>
    <t>https://www.wideopenspaces.com/10-best-valentines-day-gifts-hunter/</t>
  </si>
  <si>
    <t>homemade deer attractant</t>
  </si>
  <si>
    <t>how long do whitetail deer live</t>
  </si>
  <si>
    <t>how often do deer shed their antlers</t>
  </si>
  <si>
    <t>michigan deer hunting season 2022</t>
  </si>
  <si>
    <t>michigan deer license</t>
  </si>
  <si>
    <t>minnesota deer hunting season</t>
  </si>
  <si>
    <t>minnesota deer season 2022</t>
  </si>
  <si>
    <t>missouri deer season 2022-2023</t>
  </si>
  <si>
    <t>missouri deer youth season</t>
  </si>
  <si>
    <t>missouri youth deer season</t>
  </si>
  <si>
    <t>mn deer hunting zones 2022</t>
  </si>
  <si>
    <t>mn dnr deer registration</t>
  </si>
  <si>
    <t>mo deer season</t>
  </si>
  <si>
    <t>ms deer season 2023</t>
  </si>
  <si>
    <t>mule deer mounts</t>
  </si>
  <si>
    <t>https://www.wideopenspaces.com/mule-deer-taxidermy/</t>
  </si>
  <si>
    <t>north carolina deer season</t>
  </si>
  <si>
    <t>oh deer season</t>
  </si>
  <si>
    <t>pa deer hunting</t>
  </si>
  <si>
    <t>pic of deer</t>
  </si>
  <si>
    <t>pie bald deer</t>
  </si>
  <si>
    <t>piebald whitetail deer</t>
  </si>
  <si>
    <t>red deer stag</t>
  </si>
  <si>
    <t>redneck deer blinds</t>
  </si>
  <si>
    <t>https://www.wideopenspaces.com/12-high-end-high-tech-super-redneck-deer-stands/</t>
  </si>
  <si>
    <t>reindeer eyeballs</t>
  </si>
  <si>
    <t>scary deer</t>
  </si>
  <si>
    <t>https://realtree.com/deer-hunting/articles/why-deer-hunting-on-halloween-is-scary-good</t>
  </si>
  <si>
    <t>see deer meaning</t>
  </si>
  <si>
    <t>south dakota mule deer hunting</t>
  </si>
  <si>
    <t>https://realtree.com/big-game-hunting/articles/7-tips-for-over-the-counter-mule-deer-hunting</t>
  </si>
  <si>
    <t>tennessee deer hunting season</t>
  </si>
  <si>
    <t>what can you feed deer</t>
  </si>
  <si>
    <t>what do deer eat in winter</t>
  </si>
  <si>
    <t>what does it mean when a deer crosses your path</t>
  </si>
  <si>
    <t>https://realtree.com/deer-hunting/articles/how-mature-bucks-use-the-wind</t>
  </si>
  <si>
    <t>when does deer season end in alabama</t>
  </si>
  <si>
    <t>https://realtree.com/brow-tines-and-backstrap/alabama-rut-kicking-police-dog-saves-deer-hunter-from-icy-river-and-more</t>
  </si>
  <si>
    <t>when does deer season end in georgia</t>
  </si>
  <si>
    <t>https://realtree.com/deer-hunting/articles/how-to-deer-hunt-in-december</t>
  </si>
  <si>
    <t>when does deer season start in georgia</t>
  </si>
  <si>
    <t>when is deer season in georgia</t>
  </si>
  <si>
    <t>white spotted deer</t>
  </si>
  <si>
    <t>whitetail deer gestation period</t>
  </si>
  <si>
    <t>whitetail deer lifespan</t>
  </si>
  <si>
    <t>winchester deer season xp</t>
  </si>
  <si>
    <t>https://www.wideopenspaces.com/everything-you-wanted-to-know-about-winchester-deer-season-xp-ammo/</t>
  </si>
  <si>
    <t>wv deer season</t>
  </si>
  <si>
    <t>youth missouri deer season</t>
  </si>
  <si>
    <t>https://www.wideopenspaces.com/missouri-youth-hunt-records-astounding-deer-kill-number/</t>
  </si>
  <si>
    <t>2 man deer stand</t>
  </si>
  <si>
    <t>https://www.wideopenspaces.com/10-best-reasonably-priced-deer-stand-options/</t>
  </si>
  <si>
    <t>8 point deer</t>
  </si>
  <si>
    <t>https://www.wideopenspaces.com/8-point-buck/</t>
  </si>
  <si>
    <t>albino whitetail deer</t>
  </si>
  <si>
    <t>antelope island mule deer</t>
  </si>
  <si>
    <t>https://www.wideopenspaces.com/biologists-studying-utahs-antelope-island-mule-deer-herd-through-radio-collar-study/</t>
  </si>
  <si>
    <t>barking deer sound</t>
  </si>
  <si>
    <t>bear proof deer feeder</t>
  </si>
  <si>
    <t>https://www.wideopenspaces.com/concrete-evidence-bear-proof-feeders-need/</t>
  </si>
  <si>
    <t>best deer attractants</t>
  </si>
  <si>
    <t>best deer feeders</t>
  </si>
  <si>
    <t>black whitetail deer</t>
  </si>
  <si>
    <t>brow tines deer</t>
  </si>
  <si>
    <t>https://realtree.com/brow-tines-and-backstrap</t>
  </si>
  <si>
    <t>brownville deer pantry live cam</t>
  </si>
  <si>
    <t>bulk corn for deer</t>
  </si>
  <si>
    <t>can dogs eat deer meat</t>
  </si>
  <si>
    <t>https://www.wideopenspaces.com/venison-dog-food/</t>
  </si>
  <si>
    <t>catching deers</t>
  </si>
  <si>
    <t>chital deer</t>
  </si>
  <si>
    <t>crush deer camera</t>
  </si>
  <si>
    <t>https://www.wideopenspaces.com/wild-game-innovations-unveils-new-trail-cameras-for-ata-show/</t>
  </si>
  <si>
    <t>cull deer</t>
  </si>
  <si>
    <t>https://realtree.com/deer-hunting/articles/deer-hunting-debate-does-culling-really-work</t>
  </si>
  <si>
    <t>deer 8 point</t>
  </si>
  <si>
    <t>https://www.wideopenspaces.com/you-wont-believe-this-video-is-just-an-8-point-buck/</t>
  </si>
  <si>
    <t>deer antler shedding</t>
  </si>
  <si>
    <t>deer attacks</t>
  </si>
  <si>
    <t>https://realtree.com/the-realblog-with-stephanie-mallory/watch-buck-attack-during-filming-of-kentucky-afield-television</t>
  </si>
  <si>
    <t>deer attractants</t>
  </si>
  <si>
    <t>deer backgrounds</t>
  </si>
  <si>
    <t>deer backpack mount</t>
  </si>
  <si>
    <t>deer bark sound</t>
  </si>
  <si>
    <t>deer calling</t>
  </si>
  <si>
    <t>deer cast app</t>
  </si>
  <si>
    <t>https://www.wideopenspaces.com/review-of-deercast-by-drury-outdoors/</t>
  </si>
  <si>
    <t>deer cull</t>
  </si>
  <si>
    <t>deer decorations</t>
  </si>
  <si>
    <t>https://www.wideopenspaces.com/video-bedded-buck-finds-ease-christmas-deer-decorations/</t>
  </si>
  <si>
    <t>deer drinking water</t>
  </si>
  <si>
    <t>deer eat</t>
  </si>
  <si>
    <t>deer eating bird</t>
  </si>
  <si>
    <t>https://www.wideopenspaces.com/deer-eats-bird/</t>
  </si>
  <si>
    <t>deer eats a bird</t>
  </si>
  <si>
    <t>deer forecast</t>
  </si>
  <si>
    <t>deer hunter 2018</t>
  </si>
  <si>
    <t>https://business.realtree.com/business-blog/deer-are-no-1-driver-hunter-spending</t>
  </si>
  <si>
    <t>deer hunting in alabama season</t>
  </si>
  <si>
    <t>deer hunting memes funny</t>
  </si>
  <si>
    <t>deer hunting mn 2022</t>
  </si>
  <si>
    <t>deer hunting season 2022 pa</t>
  </si>
  <si>
    <t>deer hunting season indiana</t>
  </si>
  <si>
    <t>deer hunting season ohio 2022</t>
  </si>
  <si>
    <t>deer hunts in indiana</t>
  </si>
  <si>
    <t>https://realtree.com/deer-hunting/articles/5-no-draw-bargain-whitetail-hunts-you-can-do-this-year</t>
  </si>
  <si>
    <t>deer in texas</t>
  </si>
  <si>
    <t>https://realtree.com/the-realblog-with-stephanie-mallory/texas-rancher-fights-back-as-state-plans-to-kill-500-penned-deer</t>
  </si>
  <si>
    <t>deer in velvet</t>
  </si>
  <si>
    <t>deer license wi</t>
  </si>
  <si>
    <t>deer opener 2022 mn</t>
  </si>
  <si>
    <t>deer pack mount</t>
  </si>
  <si>
    <t>deer photo</t>
  </si>
  <si>
    <t>deer pose</t>
  </si>
  <si>
    <t>deer season 2022 ohio</t>
  </si>
  <si>
    <t>deer season georgia 2022-2023</t>
  </si>
  <si>
    <t>deer season in florida</t>
  </si>
  <si>
    <t>deer season in minnesota</t>
  </si>
  <si>
    <t>deer season in nc</t>
  </si>
  <si>
    <t>https://www.wideopenspaces.com/the-2018-19-north-carolina-deer-season-harvest-numbers-arent-great-but-they-arent-horrible-either/</t>
  </si>
  <si>
    <t>deer season in north carolina</t>
  </si>
  <si>
    <t>deer season in tennessee</t>
  </si>
  <si>
    <t>deer season michigan 2022</t>
  </si>
  <si>
    <t>deer season mn</t>
  </si>
  <si>
    <t>deer season nc 2022-2023</t>
  </si>
  <si>
    <t>deer season tennessee</t>
  </si>
  <si>
    <t>deer sounds at night</t>
  </si>
  <si>
    <t>deer tags in illinois</t>
  </si>
  <si>
    <t>deer women</t>
  </si>
  <si>
    <t>https://realtree.com/deer-hunting/articles/women-and-how-they-re-affecting-the-deer-hunting-tradition</t>
  </si>
  <si>
    <t>deer youth season missouri</t>
  </si>
  <si>
    <t>delaware deer season 2022</t>
  </si>
  <si>
    <t>difference between elk and deer</t>
  </si>
  <si>
    <t>dnr deer registration mn</t>
  </si>
  <si>
    <t>do deer eat watermelon</t>
  </si>
  <si>
    <t>do deer like peanut butter</t>
  </si>
  <si>
    <t>https://www.wideopenspaces.com/peanut-butter-dispenser-draw-deer-to-you-when-nothing-else-will/</t>
  </si>
  <si>
    <t>dog eating deer poop</t>
  </si>
  <si>
    <t>draw deer</t>
  </si>
  <si>
    <t>drawing deer</t>
  </si>
  <si>
    <t>east palestine dead deer</t>
  </si>
  <si>
    <t>https://www.wideopenspaces.com/ohio-water-wildlife-die-after-ohio-train-derailment/</t>
  </si>
  <si>
    <t>european deer</t>
  </si>
  <si>
    <t>eyes of deer</t>
  </si>
  <si>
    <t>florida deer hunting season</t>
  </si>
  <si>
    <t>fort stewart deers</t>
  </si>
  <si>
    <t>https://realtree.com/deer-hunting/articles/ultimate-access-deer-hunting-on-military-bases</t>
  </si>
  <si>
    <t>homemade deer feeder ideas</t>
  </si>
  <si>
    <t>https://www.wideopenspaces.com/if-you-make-a-diy-deer-feeder-dont-do-this/</t>
  </si>
  <si>
    <t>how long do deers live</t>
  </si>
  <si>
    <t>how much wind is too much for deer hunting</t>
  </si>
  <si>
    <t>how to count deer points</t>
  </si>
  <si>
    <t>how to drawing deer</t>
  </si>
  <si>
    <t>illinois deer tags</t>
  </si>
  <si>
    <t>indiana deer seasons</t>
  </si>
  <si>
    <t>iowa deer hunting season</t>
  </si>
  <si>
    <t>https://realtree.com/deer-hunting/articles/the-great-debate-firearms-hunting-seasons-during-the-rut</t>
  </si>
  <si>
    <t>iowa deer seasons</t>
  </si>
  <si>
    <t>kentucky deer hunting season</t>
  </si>
  <si>
    <t>ladder stands for deer hunting</t>
  </si>
  <si>
    <t>https://realtree.com/brow-tines-and-backstrap/4-tips-for-bowhunting-from-ladder-stands</t>
  </si>
  <si>
    <t>https://www.wideopenspaces.com/6-of-the-best-ladder-treestands-you-can-buy/</t>
  </si>
  <si>
    <t>metal deer feeder</t>
  </si>
  <si>
    <t>michigan deer harvest reporting</t>
  </si>
  <si>
    <t>minnesota deer harvest 2022</t>
  </si>
  <si>
    <t>minnesota deer license</t>
  </si>
  <si>
    <t>missouri deer hunting regulations 2022</t>
  </si>
  <si>
    <t>missouri deer hunting season</t>
  </si>
  <si>
    <t>mn deer license</t>
  </si>
  <si>
    <t>mn deer zones</t>
  </si>
  <si>
    <t>mn dnr deer hunting</t>
  </si>
  <si>
    <t>mule deer pictures</t>
  </si>
  <si>
    <t>names for deer</t>
  </si>
  <si>
    <t>nd deer gun season 2022</t>
  </si>
  <si>
    <t>north carolina deer season 2022</t>
  </si>
  <si>
    <t>ohio deer</t>
  </si>
  <si>
    <t>ohio deer tags</t>
  </si>
  <si>
    <t>pa deer hunting season</t>
  </si>
  <si>
    <t>pennsylvania deer season</t>
  </si>
  <si>
    <t>pibald deer</t>
  </si>
  <si>
    <t>rabid deer</t>
  </si>
  <si>
    <t>https://www.wideopenspaces.com/rabid-deer-confirm-north-carolina/</t>
  </si>
  <si>
    <t>sc deer season</t>
  </si>
  <si>
    <t>see through deer blind</t>
  </si>
  <si>
    <t>https://www.wideopenspaces.com/see-through-hunting-blinds/</t>
  </si>
  <si>
    <t>south carolina deer season</t>
  </si>
  <si>
    <t>tennessee deer hunting</t>
  </si>
  <si>
    <t>texas deer hunting season</t>
  </si>
  <si>
    <t>twra deer season</t>
  </si>
  <si>
    <t>https://realtree.com/turkey-hunting/articles/tennessee-moves-to-later-turkey-season-2-bird-bag-limit-no-fanning-on-public</t>
  </si>
  <si>
    <t>used fiberglass deer blinds for sale</t>
  </si>
  <si>
    <t>velvet deer</t>
  </si>
  <si>
    <t>what is blue tongue in deer</t>
  </si>
  <si>
    <t>when is deer season in missouri</t>
  </si>
  <si>
    <t>white and brown deer</t>
  </si>
  <si>
    <t>white tailed deer fawn</t>
  </si>
  <si>
    <t>https://realtree.com/brow-tines-and-backstrap/what-really-kills-whitetail-fawns</t>
  </si>
  <si>
    <t>wisconsin deer license</t>
  </si>
  <si>
    <t>youth deer season in mo</t>
  </si>
  <si>
    <t>youth deer season 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</si>
</sst>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1.0"/>
      <color theme="1"/>
      <name val="Arial"/>
      <scheme val="minor"/>
    </font>
    <font>
      <b/>
      <sz val="13.0"/>
      <color rgb="FF000000"/>
      <name val="Arial"/>
    </font>
    <font>
      <b/>
      <i/>
      <sz val="11.0"/>
      <color theme="1"/>
      <name val="Arial"/>
      <scheme val="minor"/>
    </font>
    <font>
      <b/>
      <sz val="12.0"/>
      <color theme="1"/>
      <name val="DM Sans"/>
    </font>
    <font>
      <sz val="12.0"/>
      <color theme="1"/>
      <name val="DM Sans"/>
    </font>
    <font/>
    <font>
      <sz val="12.0"/>
      <color rgb="FF000000"/>
      <name val="DM Sans"/>
    </font>
    <font>
      <u/>
      <sz val="12.0"/>
      <color rgb="FF0000FF"/>
      <name val="DM Sans"/>
    </font>
    <font>
      <b/>
      <sz val="12.0"/>
      <color rgb="FF000000"/>
      <name val="DM Sans"/>
    </font>
    <font>
      <u/>
      <sz val="12.0"/>
      <color rgb="FF0000FF"/>
      <name val="DM Sans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3F3F3"/>
        <bgColor rgb="FFF3F3F3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horizontal="center" vertical="bottom"/>
    </xf>
    <xf borderId="3" fillId="3" fontId="5" numFmtId="0" xfId="0" applyAlignment="1" applyBorder="1" applyFill="1" applyFont="1">
      <alignment horizontal="center" readingOrder="0" vertical="center"/>
    </xf>
    <xf borderId="2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shrinkToFit="0" vertical="bottom" wrapText="0"/>
    </xf>
    <xf borderId="0" fillId="0" fontId="6" numFmtId="0" xfId="0" applyFont="1"/>
    <xf borderId="4" fillId="5" fontId="5" numFmtId="0" xfId="0" applyAlignment="1" applyBorder="1" applyFill="1" applyFont="1">
      <alignment horizontal="center" vertical="bottom"/>
    </xf>
    <xf borderId="4" fillId="0" fontId="7" numFmtId="0" xfId="0" applyBorder="1" applyFont="1"/>
    <xf borderId="4" fillId="6" fontId="5" numFmtId="0" xfId="0" applyAlignment="1" applyBorder="1" applyFill="1" applyFont="1">
      <alignment horizontal="center" vertical="bottom"/>
    </xf>
    <xf borderId="5" fillId="0" fontId="7" numFmtId="0" xfId="0" applyBorder="1" applyFont="1"/>
    <xf borderId="0" fillId="2" fontId="8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0"/>
    </xf>
    <xf borderId="0" fillId="0" fontId="9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5" fontId="5" numFmtId="0" xfId="0" applyAlignment="1" applyFont="1">
      <alignment horizontal="center" vertical="bottom"/>
    </xf>
    <xf borderId="0" fillId="6" fontId="5" numFmtId="0" xfId="0" applyAlignment="1" applyFont="1">
      <alignment horizontal="center" readingOrder="0" vertical="bottom"/>
    </xf>
    <xf borderId="0" fillId="7" fontId="10" numFmtId="0" xfId="0" applyAlignment="1" applyFill="1" applyFont="1">
      <alignment horizontal="center"/>
    </xf>
    <xf borderId="0" fillId="7" fontId="5" numFmtId="0" xfId="0" applyAlignment="1" applyFont="1">
      <alignment horizontal="center"/>
    </xf>
    <xf borderId="0" fillId="7" fontId="5" numFmtId="0" xfId="0" applyAlignment="1" applyFont="1">
      <alignment horizontal="center" readingOrder="0"/>
    </xf>
    <xf borderId="0" fillId="7" fontId="5" numFmtId="0" xfId="0" applyAlignment="1" applyFont="1">
      <alignment horizontal="center" readingOrder="0" shrinkToFit="0" wrapText="0"/>
    </xf>
    <xf borderId="0" fillId="0" fontId="6" numFmtId="49" xfId="0" applyAlignment="1" applyFont="1" applyNumberFormat="1">
      <alignment horizontal="center"/>
    </xf>
    <xf borderId="0" fillId="0" fontId="11" numFmtId="49" xfId="0" applyAlignment="1" applyFont="1" applyNumberFormat="1">
      <alignment shrinkToFit="0" wrapText="0"/>
    </xf>
    <xf borderId="0" fillId="0" fontId="6" numFmtId="49" xfId="0" applyAlignment="1" applyFont="1" applyNumberFormat="1">
      <alignment horizontal="center" shrinkToFit="0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0" fillId="6" fontId="5" numFmtId="0" xfId="0" applyAlignment="1" applyFont="1">
      <alignment horizontal="center" vertical="bottom"/>
    </xf>
    <xf borderId="0" fillId="0" fontId="6" numFmtId="0" xfId="0" applyAlignment="1" applyFont="1">
      <alignment readingOrder="0" shrinkToFit="0" wrapText="0"/>
    </xf>
    <xf borderId="0" fillId="0" fontId="12" numFmtId="49" xfId="0" applyAlignment="1" applyFont="1" applyNumberFormat="1">
      <alignment readingOrder="0"/>
    </xf>
    <xf borderId="0" fillId="0" fontId="13" numFmtId="49" xfId="0" applyAlignment="1" applyFont="1" applyNumberFormat="1">
      <alignment horizontal="center" readingOrder="0"/>
    </xf>
    <xf borderId="0" fillId="0" fontId="12" numFmtId="49" xfId="0" applyAlignment="1" applyFont="1" applyNumberFormat="1">
      <alignment readingOrder="0" shrinkToFit="0" wrapText="0"/>
    </xf>
    <xf borderId="0" fillId="0" fontId="12" numFmtId="49" xfId="0" applyFont="1" applyNumberFormat="1"/>
    <xf borderId="0" fillId="0" fontId="12" numFmtId="49" xfId="0" applyAlignment="1" applyFont="1" applyNumberFormat="1">
      <alignment horizontal="center" readingOrder="0"/>
    </xf>
    <xf borderId="0" fillId="0" fontId="14" numFmtId="49" xfId="0" applyAlignment="1" applyFont="1" applyNumberFormat="1">
      <alignment readingOrder="0" shrinkToFit="0" wrapText="0"/>
    </xf>
    <xf borderId="0" fillId="0" fontId="1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meateater.com/wired-to-hunt/whitetail-hunting-gear/5-best-whitetail-cartridges" TargetMode="External"/><Relationship Id="rId391" Type="http://schemas.openxmlformats.org/officeDocument/2006/relationships/hyperlink" Target="https://www.wideopenspaces.com/venison-cuts-ranked/" TargetMode="External"/><Relationship Id="rId390" Type="http://schemas.openxmlformats.org/officeDocument/2006/relationships/hyperlink" Target="https://www.themeateater.com/cook/cooking-techniques/5-venison-cuts-you-need-to-know" TargetMode="External"/><Relationship Id="rId1" Type="http://schemas.openxmlformats.org/officeDocument/2006/relationships/hyperlink" Target="https://www.themeateater.com/hunt/whitetail-deer/how-to-gut-a-deer" TargetMode="External"/><Relationship Id="rId2" Type="http://schemas.openxmlformats.org/officeDocument/2006/relationships/hyperlink" Target="https://realtree.com/timber-2-table-wild-game-recipes/how-to-gut-a-deer-in-6-steps" TargetMode="External"/><Relationship Id="rId3" Type="http://schemas.openxmlformats.org/officeDocument/2006/relationships/hyperlink" Target="https://www.wideopenspaces.com/salvage-gut-shot-deer/" TargetMode="External"/><Relationship Id="rId4" Type="http://schemas.openxmlformats.org/officeDocument/2006/relationships/hyperlink" Target="https://www.themeateater.com/cook/butchering-and-processing/how-to-tan-a-deer-hide" TargetMode="External"/><Relationship Id="rId9" Type="http://schemas.openxmlformats.org/officeDocument/2006/relationships/hyperlink" Target="https://www.themeateater.com/wired-to-hunt/whitetail-hunting-gear/this-cartridge-doesnt-get-enough-love-from-deer-hunters" TargetMode="External"/><Relationship Id="rId385" Type="http://schemas.openxmlformats.org/officeDocument/2006/relationships/hyperlink" Target="https://www.themeateater.com/wired-to-hunt/whitetail-hunting/what-you-need-to-know-about-blood-trailing-whitetail" TargetMode="External"/><Relationship Id="rId384" Type="http://schemas.openxmlformats.org/officeDocument/2006/relationships/hyperlink" Target="https://www.wideopenspaces.com/5-biggest-whitetail-bucks-ever-found-dead/" TargetMode="External"/><Relationship Id="rId383" Type="http://schemas.openxmlformats.org/officeDocument/2006/relationships/hyperlink" Target="https://realtree.com/deer-hunting/articles/heads-of-state-all-about-state-record-bucks" TargetMode="External"/><Relationship Id="rId382" Type="http://schemas.openxmlformats.org/officeDocument/2006/relationships/hyperlink" Target="https://www.themeateater.com/hunt/whitetail-deer/is-this-50-point-whitetail-the-new-world-record" TargetMode="External"/><Relationship Id="rId5" Type="http://schemas.openxmlformats.org/officeDocument/2006/relationships/hyperlink" Target="https://www.wideopenspaces.com/7-steps-tanning-deer-hide-easier-think/" TargetMode="External"/><Relationship Id="rId389" Type="http://schemas.openxmlformats.org/officeDocument/2006/relationships/hyperlink" Target="https://www.wideopenspaces.com/top-5-venison-chili-recipe/" TargetMode="External"/><Relationship Id="rId6" Type="http://schemas.openxmlformats.org/officeDocument/2006/relationships/hyperlink" Target="https://www.themeateater.com/wired-to-hunt/whitetail-hunting-gear/this-cartridge-doesnt-get-enough-love-from-deer-hunters" TargetMode="External"/><Relationship Id="rId388" Type="http://schemas.openxmlformats.org/officeDocument/2006/relationships/hyperlink" Target="https://realtree.com/timber-2-table-wild-game-recipes/contest-winning-venison-chili-recipe" TargetMode="External"/><Relationship Id="rId7" Type="http://schemas.openxmlformats.org/officeDocument/2006/relationships/hyperlink" Target="https://www.themeateater.com/hunt/big-game/tips-and-trick-for-hunting-whitetail-deer" TargetMode="External"/><Relationship Id="rId387" Type="http://schemas.openxmlformats.org/officeDocument/2006/relationships/hyperlink" Target="https://www.themeateater.com/watch/6175334134001/cooking-game-venison-chili" TargetMode="External"/><Relationship Id="rId8" Type="http://schemas.openxmlformats.org/officeDocument/2006/relationships/hyperlink" Target="https://realtree.com/deer-hunting" TargetMode="External"/><Relationship Id="rId386" Type="http://schemas.openxmlformats.org/officeDocument/2006/relationships/hyperlink" Target="https://realtree.com/brow-tines-and-backstrap/20-tips-for-blood-trailing-deer" TargetMode="External"/><Relationship Id="rId381" Type="http://schemas.openxmlformats.org/officeDocument/2006/relationships/hyperlink" Target="https://realtree.com/timber-2-table-articles/5-reasons-to-butcher-your-own-deer-this-season" TargetMode="External"/><Relationship Id="rId380" Type="http://schemas.openxmlformats.org/officeDocument/2006/relationships/hyperlink" Target="https://www.themeateater.com/watch/6275506601001/how-to-butcher-your-own-deer-steve-s-way" TargetMode="External"/><Relationship Id="rId379" Type="http://schemas.openxmlformats.org/officeDocument/2006/relationships/hyperlink" Target="https://www.wideopenspaces.com/hilarious-romantic-take-on-how-to-prepare-deer-heart/" TargetMode="External"/><Relationship Id="rId374" Type="http://schemas.openxmlformats.org/officeDocument/2006/relationships/hyperlink" Target="https://www.wideopenspaces.com/salvage-gut-shot-deer/" TargetMode="External"/><Relationship Id="rId373" Type="http://schemas.openxmlformats.org/officeDocument/2006/relationships/hyperlink" Target="https://realtree.com/brow-tines-and-backstrap/it-s-hot-you-shot-a-deer-now-what" TargetMode="External"/><Relationship Id="rId372" Type="http://schemas.openxmlformats.org/officeDocument/2006/relationships/hyperlink" Target="https://www.themeateater.com/wired-to-hunt/whitetail-hunting/how-long-should-you-wait-to-blood-trail-a-deer" TargetMode="External"/><Relationship Id="rId371" Type="http://schemas.openxmlformats.org/officeDocument/2006/relationships/hyperlink" Target="https://realtree.com/big-game-hunting/articles/the-top-states-for-record-mule-deer-in-the-last-10-years" TargetMode="External"/><Relationship Id="rId378" Type="http://schemas.openxmlformats.org/officeDocument/2006/relationships/hyperlink" Target="https://realtree.com/timber-2-table-wild-game-recipes/pan-fried-venison-heart-with-black-pepper-buttermilk-gravy" TargetMode="External"/><Relationship Id="rId377" Type="http://schemas.openxmlformats.org/officeDocument/2006/relationships/hyperlink" Target="https://www.themeateater.com/watch/6175573953001/meateater-s-seared-venison-heart-with-whiskey-butter" TargetMode="External"/><Relationship Id="rId376" Type="http://schemas.openxmlformats.org/officeDocument/2006/relationships/hyperlink" Target="https://www.wideopenspaces.com/venison-cuts-ranked/" TargetMode="External"/><Relationship Id="rId375" Type="http://schemas.openxmlformats.org/officeDocument/2006/relationships/hyperlink" Target="https://www.themeateater.com/cook/cooking-techniques/5-venison-cuts-you-need-to-know" TargetMode="External"/><Relationship Id="rId396" Type="http://schemas.openxmlformats.org/officeDocument/2006/relationships/hyperlink" Target="https://realtree.com/deer-hunting/articles/the-5-best-bullet-styles-for-deer-hunting" TargetMode="External"/><Relationship Id="rId395" Type="http://schemas.openxmlformats.org/officeDocument/2006/relationships/hyperlink" Target="https://www.themeateater.com/wired-to-hunt/whitetail-hunting-gear/5-best-whitetail-cartridges" TargetMode="External"/><Relationship Id="rId394" Type="http://schemas.openxmlformats.org/officeDocument/2006/relationships/hyperlink" Target="https://www.wideopenspaces.com/best-deer-hunting-caliber-for-women/" TargetMode="External"/><Relationship Id="rId393" Type="http://schemas.openxmlformats.org/officeDocument/2006/relationships/hyperlink" Target="https://realtree.com/deer-hunting/articles/the-5-best-bullet-styles-for-deer-hunting" TargetMode="External"/><Relationship Id="rId399" Type="http://schemas.openxmlformats.org/officeDocument/2006/relationships/hyperlink" Target="https://realtree.com/timber-2-table-wild-game-recipes/pan-fried-venison-heart-with-black-pepper-buttermilk-gravy" TargetMode="External"/><Relationship Id="rId398" Type="http://schemas.openxmlformats.org/officeDocument/2006/relationships/hyperlink" Target="https://www.themeateater.com/watch/6175573953001/meateater-s-seared-venison-heart-with-whiskey-butter" TargetMode="External"/><Relationship Id="rId397" Type="http://schemas.openxmlformats.org/officeDocument/2006/relationships/hyperlink" Target="https://www.wideopenspaces.com/best-deer-hunting-caliber-for-women/" TargetMode="External"/><Relationship Id="rId1730" Type="http://schemas.openxmlformats.org/officeDocument/2006/relationships/hyperlink" Target="https://www.wideopenspaces.com/deer-tries-to-jump-high-fence-video/" TargetMode="External"/><Relationship Id="rId1731" Type="http://schemas.openxmlformats.org/officeDocument/2006/relationships/hyperlink" Target="https://www.wideopenspaces.com/dip-deer-skull-spray-paint-diy-video/" TargetMode="External"/><Relationship Id="rId1732" Type="http://schemas.openxmlformats.org/officeDocument/2006/relationships/hyperlink" Target="https://realtree.com/brow-tines-and-backstrap/iowa-law-expands-rifle-options-for-late-season-antlerless-hunts" TargetMode="External"/><Relationship Id="rId1733" Type="http://schemas.openxmlformats.org/officeDocument/2006/relationships/hyperlink" Target="https://www.wideopenspaces.com/deer-hunting-in-illinois-does-a-boone-crockett-buck-await/" TargetMode="External"/><Relationship Id="rId1734" Type="http://schemas.openxmlformats.org/officeDocument/2006/relationships/hyperlink" Target="https://realtree.com/brow-tines-and-backstrap/2022-northeast-deer-hunting-forecast" TargetMode="External"/><Relationship Id="rId1735" Type="http://schemas.openxmlformats.org/officeDocument/2006/relationships/hyperlink" Target="https://www.wideopenspaces.com/heres-michigans-early-antlerless-deer-season-explained-quickly-easily/" TargetMode="External"/><Relationship Id="rId1736" Type="http://schemas.openxmlformats.org/officeDocument/2006/relationships/hyperlink" Target="https://www.wideopenspaces.com/michigan-deer-license-sales/" TargetMode="External"/><Relationship Id="rId1737" Type="http://schemas.openxmlformats.org/officeDocument/2006/relationships/hyperlink" Target="https://www.wideopenspaces.com/missouri-deer-hunting-all-to-know-about-this-buck-buck-paradise/" TargetMode="External"/><Relationship Id="rId1738" Type="http://schemas.openxmlformats.org/officeDocument/2006/relationships/hyperlink" Target="https://www.wideopenspaces.com/mn-deer-hunting-zones/" TargetMode="External"/><Relationship Id="rId1739" Type="http://schemas.openxmlformats.org/officeDocument/2006/relationships/hyperlink" Target="https://www.wideopenspaces.com/mn-deer-hunting-zones/" TargetMode="External"/><Relationship Id="rId1720" Type="http://schemas.openxmlformats.org/officeDocument/2006/relationships/hyperlink" Target="https://realtree.com/brow-tines-and-backstrap/2022-southeast-deer-hunting-forecast" TargetMode="External"/><Relationship Id="rId1721" Type="http://schemas.openxmlformats.org/officeDocument/2006/relationships/hyperlink" Target="https://www.wideopenspaces.com/deer-hunting-in-ohio-what-you-should-know/" TargetMode="External"/><Relationship Id="rId1722" Type="http://schemas.openxmlformats.org/officeDocument/2006/relationships/hyperlink" Target="https://www.wideopenspaces.com/pennsylvania-deer-hunting/" TargetMode="External"/><Relationship Id="rId1723" Type="http://schemas.openxmlformats.org/officeDocument/2006/relationships/hyperlink" Target="https://www.wideopenspaces.com/invasion-axis-deer/" TargetMode="External"/><Relationship Id="rId1724" Type="http://schemas.openxmlformats.org/officeDocument/2006/relationships/hyperlink" Target="https://realtree.com/deer-hunting/articles/15-fascinating-facts-about-whitetail-biology-and-behavior" TargetMode="External"/><Relationship Id="rId1725" Type="http://schemas.openxmlformats.org/officeDocument/2006/relationships/hyperlink" Target="https://realtree.com/deer-hunting/articles/where-to-deer-hunt-in-february" TargetMode="External"/><Relationship Id="rId1726" Type="http://schemas.openxmlformats.org/officeDocument/2006/relationships/hyperlink" Target="https://realtree.com/brow-tines-and-backstrap/2022-southeast-deer-hunting-forecast" TargetMode="External"/><Relationship Id="rId1727" Type="http://schemas.openxmlformats.org/officeDocument/2006/relationships/hyperlink" Target="https://www.wideopenspaces.com/georgia-deer-hunting/" TargetMode="External"/><Relationship Id="rId1728" Type="http://schemas.openxmlformats.org/officeDocument/2006/relationships/hyperlink" Target="https://www.wideopenspaces.com/hairless-buck/" TargetMode="External"/><Relationship Id="rId1729" Type="http://schemas.openxmlformats.org/officeDocument/2006/relationships/hyperlink" Target="https://realtree.com/midwest-whitetail/articles/string-jumpers-how-to-aim-at-alert-deer" TargetMode="External"/><Relationship Id="rId1752" Type="http://schemas.openxmlformats.org/officeDocument/2006/relationships/hyperlink" Target="https://realtree.com/the-realblog-with-stephanie-mallory/watch-live-cam-of-maine-deer-pantry" TargetMode="External"/><Relationship Id="rId1753" Type="http://schemas.openxmlformats.org/officeDocument/2006/relationships/hyperlink" Target="https://www.wideopenspaces.com/buck-loses-an-antler-while-sparring-at-feeder/" TargetMode="External"/><Relationship Id="rId1754" Type="http://schemas.openxmlformats.org/officeDocument/2006/relationships/hyperlink" Target="https://realtree.com/timber-2-table-wild-game-recipes/easy-canned-venison" TargetMode="External"/><Relationship Id="rId1755" Type="http://schemas.openxmlformats.org/officeDocument/2006/relationships/hyperlink" Target="https://www.wideopenspaces.com/canned-venison-how-to-preserve-your-wild-game-meat-the-old-fashioned-way/" TargetMode="External"/><Relationship Id="rId1756" Type="http://schemas.openxmlformats.org/officeDocument/2006/relationships/hyperlink" Target="https://realtree.com/brow-tines-and-backstrap/how-to-use-a-trail-camera" TargetMode="External"/><Relationship Id="rId1757" Type="http://schemas.openxmlformats.org/officeDocument/2006/relationships/hyperlink" Target="https://realtree.com/turkey-blog-with-steve-hickoff/video-territorial-deer-attack-on-backyard-turkey-flock" TargetMode="External"/><Relationship Id="rId1758" Type="http://schemas.openxmlformats.org/officeDocument/2006/relationships/hyperlink" Target="https://realtree.com/deer-hunting/articles/ghost-busters-what-to-do-when-your-buck-disappears" TargetMode="External"/><Relationship Id="rId1759" Type="http://schemas.openxmlformats.org/officeDocument/2006/relationships/hyperlink" Target="https://realtree.com/timber-2-table-articles/5-things-your-deer-processor-hates" TargetMode="External"/><Relationship Id="rId808" Type="http://schemas.openxmlformats.org/officeDocument/2006/relationships/hyperlink" Target="https://www.wideopenspaces.com/oak-trees-deer/" TargetMode="External"/><Relationship Id="rId807" Type="http://schemas.openxmlformats.org/officeDocument/2006/relationships/hyperlink" Target="https://realtree.com/deer-hunting/articles/everything-you-need-to-know-about-acorns" TargetMode="External"/><Relationship Id="rId806" Type="http://schemas.openxmlformats.org/officeDocument/2006/relationships/hyperlink" Target="https://www.themeateater.com/wired-to-hunt/whitetail-scouting/how-to-whitetail-hunt-around-acorns" TargetMode="External"/><Relationship Id="rId805" Type="http://schemas.openxmlformats.org/officeDocument/2006/relationships/hyperlink" Target="https://www.themeateater.com/hunt/elk/4-ways-elk-hunting-is-not-deer-hunting" TargetMode="External"/><Relationship Id="rId809" Type="http://schemas.openxmlformats.org/officeDocument/2006/relationships/hyperlink" Target="https://www.themeateater.com/wired-to-hunt/whitetail-management/you-wont-believe-how-far-this-buck-traveled" TargetMode="External"/><Relationship Id="rId800" Type="http://schemas.openxmlformats.org/officeDocument/2006/relationships/hyperlink" Target="https://www.wideopenspaces.com/how-to-clean-a-deer-skull/" TargetMode="External"/><Relationship Id="rId804" Type="http://schemas.openxmlformats.org/officeDocument/2006/relationships/hyperlink" Target="https://www.wideopenspaces.com/the-difference-between-a-bull-elk-and-a-red-stag/" TargetMode="External"/><Relationship Id="rId803" Type="http://schemas.openxmlformats.org/officeDocument/2006/relationships/hyperlink" Target="https://www.themeateater.com/hunt/elk/4-ways-elk-hunting-is-not-deer-hunting" TargetMode="External"/><Relationship Id="rId802" Type="http://schemas.openxmlformats.org/officeDocument/2006/relationships/hyperlink" Target="https://www.themeateater.com/hunt/elk/4-ways-elk-hunting-is-not-deer-hunting" TargetMode="External"/><Relationship Id="rId801" Type="http://schemas.openxmlformats.org/officeDocument/2006/relationships/hyperlink" Target="https://www.themeateater.com/hunt/whitetail-deer/video-deer-carcass-completely-decomposes-in-5-days" TargetMode="External"/><Relationship Id="rId1750" Type="http://schemas.openxmlformats.org/officeDocument/2006/relationships/hyperlink" Target="https://www.wideopenspaces.com/wisconsin-deer-hunting-everything-hunters-need-to-know/" TargetMode="External"/><Relationship Id="rId1751" Type="http://schemas.openxmlformats.org/officeDocument/2006/relationships/hyperlink" Target="https://www.wideopenspaces.com/invasion-axis-deer/" TargetMode="External"/><Relationship Id="rId1741" Type="http://schemas.openxmlformats.org/officeDocument/2006/relationships/hyperlink" Target="https://realtree.com/brow-tines-and-backstrap/2022-northeast-deer-hunting-forecast" TargetMode="External"/><Relationship Id="rId1742" Type="http://schemas.openxmlformats.org/officeDocument/2006/relationships/hyperlink" Target="https://www.wideopenspaces.com/19-deer-hunting-jokes/" TargetMode="External"/><Relationship Id="rId1743" Type="http://schemas.openxmlformats.org/officeDocument/2006/relationships/hyperlink" Target="https://www.wideopenspaces.com/reindeer-meat/" TargetMode="External"/><Relationship Id="rId1744" Type="http://schemas.openxmlformats.org/officeDocument/2006/relationships/hyperlink" Target="https://realtree.com/brow-tines-and-backstrap/2022-southeast-deer-hunting-forecast" TargetMode="External"/><Relationship Id="rId1745" Type="http://schemas.openxmlformats.org/officeDocument/2006/relationships/hyperlink" Target="https://www.wideopenspaces.com/best-heated-socks/" TargetMode="External"/><Relationship Id="rId1746" Type="http://schemas.openxmlformats.org/officeDocument/2006/relationships/hyperlink" Target="https://www.wideopenspaces.com/when-does-deer-season-end-in-texas/" TargetMode="External"/><Relationship Id="rId1747" Type="http://schemas.openxmlformats.org/officeDocument/2006/relationships/hyperlink" Target="https://www.wideopenspaces.com/when-does-deer-season-end-in-texas/" TargetMode="External"/><Relationship Id="rId1748" Type="http://schemas.openxmlformats.org/officeDocument/2006/relationships/hyperlink" Target="https://realtree.com/brow-tines-and-backstrap/wisconsin-hunters-reject-changes-to-deer-season" TargetMode="External"/><Relationship Id="rId1749" Type="http://schemas.openxmlformats.org/officeDocument/2006/relationships/hyperlink" Target="https://realtree.com/brow-tines-and-backstrap/wisconsin-hunters-reject-changes-to-deer-season" TargetMode="External"/><Relationship Id="rId1740" Type="http://schemas.openxmlformats.org/officeDocument/2006/relationships/hyperlink" Target="https://www.wideopenspaces.com/minnesota-deer-hunting/" TargetMode="External"/><Relationship Id="rId1710" Type="http://schemas.openxmlformats.org/officeDocument/2006/relationships/hyperlink" Target="https://www.wideopenspaces.com/indiana-hunting-license/" TargetMode="External"/><Relationship Id="rId1711" Type="http://schemas.openxmlformats.org/officeDocument/2006/relationships/hyperlink" Target="https://realtree.com/deer-hunting/articles/the-meaning-of-deer-hunting-hunting-truth-in-life" TargetMode="External"/><Relationship Id="rId1712" Type="http://schemas.openxmlformats.org/officeDocument/2006/relationships/hyperlink" Target="https://realtree.com/brow-tines-and-backstrap/7-different-deer-taxidermy-options-and-their-costs" TargetMode="External"/><Relationship Id="rId1713" Type="http://schemas.openxmlformats.org/officeDocument/2006/relationships/hyperlink" Target="https://realtree.com/brow-tines-and-backstrap/2022-southeast-deer-hunting-forecast" TargetMode="External"/><Relationship Id="rId1714" Type="http://schemas.openxmlformats.org/officeDocument/2006/relationships/hyperlink" Target="https://www.wideopenspaces.com/alabama-hunting-license/" TargetMode="External"/><Relationship Id="rId1715" Type="http://schemas.openxmlformats.org/officeDocument/2006/relationships/hyperlink" Target="https://realtree.com/deer-hunting/articles/where-to-deer-hunt-in-february" TargetMode="External"/><Relationship Id="rId1716" Type="http://schemas.openxmlformats.org/officeDocument/2006/relationships/hyperlink" Target="https://www.wideopenspaces.com/hunt-deer-january-february/" TargetMode="External"/><Relationship Id="rId1717" Type="http://schemas.openxmlformats.org/officeDocument/2006/relationships/hyperlink" Target="https://www.wideopenspaces.com/when-does-deer-season-end-in-georgia/" TargetMode="External"/><Relationship Id="rId1718" Type="http://schemas.openxmlformats.org/officeDocument/2006/relationships/hyperlink" Target="https://www.wideopenspaces.com/deer-hunting-in-illinois-does-a-boone-crockett-buck-await/" TargetMode="External"/><Relationship Id="rId1719" Type="http://schemas.openxmlformats.org/officeDocument/2006/relationships/hyperlink" Target="https://www.wideopenspaces.com/when-does-deer-season-end-in-texas/" TargetMode="External"/><Relationship Id="rId1700" Type="http://schemas.openxmlformats.org/officeDocument/2006/relationships/hyperlink" Target="https://www.wideopenspaces.com/whitetailwednesday-15-hilarious-deer-hunting-memes-true/" TargetMode="External"/><Relationship Id="rId1701" Type="http://schemas.openxmlformats.org/officeDocument/2006/relationships/hyperlink" Target="https://www.wideopenspaces.com/whitetailwednesday-15-hilarious-deer-hunting-memes-true/" TargetMode="External"/><Relationship Id="rId1702" Type="http://schemas.openxmlformats.org/officeDocument/2006/relationships/hyperlink" Target="https://www.wideopenspaces.com/5-of-the-best-public-places-to-hunt-in-ohio/" TargetMode="External"/><Relationship Id="rId1703" Type="http://schemas.openxmlformats.org/officeDocument/2006/relationships/hyperlink" Target="https://www.wideopenspaces.com/michigan-deer-combo-license-explained/" TargetMode="External"/><Relationship Id="rId1704" Type="http://schemas.openxmlformats.org/officeDocument/2006/relationships/hyperlink" Target="https://www.wideopenspaces.com/mn-deer-hunting-zones/" TargetMode="External"/><Relationship Id="rId1705" Type="http://schemas.openxmlformats.org/officeDocument/2006/relationships/hyperlink" Target="https://realtree.com/the-realblog-with-stephanie-mallory/top-10-hunting-tattoos-for-2017" TargetMode="External"/><Relationship Id="rId1706" Type="http://schemas.openxmlformats.org/officeDocument/2006/relationships/hyperlink" Target="https://www.wideopenspaces.com/20-great-hunting-tattoos-youll-want-to-get/" TargetMode="External"/><Relationship Id="rId1707" Type="http://schemas.openxmlformats.org/officeDocument/2006/relationships/hyperlink" Target="https://realtree.com/deer-hunting/articles/10-tips-for-great-deer-pictures" TargetMode="External"/><Relationship Id="rId1708" Type="http://schemas.openxmlformats.org/officeDocument/2006/relationships/hyperlink" Target="https://www.wideopenspaces.com/19-deer-hunting-jokes/" TargetMode="External"/><Relationship Id="rId1709" Type="http://schemas.openxmlformats.org/officeDocument/2006/relationships/hyperlink" Target="https://www.wideopenspaces.com/finding-land-to-hunt-in-texas-isnt-as-hard-as-you-might-think/" TargetMode="External"/><Relationship Id="rId40" Type="http://schemas.openxmlformats.org/officeDocument/2006/relationships/hyperlink" Target="https://www.themeateater.com/cook/butchering-and-processing/how-to-tan-a-deer-hide" TargetMode="External"/><Relationship Id="rId1334" Type="http://schemas.openxmlformats.org/officeDocument/2006/relationships/hyperlink" Target="https://realtree.com/deer-hunting" TargetMode="External"/><Relationship Id="rId1335" Type="http://schemas.openxmlformats.org/officeDocument/2006/relationships/hyperlink" Target="https://www.themeateater.com/cook/recipes/venison-steak-and-eggs-recipe" TargetMode="External"/><Relationship Id="rId42" Type="http://schemas.openxmlformats.org/officeDocument/2006/relationships/hyperlink" Target="https://www.themeateater.com/wired-to-hunt/whitetail-hunting/deer-vision-how-whitetails-see-color-light-and-movement" TargetMode="External"/><Relationship Id="rId1336" Type="http://schemas.openxmlformats.org/officeDocument/2006/relationships/hyperlink" Target="https://www.themeateater.com/wired-to-hunt/whitetail-scouting/ask-meateater-how-high-do-you-hang-tree-stands" TargetMode="External"/><Relationship Id="rId41" Type="http://schemas.openxmlformats.org/officeDocument/2006/relationships/hyperlink" Target="https://www.wideopenspaces.com/7-steps-tanning-deer-hide-easier-think/" TargetMode="External"/><Relationship Id="rId1337" Type="http://schemas.openxmlformats.org/officeDocument/2006/relationships/hyperlink" Target="https://realtree.com/brow-tines-and-backstrap/the-case-for-climbing-stands" TargetMode="External"/><Relationship Id="rId44" Type="http://schemas.openxmlformats.org/officeDocument/2006/relationships/hyperlink" Target="https://www.wideopenspaces.com/are-deer-actually-color-blind/" TargetMode="External"/><Relationship Id="rId1338" Type="http://schemas.openxmlformats.org/officeDocument/2006/relationships/hyperlink" Target="https://www.themeateater.com/wired-to-hunt/whitetail-hunting-gear/the-single-best-way-to-get-bucks-on-trail-cam-without-bait" TargetMode="External"/><Relationship Id="rId43" Type="http://schemas.openxmlformats.org/officeDocument/2006/relationships/hyperlink" Target="https://realtree.com/all/articles/what-deer-really-see" TargetMode="External"/><Relationship Id="rId1339" Type="http://schemas.openxmlformats.org/officeDocument/2006/relationships/hyperlink" Target="https://realtree.com/brow-tines-and-backstrap/8-things-you-can-use-to-bait-deer" TargetMode="External"/><Relationship Id="rId46" Type="http://schemas.openxmlformats.org/officeDocument/2006/relationships/hyperlink" Target="https://www.themeateater.com/wired-to-hunt/whitetail-hunting-gear/this-cartridge-doesnt-get-enough-love-from-deer-hunters" TargetMode="External"/><Relationship Id="rId45" Type="http://schemas.openxmlformats.org/officeDocument/2006/relationships/hyperlink" Target="https://www.themeateater.com/hunt/firearm-hunting/can-an-air-rifle-bring-down-a-whitetail" TargetMode="External"/><Relationship Id="rId745" Type="http://schemas.openxmlformats.org/officeDocument/2006/relationships/hyperlink" Target="https://www.themeateater.com/hunt/big-game/what-to-do-when-you-plan-on-getting-a-deer-mounted" TargetMode="External"/><Relationship Id="rId744" Type="http://schemas.openxmlformats.org/officeDocument/2006/relationships/hyperlink" Target="https://www.themeateater.com/wired-to-hunt/whitetail-hunting-gear/5-mistakes-deer-hunters-make-with-trail-cameras" TargetMode="External"/><Relationship Id="rId743" Type="http://schemas.openxmlformats.org/officeDocument/2006/relationships/hyperlink" Target="https://www.themeateater.com/hunt/big-game/ask-meateater-where-should-i-go-on-my-first-mule-deer-hunt" TargetMode="External"/><Relationship Id="rId742" Type="http://schemas.openxmlformats.org/officeDocument/2006/relationships/hyperlink" Target="https://www.wideopenspaces.com/best-deer-hunting-rifles/" TargetMode="External"/><Relationship Id="rId749" Type="http://schemas.openxmlformats.org/officeDocument/2006/relationships/hyperlink" Target="https://realtree.com/timber-2-table-wild-game-recipes/stovetop-venison-roast" TargetMode="External"/><Relationship Id="rId748" Type="http://schemas.openxmlformats.org/officeDocument/2006/relationships/hyperlink" Target="https://www.themeateater.com/cook/recipes/shredded-venison-roast" TargetMode="External"/><Relationship Id="rId747" Type="http://schemas.openxmlformats.org/officeDocument/2006/relationships/hyperlink" Target="https://www.wideopenspaces.com/deer-taxidermy-options/" TargetMode="External"/><Relationship Id="rId746" Type="http://schemas.openxmlformats.org/officeDocument/2006/relationships/hyperlink" Target="https://realtree.com/brow-tines-and-backstrap/how-long-should-deer-taxidermy-take" TargetMode="External"/><Relationship Id="rId48" Type="http://schemas.openxmlformats.org/officeDocument/2006/relationships/hyperlink" Target="https://www.themeateater.com/wired-to-hunt/whitetail-hunting/where-to-shoot-a-deer" TargetMode="External"/><Relationship Id="rId47" Type="http://schemas.openxmlformats.org/officeDocument/2006/relationships/hyperlink" Target="https://realtree.com/brow-tines-and-backstrap/why-you-should-use-an-ar-15-as-a-deer-rifle" TargetMode="External"/><Relationship Id="rId49" Type="http://schemas.openxmlformats.org/officeDocument/2006/relationships/hyperlink" Target="https://realtree.com/deer-hunting/articles/the-best-shot-placement-on-deer" TargetMode="External"/><Relationship Id="rId741" Type="http://schemas.openxmlformats.org/officeDocument/2006/relationships/hyperlink" Target="https://www.themeateater.com/hunt/firearm-hunting/should-your-next-deer-rifle-be-an-ar-15" TargetMode="External"/><Relationship Id="rId1330" Type="http://schemas.openxmlformats.org/officeDocument/2006/relationships/hyperlink" Target="https://www.themeateater.com/conservation/wildlife-management/nebraska-introduces-controversial-july-elk-season" TargetMode="External"/><Relationship Id="rId740" Type="http://schemas.openxmlformats.org/officeDocument/2006/relationships/hyperlink" Target="https://www.wideopenspaces.com/vampire-deer-exist/" TargetMode="External"/><Relationship Id="rId1331" Type="http://schemas.openxmlformats.org/officeDocument/2006/relationships/hyperlink" Target="https://realtree.com/brow-tines-and-backstrap/2022-midwest-deer-hunting-forecast" TargetMode="External"/><Relationship Id="rId1332" Type="http://schemas.openxmlformats.org/officeDocument/2006/relationships/hyperlink" Target="https://www.wideopenspaces.com/nebraska-turkey-hunting/" TargetMode="External"/><Relationship Id="rId1333" Type="http://schemas.openxmlformats.org/officeDocument/2006/relationships/hyperlink" Target="https://www.themeateater.com/wired-to-hunt/whitetail-hunting-gear/how-to-buy-your-first-deer-hunting-bow" TargetMode="External"/><Relationship Id="rId1323" Type="http://schemas.openxmlformats.org/officeDocument/2006/relationships/hyperlink" Target="https://www.wideopenspaces.com/deer-shed-antlers-pics/" TargetMode="External"/><Relationship Id="rId1324" Type="http://schemas.openxmlformats.org/officeDocument/2006/relationships/hyperlink" Target="https://www.themeateater.com/watch/6209664304001/how-to-shock-pouch-a-deer-with-clay-newcomb" TargetMode="External"/><Relationship Id="rId31" Type="http://schemas.openxmlformats.org/officeDocument/2006/relationships/hyperlink" Target="https://www.themeateater.com/hunt/big-game/ask-meateater-where-should-i-go-on-my-first-mule-deer-hunt" TargetMode="External"/><Relationship Id="rId1325" Type="http://schemas.openxmlformats.org/officeDocument/2006/relationships/hyperlink" Target="https://www.wideopenspaces.com/deer-bone-marrow/" TargetMode="External"/><Relationship Id="rId30" Type="http://schemas.openxmlformats.org/officeDocument/2006/relationships/hyperlink" Target="https://www.wideopenspaces.com/are-deer-actually-color-blind/" TargetMode="External"/><Relationship Id="rId1326" Type="http://schemas.openxmlformats.org/officeDocument/2006/relationships/hyperlink" Target="https://www.themeateater.com/wired-to-hunt/whitetail-hunting/5-habits-that-will-make-you-a-better-deer-hunter" TargetMode="External"/><Relationship Id="rId33" Type="http://schemas.openxmlformats.org/officeDocument/2006/relationships/hyperlink" Target="https://www.themeateater.com/conservation/wildlife-management/coyotes-kill-deer-not-deer-herds" TargetMode="External"/><Relationship Id="rId1327" Type="http://schemas.openxmlformats.org/officeDocument/2006/relationships/hyperlink" Target="https://realtree.com/deer-hunting/articles/25-tips-for-new-deer-hunters" TargetMode="External"/><Relationship Id="rId32" Type="http://schemas.openxmlformats.org/officeDocument/2006/relationships/hyperlink" Target="https://realtree.com/big-game-hunting/articles/plan-your-public-mule-deer-hunt-now" TargetMode="External"/><Relationship Id="rId1328" Type="http://schemas.openxmlformats.org/officeDocument/2006/relationships/hyperlink" Target="https://www.themeateater.com/hunt/elk/4-ways-elk-hunting-is-not-deer-hunting" TargetMode="External"/><Relationship Id="rId35" Type="http://schemas.openxmlformats.org/officeDocument/2006/relationships/hyperlink" Target="https://www.themeateater.com/watch/6175620095001/how-to-field-dress-a-deer-with-steven-rinella" TargetMode="External"/><Relationship Id="rId1329" Type="http://schemas.openxmlformats.org/officeDocument/2006/relationships/hyperlink" Target="https://www.wideopenspaces.com/the-difference-between-a-bull-elk-and-a-red-stag/" TargetMode="External"/><Relationship Id="rId34" Type="http://schemas.openxmlformats.org/officeDocument/2006/relationships/hyperlink" Target="https://www.wideopenspaces.com/coyote-vs-deer/" TargetMode="External"/><Relationship Id="rId739" Type="http://schemas.openxmlformats.org/officeDocument/2006/relationships/hyperlink" Target="https://www.themeateater.com/wired-to-hunt/whitetail-management/why-some-whitetails-grow-fangs" TargetMode="External"/><Relationship Id="rId734" Type="http://schemas.openxmlformats.org/officeDocument/2006/relationships/hyperlink" Target="https://www.wideopenspaces.com/how-to-find-the-right-deer-bleat-call-for-hunting/" TargetMode="External"/><Relationship Id="rId733" Type="http://schemas.openxmlformats.org/officeDocument/2006/relationships/hyperlink" Target="https://www.themeateater.com/wired-to-hunt/whitetail-hunting/how-to-call-in-a-doe" TargetMode="External"/><Relationship Id="rId732" Type="http://schemas.openxmlformats.org/officeDocument/2006/relationships/hyperlink" Target="https://www.wideopenspaces.com/heres-a-video-showing-how-much-meat-you-should-expect-from-a-whitetail-deer/" TargetMode="External"/><Relationship Id="rId731" Type="http://schemas.openxmlformats.org/officeDocument/2006/relationships/hyperlink" Target="https://realtree.com/timber-2-table-articles/meat-hunter-s-rules-for-shooting-the-right-deer" TargetMode="External"/><Relationship Id="rId738" Type="http://schemas.openxmlformats.org/officeDocument/2006/relationships/hyperlink" Target="https://www.wideopenspaces.com/deer-hunting-blind-spacious/" TargetMode="External"/><Relationship Id="rId737" Type="http://schemas.openxmlformats.org/officeDocument/2006/relationships/hyperlink" Target="https://www.themeateater.com/hunt/whitetail-deer/photos-how-to-build-a-deer-blind-from-pallets" TargetMode="External"/><Relationship Id="rId736" Type="http://schemas.openxmlformats.org/officeDocument/2006/relationships/hyperlink" Target="https://realtree.com/deer-hunting/articles/how-to-score-a-buck-on-the-boone-and-crocket-scale" TargetMode="External"/><Relationship Id="rId735" Type="http://schemas.openxmlformats.org/officeDocument/2006/relationships/hyperlink" Target="https://www.themeateater.com/watch/5989788983001/meateater-glossary-pinch-point" TargetMode="External"/><Relationship Id="rId37" Type="http://schemas.openxmlformats.org/officeDocument/2006/relationships/hyperlink" Target="https://www.wideopenspaces.com/field-dressing-deer-with-gloves/" TargetMode="External"/><Relationship Id="rId36" Type="http://schemas.openxmlformats.org/officeDocument/2006/relationships/hyperlink" Target="https://realtree.com/deer-hunting/articles/7-serious-field-dressing-mistakes" TargetMode="External"/><Relationship Id="rId39" Type="http://schemas.openxmlformats.org/officeDocument/2006/relationships/hyperlink" Target="https://www.wideopenspaces.com/antlered-doe/" TargetMode="External"/><Relationship Id="rId38" Type="http://schemas.openxmlformats.org/officeDocument/2006/relationships/hyperlink" Target="https://www.themeateater.com/conservation/wildlife-management/why-do-female-deer-sometimes-grow-antlers" TargetMode="External"/><Relationship Id="rId730" Type="http://schemas.openxmlformats.org/officeDocument/2006/relationships/hyperlink" Target="https://www.themeateater.com/cook/butchering-and-processing/how-much-fat-should-you-add-to-ground-venison" TargetMode="External"/><Relationship Id="rId1320" Type="http://schemas.openxmlformats.org/officeDocument/2006/relationships/hyperlink" Target="https://www.themeateater.com/shows/meateater" TargetMode="External"/><Relationship Id="rId1321" Type="http://schemas.openxmlformats.org/officeDocument/2006/relationships/hyperlink" Target="https://www.themeateater.com/wired-to-hunt/whitetail-management/why-midwest-whitetails-shedding-early" TargetMode="External"/><Relationship Id="rId1322" Type="http://schemas.openxmlformats.org/officeDocument/2006/relationships/hyperlink" Target="https://realtree.com/brow-tines-and-backstrap/why-are-some-bucks-shedding-antlers-early" TargetMode="External"/><Relationship Id="rId1356" Type="http://schemas.openxmlformats.org/officeDocument/2006/relationships/hyperlink" Target="https://www.themeateater.com/wired-to-hunt/whitetail-management/10-natural-food-sources-every-deer-hunter-should-know" TargetMode="External"/><Relationship Id="rId1357" Type="http://schemas.openxmlformats.org/officeDocument/2006/relationships/hyperlink" Target="https://realtree.com/the-realblog-with-stephanie-mallory/did-you-know-deer-eat-meat" TargetMode="External"/><Relationship Id="rId20" Type="http://schemas.openxmlformats.org/officeDocument/2006/relationships/hyperlink" Target="https://realtree.com/brow-tines-and-backstrap/why-you-should-use-an-ar-15-as-a-deer-rifle" TargetMode="External"/><Relationship Id="rId1358" Type="http://schemas.openxmlformats.org/officeDocument/2006/relationships/hyperlink" Target="https://www.wideopenspaces.com/what-do-deer-eat/" TargetMode="External"/><Relationship Id="rId1359" Type="http://schemas.openxmlformats.org/officeDocument/2006/relationships/hyperlink" Target="https://www.themeateater.com/wired-to-hunt/whitetail-hunting/how-well-do-deer-hear" TargetMode="External"/><Relationship Id="rId22" Type="http://schemas.openxmlformats.org/officeDocument/2006/relationships/hyperlink" Target="https://realtree.com/deer-hunting/articles/the-best-shot-placement-on-deer" TargetMode="External"/><Relationship Id="rId21" Type="http://schemas.openxmlformats.org/officeDocument/2006/relationships/hyperlink" Target="https://www.themeateater.com/wired-to-hunt/whitetail-hunting/where-to-shoot-a-deer" TargetMode="External"/><Relationship Id="rId24" Type="http://schemas.openxmlformats.org/officeDocument/2006/relationships/hyperlink" Target="https://www.themeateater.com/hunt/whitetail-deer/american-deer-camps-a-dying-tradition" TargetMode="External"/><Relationship Id="rId23" Type="http://schemas.openxmlformats.org/officeDocument/2006/relationships/hyperlink" Target="https://www.wideopenspaces.com/where-to-shoot-a-deer-for-the-best-odds-of-a-quick-kill/" TargetMode="External"/><Relationship Id="rId767" Type="http://schemas.openxmlformats.org/officeDocument/2006/relationships/hyperlink" Target="https://www.themeateater.com/wired-to-hunt/whitetail-hunting-gear/how-to-pick-a-good-deer-taxidermist" TargetMode="External"/><Relationship Id="rId766" Type="http://schemas.openxmlformats.org/officeDocument/2006/relationships/hyperlink" Target="https://www.wideopenspaces.com/make-your-own-wooden-hang-on-deer-stand-this-guy-did/" TargetMode="External"/><Relationship Id="rId765" Type="http://schemas.openxmlformats.org/officeDocument/2006/relationships/hyperlink" Target="https://realtree.com/brow-tines-and-backstrap/is-it-safe-to-leave-treestands-out-all-year" TargetMode="External"/><Relationship Id="rId764" Type="http://schemas.openxmlformats.org/officeDocument/2006/relationships/hyperlink" Target="https://www.themeateater.com/wired-to-hunt/whitetail-hunting-gear/youre-hanging-your-tree-stands-wrong" TargetMode="External"/><Relationship Id="rId769" Type="http://schemas.openxmlformats.org/officeDocument/2006/relationships/hyperlink" Target="https://www.wideopenspaces.com/taxidermy-deer-mount-how-much/" TargetMode="External"/><Relationship Id="rId768" Type="http://schemas.openxmlformats.org/officeDocument/2006/relationships/hyperlink" Target="https://realtree.com/brow-tines-and-backstrap/how-long-should-deer-taxidermy-take" TargetMode="External"/><Relationship Id="rId26" Type="http://schemas.openxmlformats.org/officeDocument/2006/relationships/hyperlink" Target="https://www.themeateater.com/cook/recipes/the-only-venison-breakfast-sausage-recipe-you-need" TargetMode="External"/><Relationship Id="rId25" Type="http://schemas.openxmlformats.org/officeDocument/2006/relationships/hyperlink" Target="https://realtree.com/deer-hunting/articles/10-rules-for-deer-camp" TargetMode="External"/><Relationship Id="rId28" Type="http://schemas.openxmlformats.org/officeDocument/2006/relationships/hyperlink" Target="https://www.themeateater.com/wired-to-hunt/whitetail-hunting/deer-vision-how-whitetails-see-color-light-and-movement" TargetMode="External"/><Relationship Id="rId1350" Type="http://schemas.openxmlformats.org/officeDocument/2006/relationships/hyperlink" Target="https://realtree.com/brow-tines-and-backstrap/how-long-should-deer-taxidermy-take" TargetMode="External"/><Relationship Id="rId27" Type="http://schemas.openxmlformats.org/officeDocument/2006/relationships/hyperlink" Target="https://realtree.com/timber-2-table-wild-game-recipes/venison-and-pork-sweet-italian-sausage-links-recipe" TargetMode="External"/><Relationship Id="rId1351" Type="http://schemas.openxmlformats.org/officeDocument/2006/relationships/hyperlink" Target="https://www.wideopenspaces.com/whitetail-wednesday-how-much-do-people-pay-for-shoulder-mounts-in-your-area/" TargetMode="External"/><Relationship Id="rId763" Type="http://schemas.openxmlformats.org/officeDocument/2006/relationships/hyperlink" Target="https://www.wideopenspaces.com/the-difference-between-a-bull-elk-and-a-red-stag/" TargetMode="External"/><Relationship Id="rId1352" Type="http://schemas.openxmlformats.org/officeDocument/2006/relationships/hyperlink" Target="https://www.themeateater.com/wired-to-hunt/whitetail-scouting/how-the-hunting-public-finds-quality-public-land-deer-hunting" TargetMode="External"/><Relationship Id="rId29" Type="http://schemas.openxmlformats.org/officeDocument/2006/relationships/hyperlink" Target="https://realtree.com/all/articles/what-deer-really-see" TargetMode="External"/><Relationship Id="rId762" Type="http://schemas.openxmlformats.org/officeDocument/2006/relationships/hyperlink" Target="https://www.themeateater.com/hunt/elk/4-ways-elk-hunting-is-not-deer-hunting" TargetMode="External"/><Relationship Id="rId1353" Type="http://schemas.openxmlformats.org/officeDocument/2006/relationships/hyperlink" Target="https://realtree.com/deer-hunting/articles/how-to-deer-hunt-in-september" TargetMode="External"/><Relationship Id="rId761" Type="http://schemas.openxmlformats.org/officeDocument/2006/relationships/hyperlink" Target="https://www.themeateater.com/wired-to-hunt/whitetail-hunting/how-to-deer-hunt-standing-corn" TargetMode="External"/><Relationship Id="rId1354" Type="http://schemas.openxmlformats.org/officeDocument/2006/relationships/hyperlink" Target="https://www.themeateater.com/wired-to-hunt/whitetail-hunting/rut-fresh-report-11-17-2022" TargetMode="External"/><Relationship Id="rId760" Type="http://schemas.openxmlformats.org/officeDocument/2006/relationships/hyperlink" Target="https://realtree.com/brow-tines-and-backstrap/choose-the-best-knife-for-deer-hunting" TargetMode="External"/><Relationship Id="rId1355" Type="http://schemas.openxmlformats.org/officeDocument/2006/relationships/hyperlink" Target="https://realtree.com/deer-hunting/articles/how-to-hunt-the-phases-of-the-rut" TargetMode="External"/><Relationship Id="rId1345" Type="http://schemas.openxmlformats.org/officeDocument/2006/relationships/hyperlink" Target="https://www.themeateater.com/shows/meateater" TargetMode="External"/><Relationship Id="rId1346" Type="http://schemas.openxmlformats.org/officeDocument/2006/relationships/hyperlink" Target="https://realtree.com/brow-tines-and-backstrap/kentucky-proposes-massive-changes-to-deer-hunting-seasons-and-regulations" TargetMode="External"/><Relationship Id="rId1347" Type="http://schemas.openxmlformats.org/officeDocument/2006/relationships/hyperlink" Target="https://www.themeateater.com/shows/meateater" TargetMode="External"/><Relationship Id="rId1348" Type="http://schemas.openxmlformats.org/officeDocument/2006/relationships/hyperlink" Target="https://realtree.com/brow-tines-and-backstrap/kentucky-proposes-massive-changes-to-deer-hunting-seasons-and-regulations" TargetMode="External"/><Relationship Id="rId11" Type="http://schemas.openxmlformats.org/officeDocument/2006/relationships/hyperlink" Target="https://www.themeateater.com/wired-to-hunt/whitetail-hunting-gear/this-cartridge-doesnt-get-enough-love-from-deer-hunters" TargetMode="External"/><Relationship Id="rId1349" Type="http://schemas.openxmlformats.org/officeDocument/2006/relationships/hyperlink" Target="https://www.themeateater.com/hunt/big-game/what-to-do-when-you-plan-on-getting-a-deer-mounted" TargetMode="External"/><Relationship Id="rId10" Type="http://schemas.openxmlformats.org/officeDocument/2006/relationships/hyperlink" Target="https://realtree.com/brow-tines-and-backstrap/why-you-should-use-an-ar-15-as-a-deer-rifle" TargetMode="External"/><Relationship Id="rId13" Type="http://schemas.openxmlformats.org/officeDocument/2006/relationships/hyperlink" Target="https://www.themeateater.com/wired-to-hunt/whitetail-hunting-gear/this-cartridge-doesnt-get-enough-love-from-deer-hunters" TargetMode="External"/><Relationship Id="rId12" Type="http://schemas.openxmlformats.org/officeDocument/2006/relationships/hyperlink" Target="https://realtree.com/brow-tines-and-backstrap/why-you-should-use-an-ar-15-as-a-deer-rifle" TargetMode="External"/><Relationship Id="rId756" Type="http://schemas.openxmlformats.org/officeDocument/2006/relationships/hyperlink" Target="https://www.wideopenspaces.com/tell-age-deer-pics/" TargetMode="External"/><Relationship Id="rId755" Type="http://schemas.openxmlformats.org/officeDocument/2006/relationships/hyperlink" Target="https://realtree.com/brow-tines-and-backstrap/how-long-do-white-tailed-deer-live" TargetMode="External"/><Relationship Id="rId754" Type="http://schemas.openxmlformats.org/officeDocument/2006/relationships/hyperlink" Target="https://www.themeateater.com/wired-to-hunt/whitetail-management/how-to-age-a-whitetail-buck-on-the-hoof" TargetMode="External"/><Relationship Id="rId753" Type="http://schemas.openxmlformats.org/officeDocument/2006/relationships/hyperlink" Target="https://www.wideopenspaces.com/the-legalities-trends-and-efficacy-of-deer-hunting-with-shotguns/" TargetMode="External"/><Relationship Id="rId759" Type="http://schemas.openxmlformats.org/officeDocument/2006/relationships/hyperlink" Target="https://www.themeateater.com/gear/general/best-hunting-knives" TargetMode="External"/><Relationship Id="rId758" Type="http://schemas.openxmlformats.org/officeDocument/2006/relationships/hyperlink" Target="https://www.themeateater.com/wired-to-hunt/whitetail-scouting/where-do-deer-sleep" TargetMode="External"/><Relationship Id="rId757" Type="http://schemas.openxmlformats.org/officeDocument/2006/relationships/hyperlink" Target="https://www.themeateater.com/watch/6258237301001/s6-e04-land-of-the-giants-idaho-mule-deer-part-1" TargetMode="External"/><Relationship Id="rId15" Type="http://schemas.openxmlformats.org/officeDocument/2006/relationships/hyperlink" Target="https://www.themeateater.com/hunt/whitetail-deer/photos-how-to-build-a-deer-blind-from-pallets" TargetMode="External"/><Relationship Id="rId14" Type="http://schemas.openxmlformats.org/officeDocument/2006/relationships/hyperlink" Target="https://realtree.com/brow-tines-and-backstrap/why-you-should-use-an-ar-15-as-a-deer-rifle" TargetMode="External"/><Relationship Id="rId17" Type="http://schemas.openxmlformats.org/officeDocument/2006/relationships/hyperlink" Target="https://www.themeateater.com/wired-to-hunt/whitetail-scouting/how-to-find-whitetail-buck-bedding" TargetMode="External"/><Relationship Id="rId16" Type="http://schemas.openxmlformats.org/officeDocument/2006/relationships/hyperlink" Target="https://www.wideopenspaces.com/the-best-diy-hunting-blinds-you-can-possibly-make-this-soon-before-the-season/" TargetMode="External"/><Relationship Id="rId1340" Type="http://schemas.openxmlformats.org/officeDocument/2006/relationships/hyperlink" Target="https://www.wideopenspaces.com/5-deer-attractants-drive-whitetail-bucks-crazy-pics/" TargetMode="External"/><Relationship Id="rId19" Type="http://schemas.openxmlformats.org/officeDocument/2006/relationships/hyperlink" Target="https://www.themeateater.com/wired-to-hunt/whitetail-hunting-gear/this-cartridge-doesnt-get-enough-love-from-deer-hunters" TargetMode="External"/><Relationship Id="rId752" Type="http://schemas.openxmlformats.org/officeDocument/2006/relationships/hyperlink" Target="https://realtree.com/deer-hunting/articles/deer-hunting-with-a-slug-gun" TargetMode="External"/><Relationship Id="rId1341" Type="http://schemas.openxmlformats.org/officeDocument/2006/relationships/hyperlink" Target="https://www.themeateater.com/shows/meateater" TargetMode="External"/><Relationship Id="rId18" Type="http://schemas.openxmlformats.org/officeDocument/2006/relationships/hyperlink" Target="https://realtree.com/deer-hunting/articles/how-to-hunt-big-buck-bedding-areas" TargetMode="External"/><Relationship Id="rId751" Type="http://schemas.openxmlformats.org/officeDocument/2006/relationships/hyperlink" Target="https://www.themeateater.com/wired-to-hunt/whitetail-hunting/where-to-shoot-a-deer" TargetMode="External"/><Relationship Id="rId1342" Type="http://schemas.openxmlformats.org/officeDocument/2006/relationships/hyperlink" Target="https://realtree.com/brow-tines-and-backstrap/kentucky-proposes-massive-changes-to-deer-hunting-seasons-and-regulations" TargetMode="External"/><Relationship Id="rId750" Type="http://schemas.openxmlformats.org/officeDocument/2006/relationships/hyperlink" Target="https://www.wideopenspaces.com/this-savory-venison-roast-recipe-will-blow-everyone-away/" TargetMode="External"/><Relationship Id="rId1343" Type="http://schemas.openxmlformats.org/officeDocument/2006/relationships/hyperlink" Target="https://www.themeateater.com/wired-to-hunt/whitetail-hunting/how-to-deer-hunt-a-small-property" TargetMode="External"/><Relationship Id="rId1344" Type="http://schemas.openxmlformats.org/officeDocument/2006/relationships/hyperlink" Target="https://realtree.com/all/articles/small-property-whitetails" TargetMode="External"/><Relationship Id="rId84" Type="http://schemas.openxmlformats.org/officeDocument/2006/relationships/hyperlink" Target="https://www.themeateater.com/shows/deer-country" TargetMode="External"/><Relationship Id="rId1774" Type="http://schemas.openxmlformats.org/officeDocument/2006/relationships/hyperlink" Target="https://realtree.com/deer-hunting/articles/10-tips-for-great-deer-pictures" TargetMode="External"/><Relationship Id="rId83" Type="http://schemas.openxmlformats.org/officeDocument/2006/relationships/hyperlink" Target="https://www.wideopenspaces.com/are-deer-actually-color-blind/" TargetMode="External"/><Relationship Id="rId1775" Type="http://schemas.openxmlformats.org/officeDocument/2006/relationships/hyperlink" Target="https://www.wideopenspaces.com/deer-pong/" TargetMode="External"/><Relationship Id="rId86" Type="http://schemas.openxmlformats.org/officeDocument/2006/relationships/hyperlink" Target="https://realtree.com/deer-hunting/articles/the-best-shot-placement-on-deer" TargetMode="External"/><Relationship Id="rId1776" Type="http://schemas.openxmlformats.org/officeDocument/2006/relationships/hyperlink" Target="https://realtree.com/all/articles/rack-em-up" TargetMode="External"/><Relationship Id="rId85" Type="http://schemas.openxmlformats.org/officeDocument/2006/relationships/hyperlink" Target="https://www.themeateater.com/wired-to-hunt/whitetail-hunting/where-to-shoot-a-deer" TargetMode="External"/><Relationship Id="rId1777" Type="http://schemas.openxmlformats.org/officeDocument/2006/relationships/hyperlink" Target="https://realtree.com/deer-hunting/articles/5-rut-buck-behaviors-you-should-recognize" TargetMode="External"/><Relationship Id="rId88" Type="http://schemas.openxmlformats.org/officeDocument/2006/relationships/hyperlink" Target="https://www.themeateater.com/wired-to-hunt/whitetail-hunting/where-to-shoot-a-deer" TargetMode="External"/><Relationship Id="rId1778" Type="http://schemas.openxmlformats.org/officeDocument/2006/relationships/hyperlink" Target="https://realtree.com/brow-tines-and-backstrap/2022-midwest-deer-hunting-forecast" TargetMode="External"/><Relationship Id="rId87" Type="http://schemas.openxmlformats.org/officeDocument/2006/relationships/hyperlink" Target="https://www.wideopenspaces.com/where-to-shoot-a-deer-for-the-best-odds-of-a-quick-kill/" TargetMode="External"/><Relationship Id="rId1779" Type="http://schemas.openxmlformats.org/officeDocument/2006/relationships/hyperlink" Target="https://www.wideopenspaces.com/when-does-deer-season-end-in-missouri/" TargetMode="External"/><Relationship Id="rId89" Type="http://schemas.openxmlformats.org/officeDocument/2006/relationships/hyperlink" Target="https://realtree.com/deer-hunting/articles/the-best-shot-placement-on-deer" TargetMode="External"/><Relationship Id="rId709" Type="http://schemas.openxmlformats.org/officeDocument/2006/relationships/hyperlink" Target="https://www.themeateater.com/hunt/elk/4-ways-elk-hunting-is-not-deer-hunting" TargetMode="External"/><Relationship Id="rId708" Type="http://schemas.openxmlformats.org/officeDocument/2006/relationships/hyperlink" Target="https://realtree.com/brow-tines-and-backstrap/everything-you-ever-wanted-to-know-about-deer-poop" TargetMode="External"/><Relationship Id="rId707" Type="http://schemas.openxmlformats.org/officeDocument/2006/relationships/hyperlink" Target="https://www.themeateater.com/wired-to-hunt/whitetail-scouting/fact-checker-can-you-identify-a-mature-buck-by-droppings" TargetMode="External"/><Relationship Id="rId706" Type="http://schemas.openxmlformats.org/officeDocument/2006/relationships/hyperlink" Target="https://www.wideopenspaces.com/instant-pot-venison-roast-yep-heres-a-recipe/" TargetMode="External"/><Relationship Id="rId80" Type="http://schemas.openxmlformats.org/officeDocument/2006/relationships/hyperlink" Target="https://www.wideopenspaces.com/where-to-shoot-a-deer-for-the-best-odds-of-a-quick-kill/" TargetMode="External"/><Relationship Id="rId82" Type="http://schemas.openxmlformats.org/officeDocument/2006/relationships/hyperlink" Target="https://realtree.com/all/articles/what-deer-really-see" TargetMode="External"/><Relationship Id="rId81" Type="http://schemas.openxmlformats.org/officeDocument/2006/relationships/hyperlink" Target="https://www.themeateater.com/wired-to-hunt/whitetail-hunting/deer-vision-how-whitetails-see-color-light-and-movement" TargetMode="External"/><Relationship Id="rId701" Type="http://schemas.openxmlformats.org/officeDocument/2006/relationships/hyperlink" Target="https://www.wideopenspaces.com/what-are-the-best-deer-hunting-times-throughout-the-day/" TargetMode="External"/><Relationship Id="rId700" Type="http://schemas.openxmlformats.org/officeDocument/2006/relationships/hyperlink" Target="https://realtree.com/deer-hunting/articles/the-best-times-to-deer-hunt-in-2022" TargetMode="External"/><Relationship Id="rId705" Type="http://schemas.openxmlformats.org/officeDocument/2006/relationships/hyperlink" Target="https://realtree.com/timber-2-table-wild-game-recipes/stovetop-venison-roast" TargetMode="External"/><Relationship Id="rId704" Type="http://schemas.openxmlformats.org/officeDocument/2006/relationships/hyperlink" Target="https://www.themeateater.com/cook/recipes/shredded-venison-roast" TargetMode="External"/><Relationship Id="rId703" Type="http://schemas.openxmlformats.org/officeDocument/2006/relationships/hyperlink" Target="https://www.wideopenspaces.com/how-to-hunt-blacktail-deer/" TargetMode="External"/><Relationship Id="rId702" Type="http://schemas.openxmlformats.org/officeDocument/2006/relationships/hyperlink" Target="https://www.themeateater.com/hunt/black-tailed-deer/a-guide-to-hunting-blacktail-deer" TargetMode="External"/><Relationship Id="rId1770" Type="http://schemas.openxmlformats.org/officeDocument/2006/relationships/hyperlink" Target="https://www.wideopenspaces.com/finding-land-to-hunt-in-texas-isnt-as-hard-as-you-might-think/" TargetMode="External"/><Relationship Id="rId1771" Type="http://schemas.openxmlformats.org/officeDocument/2006/relationships/hyperlink" Target="https://www.wideopenspaces.com/best-mule-deer-hunting-states/" TargetMode="External"/><Relationship Id="rId1772" Type="http://schemas.openxmlformats.org/officeDocument/2006/relationships/hyperlink" Target="https://realtree.com/timber-2-table-articles/5-things-your-deer-processor-hates" TargetMode="External"/><Relationship Id="rId1773" Type="http://schemas.openxmlformats.org/officeDocument/2006/relationships/hyperlink" Target="https://realtree.com/deer-hunting/articles/8-major-differences-between-whitetails-and-mule-deer" TargetMode="External"/><Relationship Id="rId73" Type="http://schemas.openxmlformats.org/officeDocument/2006/relationships/hyperlink" Target="https://www.themeateater.com/wired-to-hunt/whitetail-hunting/deer-vision-how-whitetails-see-color-light-and-movement" TargetMode="External"/><Relationship Id="rId1763" Type="http://schemas.openxmlformats.org/officeDocument/2006/relationships/hyperlink" Target="https://www.wideopenspaces.com/best-deer-feeders/" TargetMode="External"/><Relationship Id="rId72" Type="http://schemas.openxmlformats.org/officeDocument/2006/relationships/hyperlink" Target="https://www.themeateater.com/wired-to-hunt/whitetail-hunting/deer-vision-how-whitetails-see-color-light-and-movement" TargetMode="External"/><Relationship Id="rId1764" Type="http://schemas.openxmlformats.org/officeDocument/2006/relationships/hyperlink" Target="https://realtree.com/brow-tines-and-backstrap/how-to-make-a-homemade-deer-feeder" TargetMode="External"/><Relationship Id="rId75" Type="http://schemas.openxmlformats.org/officeDocument/2006/relationships/hyperlink" Target="https://www.wideopenspaces.com/deer-vision-the-science/" TargetMode="External"/><Relationship Id="rId1765" Type="http://schemas.openxmlformats.org/officeDocument/2006/relationships/hyperlink" Target="https://www.wideopenspaces.com/make-poor-mans-deer-feeder/" TargetMode="External"/><Relationship Id="rId74" Type="http://schemas.openxmlformats.org/officeDocument/2006/relationships/hyperlink" Target="https://realtree.com/all/articles/what-deer-really-see" TargetMode="External"/><Relationship Id="rId1766" Type="http://schemas.openxmlformats.org/officeDocument/2006/relationships/hyperlink" Target="https://www.wideopenspaces.com/deer-warts/" TargetMode="External"/><Relationship Id="rId77" Type="http://schemas.openxmlformats.org/officeDocument/2006/relationships/hyperlink" Target="https://www.wideopenspaces.com/7-steps-tanning-deer-hide-easier-think/" TargetMode="External"/><Relationship Id="rId1767" Type="http://schemas.openxmlformats.org/officeDocument/2006/relationships/hyperlink" Target="https://www.wideopenspaces.com/deer-as-pets/" TargetMode="External"/><Relationship Id="rId76" Type="http://schemas.openxmlformats.org/officeDocument/2006/relationships/hyperlink" Target="https://www.themeateater.com/cook/butchering-and-processing/how-to-tan-a-deer-hide" TargetMode="External"/><Relationship Id="rId1768" Type="http://schemas.openxmlformats.org/officeDocument/2006/relationships/hyperlink" Target="https://realtree.com/the-realblog-with-stephanie-mallory/deer-are-jumping-to-their-death-off-pennsylvania-bypass" TargetMode="External"/><Relationship Id="rId79" Type="http://schemas.openxmlformats.org/officeDocument/2006/relationships/hyperlink" Target="https://realtree.com/deer-hunting/articles/the-best-shot-placement-on-deer" TargetMode="External"/><Relationship Id="rId1769" Type="http://schemas.openxmlformats.org/officeDocument/2006/relationships/hyperlink" Target="https://realtree.com/food-plots-and-land-management/articles/how-to-plant-a-deer-orchard" TargetMode="External"/><Relationship Id="rId78" Type="http://schemas.openxmlformats.org/officeDocument/2006/relationships/hyperlink" Target="https://www.themeateater.com/wired-to-hunt/whitetail-hunting/where-to-shoot-a-deer" TargetMode="External"/><Relationship Id="rId71" Type="http://schemas.openxmlformats.org/officeDocument/2006/relationships/hyperlink" Target="https://realtree.com/all/articles/what-deer-really-see" TargetMode="External"/><Relationship Id="rId70" Type="http://schemas.openxmlformats.org/officeDocument/2006/relationships/hyperlink" Target="https://www.themeateater.com/wired-to-hunt/whitetail-hunting/deer-vision-how-whitetails-see-color-light-and-movement" TargetMode="External"/><Relationship Id="rId1760" Type="http://schemas.openxmlformats.org/officeDocument/2006/relationships/hyperlink" Target="https://realtree.com/timber-2-table-articles/5-things-your-deer-processor-hates" TargetMode="External"/><Relationship Id="rId1761" Type="http://schemas.openxmlformats.org/officeDocument/2006/relationships/hyperlink" Target="https://www.wideopenspaces.com/whitetail-deer-diseases/" TargetMode="External"/><Relationship Id="rId1762" Type="http://schemas.openxmlformats.org/officeDocument/2006/relationships/hyperlink" Target="https://realtree.com/deer-hunting/articles/5-traits-of-a-good-blood-trailing-deer-dog" TargetMode="External"/><Relationship Id="rId62" Type="http://schemas.openxmlformats.org/officeDocument/2006/relationships/hyperlink" Target="https://www.wideopenspaces.com/where-to-shoot-a-deer-for-the-best-odds-of-a-quick-kill/" TargetMode="External"/><Relationship Id="rId1312" Type="http://schemas.openxmlformats.org/officeDocument/2006/relationships/hyperlink" Target="https://www.wideopenspaces.com/what-are-the-best-deer-hunting-times-throughout-the-day/" TargetMode="External"/><Relationship Id="rId1796" Type="http://schemas.openxmlformats.org/officeDocument/2006/relationships/hyperlink" Target="https://www.wideopenspaces.com/indiana-shotgun-deer-season/" TargetMode="External"/><Relationship Id="rId61" Type="http://schemas.openxmlformats.org/officeDocument/2006/relationships/hyperlink" Target="https://realtree.com/deer-hunting/articles/the-best-shot-placement-on-deer" TargetMode="External"/><Relationship Id="rId1313" Type="http://schemas.openxmlformats.org/officeDocument/2006/relationships/hyperlink" Target="https://www.themeateater.com/hunt/big-game/why-every-hunter-should-care-about-chronic-wasting-disease" TargetMode="External"/><Relationship Id="rId1797" Type="http://schemas.openxmlformats.org/officeDocument/2006/relationships/hyperlink" Target="https://www.wideopenspaces.com/indiana-hunting-license/" TargetMode="External"/><Relationship Id="rId64" Type="http://schemas.openxmlformats.org/officeDocument/2006/relationships/hyperlink" Target="https://www.wideopenspaces.com/are-deer-actually-color-blind/" TargetMode="External"/><Relationship Id="rId1314" Type="http://schemas.openxmlformats.org/officeDocument/2006/relationships/hyperlink" Target="https://realtree.com/brow-tines-and-backstrap/6-things-hunters-have-to-know-about-chronic-wasting-disease" TargetMode="External"/><Relationship Id="rId1798" Type="http://schemas.openxmlformats.org/officeDocument/2006/relationships/hyperlink" Target="https://realtree.com/brow-tines-and-backstrap/kentucky-proposes-massive-changes-to-deer-hunting-seasons-and-regulations" TargetMode="External"/><Relationship Id="rId63" Type="http://schemas.openxmlformats.org/officeDocument/2006/relationships/hyperlink" Target="https://www.themeateater.com/wired-to-hunt/whitetail-hunting/deer-vision-how-whitetails-see-color-light-and-movement" TargetMode="External"/><Relationship Id="rId1315" Type="http://schemas.openxmlformats.org/officeDocument/2006/relationships/hyperlink" Target="https://www.themeateater.com/wired-to-hunt/whitetail-hunting-gear/new-studies-show-deer-can-duck-nearly-any-arrow" TargetMode="External"/><Relationship Id="rId1799" Type="http://schemas.openxmlformats.org/officeDocument/2006/relationships/hyperlink" Target="https://www.wideopenspaces.com/komodo-dragon-hunts-kills-deer-brutal-footage/" TargetMode="External"/><Relationship Id="rId66" Type="http://schemas.openxmlformats.org/officeDocument/2006/relationships/hyperlink" Target="https://realtree.com/timber-2-table-wild-game-recipes/venison-and-pork-sweet-italian-sausage-links-recipe" TargetMode="External"/><Relationship Id="rId1316" Type="http://schemas.openxmlformats.org/officeDocument/2006/relationships/hyperlink" Target="https://realtree.com/deer-hunting/articles/deer-hunting-a-quest-for-a-drop-tine-buck" TargetMode="External"/><Relationship Id="rId65" Type="http://schemas.openxmlformats.org/officeDocument/2006/relationships/hyperlink" Target="https://www.themeateater.com/cook/recipes/the-only-venison-breakfast-sausage-recipe-you-need" TargetMode="External"/><Relationship Id="rId1317" Type="http://schemas.openxmlformats.org/officeDocument/2006/relationships/hyperlink" Target="https://www.wideopenspaces.com/deer-shed-antlers-pics/" TargetMode="External"/><Relationship Id="rId68" Type="http://schemas.openxmlformats.org/officeDocument/2006/relationships/hyperlink" Target="https://www.themeateater.com/wired-to-hunt/whitetail-hunting/how-to-call-in-bucks-during-each-phase-of-the-season" TargetMode="External"/><Relationship Id="rId1318" Type="http://schemas.openxmlformats.org/officeDocument/2006/relationships/hyperlink" Target="https://www.themeateater.com/hunt/whitetail-deer/video-zombie-deer-with-unbelievable-wound-caught-on-trail-camera" TargetMode="External"/><Relationship Id="rId67" Type="http://schemas.openxmlformats.org/officeDocument/2006/relationships/hyperlink" Target="https://www.wideopenspaces.com/an-easy-and-tasty-way-to-make-venison-sausage/" TargetMode="External"/><Relationship Id="rId1319" Type="http://schemas.openxmlformats.org/officeDocument/2006/relationships/hyperlink" Target="https://realtree.com/the-realblog-with-stephanie-mallory/watch-live-cam-of-maine-deer-pantry" TargetMode="External"/><Relationship Id="rId729" Type="http://schemas.openxmlformats.org/officeDocument/2006/relationships/hyperlink" Target="https://www.themeateater.com/watch/6175620095001/how-to-field-dress-a-deer-with-steven-rinella" TargetMode="External"/><Relationship Id="rId728" Type="http://schemas.openxmlformats.org/officeDocument/2006/relationships/hyperlink" Target="https://www.wideopenspaces.com/whitetailwednesday-25-unique-ideas-for-your-next-whitetail-mount/" TargetMode="External"/><Relationship Id="rId60" Type="http://schemas.openxmlformats.org/officeDocument/2006/relationships/hyperlink" Target="https://www.themeateater.com/wired-to-hunt/whitetail-hunting/where-to-shoot-a-deer" TargetMode="External"/><Relationship Id="rId723" Type="http://schemas.openxmlformats.org/officeDocument/2006/relationships/hyperlink" Target="https://www.themeateater.com/wired-to-hunt/whitetail-hunting/where-to-shoot-a-deer" TargetMode="External"/><Relationship Id="rId722" Type="http://schemas.openxmlformats.org/officeDocument/2006/relationships/hyperlink" Target="https://www.themeateater.com/wired-to-hunt/whitetail-hunting/3-ways-to-get-your-deer-out-of-the-woods" TargetMode="External"/><Relationship Id="rId721" Type="http://schemas.openxmlformats.org/officeDocument/2006/relationships/hyperlink" Target="https://www.wideopenspaces.com/spike-deer-science/" TargetMode="External"/><Relationship Id="rId720" Type="http://schemas.openxmlformats.org/officeDocument/2006/relationships/hyperlink" Target="https://www.themeateater.com/conservation/wildlife-management/why-do-female-deer-sometimes-grow-antlers" TargetMode="External"/><Relationship Id="rId727" Type="http://schemas.openxmlformats.org/officeDocument/2006/relationships/hyperlink" Target="https://realtree.com/brow-tines-and-backstrap/20-crazy-good-deer-mounts-from-the-nwtf-convention" TargetMode="External"/><Relationship Id="rId726" Type="http://schemas.openxmlformats.org/officeDocument/2006/relationships/hyperlink" Target="https://www.themeateater.com/hunt/whitetail-deer/fact-checker-do-outdoor-stores-pay-big-money-for-big-mounts" TargetMode="External"/><Relationship Id="rId725" Type="http://schemas.openxmlformats.org/officeDocument/2006/relationships/hyperlink" Target="https://www.wideopenspaces.com/the-great-deer-anatomy-explainer-and-what-you-need-to-know-as-a-hunter/" TargetMode="External"/><Relationship Id="rId724" Type="http://schemas.openxmlformats.org/officeDocument/2006/relationships/hyperlink" Target="https://realtree.com/deer-hunting/articles/the-best-shot-placement-on-deer" TargetMode="External"/><Relationship Id="rId69" Type="http://schemas.openxmlformats.org/officeDocument/2006/relationships/hyperlink" Target="https://realtree.com/deer-hunting/articles/smack-talk-aggressive-deer-calling-strategies" TargetMode="External"/><Relationship Id="rId1790" Type="http://schemas.openxmlformats.org/officeDocument/2006/relationships/hyperlink" Target="https://realtree.com/deer-hunting/articles/deer-hunting-a-quest-for-a-drop-tine-buck" TargetMode="External"/><Relationship Id="rId1791" Type="http://schemas.openxmlformats.org/officeDocument/2006/relationships/hyperlink" Target="https://www.wideopenspaces.com/whitetailwednesday-check-out-8-of-the-coolest-drop-tine-bucks-ever/" TargetMode="External"/><Relationship Id="rId1792" Type="http://schemas.openxmlformats.org/officeDocument/2006/relationships/hyperlink" Target="https://www.wideopenspaces.com/elevated-hunting-blind/" TargetMode="External"/><Relationship Id="rId1793" Type="http://schemas.openxmlformats.org/officeDocument/2006/relationships/hyperlink" Target="https://www.wideopenspaces.com/whitetail-deer-gestation-period/" TargetMode="External"/><Relationship Id="rId1310" Type="http://schemas.openxmlformats.org/officeDocument/2006/relationships/hyperlink" Target="https://www.themeateater.com/wired-to-hunt/whitetail-hunting/does-temperature-affect-deer-movement" TargetMode="External"/><Relationship Id="rId1794" Type="http://schemas.openxmlformats.org/officeDocument/2006/relationships/hyperlink" Target="https://www.wideopenspaces.com/deer-hunting-in-illinois-does-a-boone-crockett-buck-await/" TargetMode="External"/><Relationship Id="rId1311" Type="http://schemas.openxmlformats.org/officeDocument/2006/relationships/hyperlink" Target="https://realtree.com/deer-hunting/articles/10-best-times-to-deer-hunt" TargetMode="External"/><Relationship Id="rId1795" Type="http://schemas.openxmlformats.org/officeDocument/2006/relationships/hyperlink" Target="https://realtree.com/deer-hunting/articles/10-tips-for-great-deer-pictures" TargetMode="External"/><Relationship Id="rId51" Type="http://schemas.openxmlformats.org/officeDocument/2006/relationships/hyperlink" Target="https://www.themeateater.com/wired-to-hunt/whitetail-hunting-gear/this-cartridge-doesnt-get-enough-love-from-deer-hunters" TargetMode="External"/><Relationship Id="rId1301" Type="http://schemas.openxmlformats.org/officeDocument/2006/relationships/hyperlink" Target="https://realtree.com/brow-tines-and-backstrap/20-crazy-good-deer-mounts-from-the-nwtf-convention" TargetMode="External"/><Relationship Id="rId1785" Type="http://schemas.openxmlformats.org/officeDocument/2006/relationships/hyperlink" Target="https://www.wideopenspaces.com/missouri-deer-hunting-all-to-know-about-this-buck-buck-paradise/" TargetMode="External"/><Relationship Id="rId50" Type="http://schemas.openxmlformats.org/officeDocument/2006/relationships/hyperlink" Target="https://www.wideopenspaces.com/where-to-shoot-a-deer-with-an-arrow/" TargetMode="External"/><Relationship Id="rId1302" Type="http://schemas.openxmlformats.org/officeDocument/2006/relationships/hyperlink" Target="https://www.wideopenspaces.com/whitetailwednesday-25-unique-ideas-for-your-next-whitetail-mount/" TargetMode="External"/><Relationship Id="rId1786" Type="http://schemas.openxmlformats.org/officeDocument/2006/relationships/hyperlink" Target="https://www.wideopenspaces.com/deer-warts/" TargetMode="External"/><Relationship Id="rId53" Type="http://schemas.openxmlformats.org/officeDocument/2006/relationships/hyperlink" Target="https://www.themeateater.com/wired-to-hunt/whitetail-hunting/deer-vision-how-whitetails-see-color-light-and-movement" TargetMode="External"/><Relationship Id="rId1303" Type="http://schemas.openxmlformats.org/officeDocument/2006/relationships/hyperlink" Target="https://www.themeateater.com/wired-to-hunt/whitetail-hunting/how-well-do-deer-hear" TargetMode="External"/><Relationship Id="rId1787" Type="http://schemas.openxmlformats.org/officeDocument/2006/relationships/hyperlink" Target="https://realtree.com/deer-hunting/articles/top-10-pope-young-deer-hunting-states" TargetMode="External"/><Relationship Id="rId52" Type="http://schemas.openxmlformats.org/officeDocument/2006/relationships/hyperlink" Target="https://realtree.com/deer-hunting/articles/the-5-best-bullet-styles-for-deer-hunting" TargetMode="External"/><Relationship Id="rId1304" Type="http://schemas.openxmlformats.org/officeDocument/2006/relationships/hyperlink" Target="https://www.themeateater.com/conservation/wildlife-management/deer-processors-face-91-charges-for-poaching-and-money-laundering" TargetMode="External"/><Relationship Id="rId1788" Type="http://schemas.openxmlformats.org/officeDocument/2006/relationships/hyperlink" Target="https://realtree.com/" TargetMode="External"/><Relationship Id="rId55" Type="http://schemas.openxmlformats.org/officeDocument/2006/relationships/hyperlink" Target="https://www.themeateater.com/wired-to-hunt/whitetail-hunting-gear/this-cartridge-doesnt-get-enough-love-from-deer-hunters" TargetMode="External"/><Relationship Id="rId1305" Type="http://schemas.openxmlformats.org/officeDocument/2006/relationships/hyperlink" Target="https://realtree.com/timber-2-table-articles/5-things-your-deer-processor-hates" TargetMode="External"/><Relationship Id="rId1789" Type="http://schemas.openxmlformats.org/officeDocument/2006/relationships/hyperlink" Target="https://realtree.com/food-plots-and-land-management/articles/food-plot-seed-how-to-plant-sunflowers" TargetMode="External"/><Relationship Id="rId54" Type="http://schemas.openxmlformats.org/officeDocument/2006/relationships/hyperlink" Target="https://realtree.com/deer-hunting/articles/busted-5-things-you-don-t-know-about-deer-senses" TargetMode="External"/><Relationship Id="rId1306" Type="http://schemas.openxmlformats.org/officeDocument/2006/relationships/hyperlink" Target="https://www.themeateater.com/wired-to-hunt/whitetail-management/what-is-killing-americas-fawns" TargetMode="External"/><Relationship Id="rId57" Type="http://schemas.openxmlformats.org/officeDocument/2006/relationships/hyperlink" Target="https://www.themeateater.com/wired-to-hunt/whitetail-hunting/how-to-deal-with-a-gut-shot-deer" TargetMode="External"/><Relationship Id="rId1307" Type="http://schemas.openxmlformats.org/officeDocument/2006/relationships/hyperlink" Target="https://www.themeateater.com/cook/recipes/smoked-venison-jerky-recipe" TargetMode="External"/><Relationship Id="rId56" Type="http://schemas.openxmlformats.org/officeDocument/2006/relationships/hyperlink" Target="https://realtree.com/brow-tines-and-backstrap/why-you-should-use-an-ar-15-as-a-deer-rifle" TargetMode="External"/><Relationship Id="rId1308" Type="http://schemas.openxmlformats.org/officeDocument/2006/relationships/hyperlink" Target="https://realtree.com/timber-2-table-wild-game-recipes/magic-chef-realtree-venison-jerky-recipe" TargetMode="External"/><Relationship Id="rId1309" Type="http://schemas.openxmlformats.org/officeDocument/2006/relationships/hyperlink" Target="https://www.wideopenspaces.com/3-venison-jerky-pointers-worth-setting-to-memory/" TargetMode="External"/><Relationship Id="rId719" Type="http://schemas.openxmlformats.org/officeDocument/2006/relationships/hyperlink" Target="https://www.wideopenspaces.com/heres-a-video-showing-how-much-meat-you-should-expect-from-a-whitetail-deer/" TargetMode="External"/><Relationship Id="rId718" Type="http://schemas.openxmlformats.org/officeDocument/2006/relationships/hyperlink" Target="https://realtree.com/timber-2-table-articles/meat-hunter-s-rules-for-shooting-the-right-deer" TargetMode="External"/><Relationship Id="rId717" Type="http://schemas.openxmlformats.org/officeDocument/2006/relationships/hyperlink" Target="https://www.themeateater.com/cook/butchering-and-processing/how-much-fat-should-you-add-to-ground-venison" TargetMode="External"/><Relationship Id="rId712" Type="http://schemas.openxmlformats.org/officeDocument/2006/relationships/hyperlink" Target="https://realtree.com/turkey-blog-with-steve-hickoff/video-territorial-deer-attack-on-backyard-turkey-flock" TargetMode="External"/><Relationship Id="rId711" Type="http://schemas.openxmlformats.org/officeDocument/2006/relationships/hyperlink" Target="https://www.themeateater.com/watch/6297952570001/video-mountain-lion-peels-bark-to-hide-deer-kill" TargetMode="External"/><Relationship Id="rId710" Type="http://schemas.openxmlformats.org/officeDocument/2006/relationships/hyperlink" Target="https://www.themeateater.com/wired-to-hunt/whitetail-management/how-to-age-a-whitetail-buck-on-the-hoof" TargetMode="External"/><Relationship Id="rId716" Type="http://schemas.openxmlformats.org/officeDocument/2006/relationships/hyperlink" Target="https://realtree.com/deer-hunting/articles/8-major-differences-between-whitetails-and-mule-deer" TargetMode="External"/><Relationship Id="rId715" Type="http://schemas.openxmlformats.org/officeDocument/2006/relationships/hyperlink" Target="https://www.themeateater.com/wired-to-hunt/whitetail-management/whitetails-and-mulies-a-comparison" TargetMode="External"/><Relationship Id="rId714" Type="http://schemas.openxmlformats.org/officeDocument/2006/relationships/hyperlink" Target="https://realtree.com/brow-tines-and-backstrap/10-awesome-venison-recipes-for-deer-hunters" TargetMode="External"/><Relationship Id="rId713" Type="http://schemas.openxmlformats.org/officeDocument/2006/relationships/hyperlink" Target="https://www.themeateater.com/recipes/ingredients/venison" TargetMode="External"/><Relationship Id="rId59" Type="http://schemas.openxmlformats.org/officeDocument/2006/relationships/hyperlink" Target="https://www.wideopenspaces.com/salvage-gut-shot-deer/" TargetMode="External"/><Relationship Id="rId58" Type="http://schemas.openxmlformats.org/officeDocument/2006/relationships/hyperlink" Target="https://realtree.com/brow-tines-and-backstrap/it-s-hot-you-shot-a-deer-now-what" TargetMode="External"/><Relationship Id="rId1780" Type="http://schemas.openxmlformats.org/officeDocument/2006/relationships/hyperlink" Target="https://realtree.com/brow-tines-and-backstrap/2022-midwest-deer-hunting-forecast" TargetMode="External"/><Relationship Id="rId1781" Type="http://schemas.openxmlformats.org/officeDocument/2006/relationships/hyperlink" Target="https://realtree.com/brow-tines-and-backstrap/2022-southeast-deer-hunting-forecast" TargetMode="External"/><Relationship Id="rId1782" Type="http://schemas.openxmlformats.org/officeDocument/2006/relationships/hyperlink" Target="https://realtree.com/brow-tines-and-backstrap/2022-southeast-deer-hunting-forecast" TargetMode="External"/><Relationship Id="rId1783" Type="http://schemas.openxmlformats.org/officeDocument/2006/relationships/hyperlink" Target="https://realtree.com/deer-hunting/articles/10-things-you-didn-t-know-about-velvet-bucks" TargetMode="External"/><Relationship Id="rId1300" Type="http://schemas.openxmlformats.org/officeDocument/2006/relationships/hyperlink" Target="https://www.themeateater.com/hunt/whitetail-deer/fact-checker-do-outdoor-stores-pay-big-money-for-big-mounts" TargetMode="External"/><Relationship Id="rId1784" Type="http://schemas.openxmlformats.org/officeDocument/2006/relationships/hyperlink" Target="https://www.wideopenspaces.com/10-awesome-photos-of-deer-shedding-their-velvet-pics/" TargetMode="External"/><Relationship Id="rId349" Type="http://schemas.openxmlformats.org/officeDocument/2006/relationships/hyperlink" Target="https://www.themeateater.com/cook/cooking-techniques/5-venison-cuts-you-need-to-know" TargetMode="External"/><Relationship Id="rId348" Type="http://schemas.openxmlformats.org/officeDocument/2006/relationships/hyperlink" Target="https://www.wideopenspaces.com/how-to-find-and-aim-for-deer-vitals/" TargetMode="External"/><Relationship Id="rId347" Type="http://schemas.openxmlformats.org/officeDocument/2006/relationships/hyperlink" Target="https://realtree.com/deer-hunting/articles/the-best-shot-placement-on-deer" TargetMode="External"/><Relationship Id="rId346" Type="http://schemas.openxmlformats.org/officeDocument/2006/relationships/hyperlink" Target="https://www.themeateater.com/wired-to-hunt/whitetail-hunting/where-to-shoot-a-deer" TargetMode="External"/><Relationship Id="rId341" Type="http://schemas.openxmlformats.org/officeDocument/2006/relationships/hyperlink" Target="https://www.wideopenspaces.com/where-to-shoot-a-deer-for-the-best-odds-of-a-quick-kill/" TargetMode="External"/><Relationship Id="rId340" Type="http://schemas.openxmlformats.org/officeDocument/2006/relationships/hyperlink" Target="https://realtree.com/deer-hunting/articles/the-best-shot-placement-on-deer" TargetMode="External"/><Relationship Id="rId345" Type="http://schemas.openxmlformats.org/officeDocument/2006/relationships/hyperlink" Target="https://www.wideopenspaces.com/best-deer-hunting-rifles/" TargetMode="External"/><Relationship Id="rId344" Type="http://schemas.openxmlformats.org/officeDocument/2006/relationships/hyperlink" Target="https://www.themeateater.com/hunt/firearm-hunting/the-5-guns-every-hunter-should-own" TargetMode="External"/><Relationship Id="rId343" Type="http://schemas.openxmlformats.org/officeDocument/2006/relationships/hyperlink" Target="https://realtree.com/deer-hunting/articles/the-best-times-to-deer-hunt-in-2022" TargetMode="External"/><Relationship Id="rId342" Type="http://schemas.openxmlformats.org/officeDocument/2006/relationships/hyperlink" Target="https://www.themeateater.com/wired-to-hunt/whitetail-hunting/rut-fresh-report-10-27-2022" TargetMode="External"/><Relationship Id="rId338" Type="http://schemas.openxmlformats.org/officeDocument/2006/relationships/hyperlink" Target="https://www.wideopenspaces.com/how-to-do-a-european-mount-in-4-easy-steps/" TargetMode="External"/><Relationship Id="rId337" Type="http://schemas.openxmlformats.org/officeDocument/2006/relationships/hyperlink" Target="https://www.themeateater.com/hunt/general/ask-meateater-how-do-you-make-a-skull-mount" TargetMode="External"/><Relationship Id="rId336" Type="http://schemas.openxmlformats.org/officeDocument/2006/relationships/hyperlink" Target="https://www.wideopenspaces.com/what-do-deer-eat/" TargetMode="External"/><Relationship Id="rId335" Type="http://schemas.openxmlformats.org/officeDocument/2006/relationships/hyperlink" Target="https://www.themeateater.com/wired-to-hunt/whitetail-management/10-natural-food-sources-every-deer-hunter-should-know" TargetMode="External"/><Relationship Id="rId339" Type="http://schemas.openxmlformats.org/officeDocument/2006/relationships/hyperlink" Target="https://www.themeateater.com/wired-to-hunt/whitetail-hunting/where-to-shoot-a-deer" TargetMode="External"/><Relationship Id="rId330" Type="http://schemas.openxmlformats.org/officeDocument/2006/relationships/hyperlink" Target="https://www.themeateater.com/wired-to-hunt/whitetail-hunting/where-to-shoot-a-deer" TargetMode="External"/><Relationship Id="rId334" Type="http://schemas.openxmlformats.org/officeDocument/2006/relationships/hyperlink" Target="https://www.wideopenspaces.com/rare-video-shows-deer-eating-a-snake/" TargetMode="External"/><Relationship Id="rId333" Type="http://schemas.openxmlformats.org/officeDocument/2006/relationships/hyperlink" Target="https://store.themeateater.com/products/national-deer-association-donation.html?lang=en_US" TargetMode="External"/><Relationship Id="rId332" Type="http://schemas.openxmlformats.org/officeDocument/2006/relationships/hyperlink" Target="https://www.wideopenspaces.com/how-to-find-and-aim-for-deer-vitals/" TargetMode="External"/><Relationship Id="rId331" Type="http://schemas.openxmlformats.org/officeDocument/2006/relationships/hyperlink" Target="https://realtree.com/deer-hunting/articles/the-best-shot-placement-on-deer" TargetMode="External"/><Relationship Id="rId370" Type="http://schemas.openxmlformats.org/officeDocument/2006/relationships/hyperlink" Target="https://www.themeateater.com/watch/6222000778001/s4-e12-big-buck-dreams-mule-deer-special" TargetMode="External"/><Relationship Id="rId369" Type="http://schemas.openxmlformats.org/officeDocument/2006/relationships/hyperlink" Target="https://www.wideopenspaces.com/you-actually-dont-have-to-know-how-to-butcher-a-deer-completely/" TargetMode="External"/><Relationship Id="rId368" Type="http://schemas.openxmlformats.org/officeDocument/2006/relationships/hyperlink" Target="https://realtree.com/timber-2-table-articles/5-reasons-to-butcher-your-own-deer-this-season" TargetMode="External"/><Relationship Id="rId363" Type="http://schemas.openxmlformats.org/officeDocument/2006/relationships/hyperlink" Target="https://www.themeateater.com/cook/cooking-techniques/5-venison-cuts-you-need-to-know" TargetMode="External"/><Relationship Id="rId362" Type="http://schemas.openxmlformats.org/officeDocument/2006/relationships/hyperlink" Target="https://www.wideopenspaces.com/5-biggest-whitetail-bucks-ever-found-dead/" TargetMode="External"/><Relationship Id="rId361" Type="http://schemas.openxmlformats.org/officeDocument/2006/relationships/hyperlink" Target="https://realtree.com/deer-hunting/articles/heads-of-state-all-about-state-record-bucks" TargetMode="External"/><Relationship Id="rId360" Type="http://schemas.openxmlformats.org/officeDocument/2006/relationships/hyperlink" Target="https://www.themeateater.com/hunt/whitetail-deer/is-this-50-point-whitetail-the-new-world-record" TargetMode="External"/><Relationship Id="rId367" Type="http://schemas.openxmlformats.org/officeDocument/2006/relationships/hyperlink" Target="https://www.themeateater.com/watch/6185211248001/how-to-butcher-a-deer-with-steven-rinella" TargetMode="External"/><Relationship Id="rId366" Type="http://schemas.openxmlformats.org/officeDocument/2006/relationships/hyperlink" Target="https://www.wideopenspaces.com/check-illustrated-deer-meat-guide/" TargetMode="External"/><Relationship Id="rId365" Type="http://schemas.openxmlformats.org/officeDocument/2006/relationships/hyperlink" Target="https://www.themeateater.com/cook/cooking-techniques/5-venison-cuts-you-need-to-know" TargetMode="External"/><Relationship Id="rId364" Type="http://schemas.openxmlformats.org/officeDocument/2006/relationships/hyperlink" Target="https://www.themeateater.com/watch/6171359676001/how-to-cut-venison-steaks-with-ryan-callaghan" TargetMode="External"/><Relationship Id="rId95" Type="http://schemas.openxmlformats.org/officeDocument/2006/relationships/hyperlink" Target="https://www.wideopenspaces.com/best-broadheads-whitetail-deer/" TargetMode="External"/><Relationship Id="rId94" Type="http://schemas.openxmlformats.org/officeDocument/2006/relationships/hyperlink" Target="https://realtree.com/bowhunting/articles/choosing-the-best-broadheads-for-specific-game" TargetMode="External"/><Relationship Id="rId97" Type="http://schemas.openxmlformats.org/officeDocument/2006/relationships/hyperlink" Target="https://realtree.com/timber-2-table-wild-game-recipes/how-to-skin-a-deer-in-6-steps" TargetMode="External"/><Relationship Id="rId96" Type="http://schemas.openxmlformats.org/officeDocument/2006/relationships/hyperlink" Target="https://www.themeateater.com/hunt/big-game/how-to-hang-and-skin-a-deer-in-the-field" TargetMode="External"/><Relationship Id="rId99" Type="http://schemas.openxmlformats.org/officeDocument/2006/relationships/hyperlink" Target="https://realtree.com/brow-tines-and-backstrap/15-places-big-bucks-bed-that-deer-hunters-should-hunt" TargetMode="External"/><Relationship Id="rId98" Type="http://schemas.openxmlformats.org/officeDocument/2006/relationships/hyperlink" Target="https://www.themeateater.com/wired-to-hunt/whitetail-scouting/where-do-deer-sleep" TargetMode="External"/><Relationship Id="rId91" Type="http://schemas.openxmlformats.org/officeDocument/2006/relationships/hyperlink" Target="https://www.themeateater.com/wired-to-hunt/whitetail-hunting/how-to-call-in-bucks-during-each-phase-of-the-season" TargetMode="External"/><Relationship Id="rId90" Type="http://schemas.openxmlformats.org/officeDocument/2006/relationships/hyperlink" Target="https://www.wideopenspaces.com/where-to-shoot-a-deer-for-the-best-odds-of-a-quick-kill/" TargetMode="External"/><Relationship Id="rId93" Type="http://schemas.openxmlformats.org/officeDocument/2006/relationships/hyperlink" Target="https://www.themeateater.com/gear/general/best-hunting-broadheads" TargetMode="External"/><Relationship Id="rId92" Type="http://schemas.openxmlformats.org/officeDocument/2006/relationships/hyperlink" Target="https://realtree.com/deer-hunting/articles/smack-talk-aggressive-deer-calling-strategies" TargetMode="External"/><Relationship Id="rId359" Type="http://schemas.openxmlformats.org/officeDocument/2006/relationships/hyperlink" Target="https://realtree.com/deer-hunting/articles/the-best-shot-placement-on-deer" TargetMode="External"/><Relationship Id="rId358" Type="http://schemas.openxmlformats.org/officeDocument/2006/relationships/hyperlink" Target="https://www.themeateater.com/wired-to-hunt/whitetail-hunting/where-to-shoot-a-deer" TargetMode="External"/><Relationship Id="rId357" Type="http://schemas.openxmlformats.org/officeDocument/2006/relationships/hyperlink" Target="https://realtree.com/brow-tines-and-backstrap/declutter-your-old-hunting-gear" TargetMode="External"/><Relationship Id="rId352" Type="http://schemas.openxmlformats.org/officeDocument/2006/relationships/hyperlink" Target="https://realtree.com/deer-hunting/articles/the-best-shot-placement-on-deer" TargetMode="External"/><Relationship Id="rId351" Type="http://schemas.openxmlformats.org/officeDocument/2006/relationships/hyperlink" Target="https://www.themeateater.com/wired-to-hunt/whitetail-hunting/where-to-shoot-a-deer" TargetMode="External"/><Relationship Id="rId350" Type="http://schemas.openxmlformats.org/officeDocument/2006/relationships/hyperlink" Target="https://www.wideopenspaces.com/check-illustrated-deer-meat-guide/" TargetMode="External"/><Relationship Id="rId356" Type="http://schemas.openxmlformats.org/officeDocument/2006/relationships/hyperlink" Target="https://www.themeateater.com/wired-to-hunt/whitetail-hunting-gear/hunting-gear-that-will-actually-help-you-kill-more-bucks" TargetMode="External"/><Relationship Id="rId355" Type="http://schemas.openxmlformats.org/officeDocument/2006/relationships/hyperlink" Target="https://realtree.com/brow-tines-and-backstrap/20-knowledgeable-deer-hunters-you-should-follow-on-social-media-0" TargetMode="External"/><Relationship Id="rId354" Type="http://schemas.openxmlformats.org/officeDocument/2006/relationships/hyperlink" Target="https://www.themeateater.com/hunt/general/which-states-produce-the-best-deer-hunters" TargetMode="External"/><Relationship Id="rId353" Type="http://schemas.openxmlformats.org/officeDocument/2006/relationships/hyperlink" Target="https://www.wideopenspaces.com/how-to-find-and-aim-for-deer-vitals/" TargetMode="External"/><Relationship Id="rId1378" Type="http://schemas.openxmlformats.org/officeDocument/2006/relationships/hyperlink" Target="https://www.wideopenspaces.com/best-way-to-make-venison-jerky/" TargetMode="External"/><Relationship Id="rId1379" Type="http://schemas.openxmlformats.org/officeDocument/2006/relationships/hyperlink" Target="https://www.themeateater.com/wired-to-hunt/whitetail-scouting/the-buck-that-never-shed-its-antlers" TargetMode="External"/><Relationship Id="rId305" Type="http://schemas.openxmlformats.org/officeDocument/2006/relationships/hyperlink" Target="https://realtree.com/brow-tines-and-backstrap/8-bedding-habits-of-mature-deer" TargetMode="External"/><Relationship Id="rId789" Type="http://schemas.openxmlformats.org/officeDocument/2006/relationships/hyperlink" Target="https://www.wideopenspaces.com/the-best-crock-pot-venison-pot-roast-recipe-ever/" TargetMode="External"/><Relationship Id="rId304" Type="http://schemas.openxmlformats.org/officeDocument/2006/relationships/hyperlink" Target="https://www.themeateater.com/wired-to-hunt/whitetail-scouting/where-do-deer-sleep" TargetMode="External"/><Relationship Id="rId788" Type="http://schemas.openxmlformats.org/officeDocument/2006/relationships/hyperlink" Target="https://realtree.com/timber-2-table-wild-game-recipes/slow-cooker-venison-stroganoff" TargetMode="External"/><Relationship Id="rId303" Type="http://schemas.openxmlformats.org/officeDocument/2006/relationships/hyperlink" Target="https://www.wideopenspaces.com/10-deer-hunting-videos-get-primed-season-opener/" TargetMode="External"/><Relationship Id="rId787" Type="http://schemas.openxmlformats.org/officeDocument/2006/relationships/hyperlink" Target="https://www.themeateater.com/recipes/techniques/slow-cooking" TargetMode="External"/><Relationship Id="rId302" Type="http://schemas.openxmlformats.org/officeDocument/2006/relationships/hyperlink" Target="https://www.themeateater.com/watch/6303966877001/ozark-whitetail-bowhunting" TargetMode="External"/><Relationship Id="rId786" Type="http://schemas.openxmlformats.org/officeDocument/2006/relationships/hyperlink" Target="https://realtree.com/brow-tines-and-backstrap/alabama-s-mysterious-big-nose-deer" TargetMode="External"/><Relationship Id="rId309" Type="http://schemas.openxmlformats.org/officeDocument/2006/relationships/hyperlink" Target="https://www.themeateater.com/wired-to-hunt/whitetail-hunting-gear/5-best-whitetail-cartridges" TargetMode="External"/><Relationship Id="rId308" Type="http://schemas.openxmlformats.org/officeDocument/2006/relationships/hyperlink" Target="https://www.wideopenspaces.com/how-to-score-a-deer-measuring-your-trophy-step-by-step/" TargetMode="External"/><Relationship Id="rId307" Type="http://schemas.openxmlformats.org/officeDocument/2006/relationships/hyperlink" Target="https://www.themeateater.com/wired-to-hunt/whitetail-management/video-how-to-score-a-whitetail-buck" TargetMode="External"/><Relationship Id="rId306" Type="http://schemas.openxmlformats.org/officeDocument/2006/relationships/hyperlink" Target="https://www.wideopenspaces.com/where-do-deer-sleep/" TargetMode="External"/><Relationship Id="rId781" Type="http://schemas.openxmlformats.org/officeDocument/2006/relationships/hyperlink" Target="https://www.wideopenspaces.com/deer-sounds-making-sense-of-the-sounds-of-the-deer-woods/" TargetMode="External"/><Relationship Id="rId1370" Type="http://schemas.openxmlformats.org/officeDocument/2006/relationships/hyperlink" Target="https://realtree.com/brow-tines-and-backstrap/why-bucks-shed-antlers-and-how-to-hunt-them" TargetMode="External"/><Relationship Id="rId780" Type="http://schemas.openxmlformats.org/officeDocument/2006/relationships/hyperlink" Target="https://realtree.com/deer-hunting/articles/can-you-talk-deer" TargetMode="External"/><Relationship Id="rId1371" Type="http://schemas.openxmlformats.org/officeDocument/2006/relationships/hyperlink" Target="https://www.wideopenspaces.com/deer-shed-antlers-pics/" TargetMode="External"/><Relationship Id="rId1372" Type="http://schemas.openxmlformats.org/officeDocument/2006/relationships/hyperlink" Target="https://www.themeateater.com/hunt/big-game/ask-meateater-will-you-shoot-at-running-game" TargetMode="External"/><Relationship Id="rId1373" Type="http://schemas.openxmlformats.org/officeDocument/2006/relationships/hyperlink" Target="https://www.themeateater.com/hunt/whitetail-deer/photos-how-to-build-a-deer-blind-from-pallets" TargetMode="External"/><Relationship Id="rId301" Type="http://schemas.openxmlformats.org/officeDocument/2006/relationships/hyperlink" Target="https://www.wideopenspaces.com/venison-cuts-ranked/" TargetMode="External"/><Relationship Id="rId785" Type="http://schemas.openxmlformats.org/officeDocument/2006/relationships/hyperlink" Target="https://www.themeateater.com/wired-to-hunt/whitetail-hunting/unmeasured-power-how-well-can-deer-smell" TargetMode="External"/><Relationship Id="rId1374" Type="http://schemas.openxmlformats.org/officeDocument/2006/relationships/hyperlink" Target="https://www.wideopenspaces.com/elevated-hunting-blind/" TargetMode="External"/><Relationship Id="rId300" Type="http://schemas.openxmlformats.org/officeDocument/2006/relationships/hyperlink" Target="https://www.themeateater.com/cook/cooking-techniques/5-venison-cuts-you-need-to-know" TargetMode="External"/><Relationship Id="rId784" Type="http://schemas.openxmlformats.org/officeDocument/2006/relationships/hyperlink" Target="https://realtree.com/deer-hunting/articles/10-rules-for-deer-camp" TargetMode="External"/><Relationship Id="rId1375" Type="http://schemas.openxmlformats.org/officeDocument/2006/relationships/hyperlink" Target="https://www.themeateater.com/wired-to-hunt/whitetail-scouting/how-to-identify-a-big-buck-track-in-snow" TargetMode="External"/><Relationship Id="rId783" Type="http://schemas.openxmlformats.org/officeDocument/2006/relationships/hyperlink" Target="https://www.themeateater.com/hunt/big-game/ask-wired-to-hunt-how-do-i-find-a-hunting-lease" TargetMode="External"/><Relationship Id="rId1376" Type="http://schemas.openxmlformats.org/officeDocument/2006/relationships/hyperlink" Target="https://www.themeateater.com/cook/recipes/chipotle-cherry-goose-jerky-recipe" TargetMode="External"/><Relationship Id="rId782" Type="http://schemas.openxmlformats.org/officeDocument/2006/relationships/hyperlink" Target="https://www.themeateater.com/cook/butchering-and-processing/how-to-tan-a-deer-hide" TargetMode="External"/><Relationship Id="rId1377" Type="http://schemas.openxmlformats.org/officeDocument/2006/relationships/hyperlink" Target="https://realtree.com/timber-2-table-wild-game-recipes/sliced-jerky-vs-ground-which-is-best" TargetMode="External"/><Relationship Id="rId1367" Type="http://schemas.openxmlformats.org/officeDocument/2006/relationships/hyperlink" Target="https://www.themeateater.com/wired-to-hunt/whitetail-hunting/where-to-shoot-a-deer" TargetMode="External"/><Relationship Id="rId1368" Type="http://schemas.openxmlformats.org/officeDocument/2006/relationships/hyperlink" Target="https://realtree.com/deer-hunting/articles/the-best-shot-placement-on-deer" TargetMode="External"/><Relationship Id="rId1369" Type="http://schemas.openxmlformats.org/officeDocument/2006/relationships/hyperlink" Target="https://www.themeateater.com/wired-to-hunt/whitetail-scouting/the-buck-that-never-shed-its-antlers" TargetMode="External"/><Relationship Id="rId778" Type="http://schemas.openxmlformats.org/officeDocument/2006/relationships/hyperlink" Target="https://www.wideopenspaces.com/top-6-venison-tenderloin-recipes/" TargetMode="External"/><Relationship Id="rId777" Type="http://schemas.openxmlformats.org/officeDocument/2006/relationships/hyperlink" Target="https://realtree.com/timber-2-table-wild-game-recipes/bourbon-buttermilk-fried-deer-tenderloin" TargetMode="External"/><Relationship Id="rId776" Type="http://schemas.openxmlformats.org/officeDocument/2006/relationships/hyperlink" Target="https://www.themeateater.com/watch/6175573952001/how-to-cook-venison-loin-in-the-field" TargetMode="External"/><Relationship Id="rId775" Type="http://schemas.openxmlformats.org/officeDocument/2006/relationships/hyperlink" Target="https://realtree.com/timber-2-table-wild-game-recipes/stovetop-venison-roast" TargetMode="External"/><Relationship Id="rId779" Type="http://schemas.openxmlformats.org/officeDocument/2006/relationships/hyperlink" Target="https://www.themeateater.com/hunt/whitetail-deer/video-rutting-buck-makes-crazy-vocalizations" TargetMode="External"/><Relationship Id="rId770" Type="http://schemas.openxmlformats.org/officeDocument/2006/relationships/hyperlink" Target="https://www.themeateater.com/wired-to-hunt/whitetail-hunting/rut-fresh-report-11-17-2022" TargetMode="External"/><Relationship Id="rId1360" Type="http://schemas.openxmlformats.org/officeDocument/2006/relationships/hyperlink" Target="https://www.wideopenspaces.com/deer-sounds-making-sense-of-the-sounds-of-the-deer-woods/" TargetMode="External"/><Relationship Id="rId1361" Type="http://schemas.openxmlformats.org/officeDocument/2006/relationships/hyperlink" Target="https://www.themeateater.com/wired-to-hunt/whitetail-management/whitetails-and-mulies-a-comparison" TargetMode="External"/><Relationship Id="rId1362" Type="http://schemas.openxmlformats.org/officeDocument/2006/relationships/hyperlink" Target="https://www.themeateater.com/hunt/big-game/ask-meateater-where-should-i-go-on-my-first-mule-deer-hunt" TargetMode="External"/><Relationship Id="rId774" Type="http://schemas.openxmlformats.org/officeDocument/2006/relationships/hyperlink" Target="https://www.themeateater.com/cook/recipes/shredded-venison-roast" TargetMode="External"/><Relationship Id="rId1363" Type="http://schemas.openxmlformats.org/officeDocument/2006/relationships/hyperlink" Target="https://www.themeateater.com/listen/the-element/e288-texas-summer-axis-deer-hunting-axis-rut-south" TargetMode="External"/><Relationship Id="rId773" Type="http://schemas.openxmlformats.org/officeDocument/2006/relationships/hyperlink" Target="https://realtree.com/big-game-hunting/articles/plan-your-public-mule-deer-hunt-now" TargetMode="External"/><Relationship Id="rId1364" Type="http://schemas.openxmlformats.org/officeDocument/2006/relationships/hyperlink" Target="https://www.themeateater.com/hunt/firearm-hunting/should-your-next-deer-rifle-be-an-ar-15" TargetMode="External"/><Relationship Id="rId772" Type="http://schemas.openxmlformats.org/officeDocument/2006/relationships/hyperlink" Target="https://www.themeateater.com/hunt/big-game/ask-meateater-where-should-i-go-on-my-first-mule-deer-hunt" TargetMode="External"/><Relationship Id="rId1365" Type="http://schemas.openxmlformats.org/officeDocument/2006/relationships/hyperlink" Target="https://realtree.com/brow-tines-and-backstrap/why-you-should-use-an-ar-15-as-a-deer-rifle" TargetMode="External"/><Relationship Id="rId771" Type="http://schemas.openxmlformats.org/officeDocument/2006/relationships/hyperlink" Target="https://realtree.com/deer-hunting/articles/how-to-hunt-the-phases-of-the-rut" TargetMode="External"/><Relationship Id="rId1366" Type="http://schemas.openxmlformats.org/officeDocument/2006/relationships/hyperlink" Target="https://www.themeateater.com/hunt/big-game/ask-wired-to-hunt-how-do-i-find-a-hunting-lease" TargetMode="External"/><Relationship Id="rId327" Type="http://schemas.openxmlformats.org/officeDocument/2006/relationships/hyperlink" Target="https://www.themeateater.com/watch/list/1670860111805882434%20" TargetMode="External"/><Relationship Id="rId326" Type="http://schemas.openxmlformats.org/officeDocument/2006/relationships/hyperlink" Target="https://www.wideopenspaces.com/best-deer-hunting-rifles/" TargetMode="External"/><Relationship Id="rId325" Type="http://schemas.openxmlformats.org/officeDocument/2006/relationships/hyperlink" Target="https://www.themeateater.com/hunt/firearm-hunting/5-best-rifles-for-new-hunters" TargetMode="External"/><Relationship Id="rId324" Type="http://schemas.openxmlformats.org/officeDocument/2006/relationships/hyperlink" Target="https://www.wideopenspaces.com/best-deer-hunting-caliber-for-women/" TargetMode="External"/><Relationship Id="rId329" Type="http://schemas.openxmlformats.org/officeDocument/2006/relationships/hyperlink" Target="https://www.wideopenspaces.com/you-actually-dont-have-to-know-how-to-butcher-a-deer-completely/" TargetMode="External"/><Relationship Id="rId1390" Type="http://schemas.openxmlformats.org/officeDocument/2006/relationships/hyperlink" Target="https://realtree.com/timber-2-table-wild-game-recipes/magic-chef-realtree-venison-jerky-recipe" TargetMode="External"/><Relationship Id="rId328" Type="http://schemas.openxmlformats.org/officeDocument/2006/relationships/hyperlink" Target="https://realtree.com/timber-2-table-articles/5-reasons-to-butcher-your-own-deer-this-season" TargetMode="External"/><Relationship Id="rId1391" Type="http://schemas.openxmlformats.org/officeDocument/2006/relationships/hyperlink" Target="https://www.wideopenspaces.com/venison-jerky-recipes/" TargetMode="External"/><Relationship Id="rId1392" Type="http://schemas.openxmlformats.org/officeDocument/2006/relationships/hyperlink" Target="https://www.themeateater.com/conservation/anthropology/is-this-the-oldest-duck-call-in-the-world" TargetMode="External"/><Relationship Id="rId1393" Type="http://schemas.openxmlformats.org/officeDocument/2006/relationships/hyperlink" Target="https://www.themeateater.com/wired-to-hunt/whitetail-hunting/rut-fresh-report-11-17-2022" TargetMode="External"/><Relationship Id="rId1394" Type="http://schemas.openxmlformats.org/officeDocument/2006/relationships/hyperlink" Target="https://realtree.com/deer-hunting/articles/how-to-hunt-the-phases-of-the-rut" TargetMode="External"/><Relationship Id="rId1395" Type="http://schemas.openxmlformats.org/officeDocument/2006/relationships/hyperlink" Target="https://www.themeateater.com/cook/cooking-techniques/stop-using-the-word-gamey" TargetMode="External"/><Relationship Id="rId323" Type="http://schemas.openxmlformats.org/officeDocument/2006/relationships/hyperlink" Target="https://realtree.com/deer-hunting/articles/the-5-best-bullet-styles-for-deer-hunting" TargetMode="External"/><Relationship Id="rId1396" Type="http://schemas.openxmlformats.org/officeDocument/2006/relationships/hyperlink" Target="https://realtree.com/deer-hunting/articles/12-reasons-why-your-venison-tastes-like-hell" TargetMode="External"/><Relationship Id="rId322" Type="http://schemas.openxmlformats.org/officeDocument/2006/relationships/hyperlink" Target="https://www.themeateater.com/wired-to-hunt/whitetail-hunting-gear/5-best-whitetail-cartridges" TargetMode="External"/><Relationship Id="rId1397" Type="http://schemas.openxmlformats.org/officeDocument/2006/relationships/hyperlink" Target="https://www.wideopenspaces.com/the-4-most-effective-ways-to-get-rid-of-the-gamey-taste-in-wild-meat/" TargetMode="External"/><Relationship Id="rId321" Type="http://schemas.openxmlformats.org/officeDocument/2006/relationships/hyperlink" Target="https://www.wideopenspaces.com/deer-sounds-making-sense-of-the-sounds-of-the-deer-woods/" TargetMode="External"/><Relationship Id="rId1398" Type="http://schemas.openxmlformats.org/officeDocument/2006/relationships/hyperlink" Target="https://www.themeateater.com/wired-to-hunt/whitetail-management/what-the-cwd-bill-means-for-deer-and-deer-hunters" TargetMode="External"/><Relationship Id="rId320" Type="http://schemas.openxmlformats.org/officeDocument/2006/relationships/hyperlink" Target="https://realtree.com/deer-hunting/articles/smack-talk-aggressive-deer-calling-strategies" TargetMode="External"/><Relationship Id="rId1399" Type="http://schemas.openxmlformats.org/officeDocument/2006/relationships/hyperlink" Target="https://www.themeateater.com/conservation/policy-and-legislation/virginia-finally-ends-sunday-hunting-ban" TargetMode="External"/><Relationship Id="rId1389" Type="http://schemas.openxmlformats.org/officeDocument/2006/relationships/hyperlink" Target="https://www.themeateater.com/cook/recipes/smoked-venison-jerky-recipe" TargetMode="External"/><Relationship Id="rId316" Type="http://schemas.openxmlformats.org/officeDocument/2006/relationships/hyperlink" Target="https://www.themeateater.com/hunt/general/ask-meateater-how-do-you-make-a-skull-mount" TargetMode="External"/><Relationship Id="rId315" Type="http://schemas.openxmlformats.org/officeDocument/2006/relationships/hyperlink" Target="https://www.wideopenspaces.com/you-actually-dont-have-to-know-how-to-butcher-a-deer-completely/" TargetMode="External"/><Relationship Id="rId799" Type="http://schemas.openxmlformats.org/officeDocument/2006/relationships/hyperlink" Target="https://realtree.com/brow-tines-and-backstrap/7-different-deer-taxidermy-options-and-their-costs" TargetMode="External"/><Relationship Id="rId314" Type="http://schemas.openxmlformats.org/officeDocument/2006/relationships/hyperlink" Target="https://realtree.com/timber-2-table-articles/5-reasons-to-butcher-your-own-deer-this-season" TargetMode="External"/><Relationship Id="rId798" Type="http://schemas.openxmlformats.org/officeDocument/2006/relationships/hyperlink" Target="https://www.themeateater.com/hunt/general/ask-meateater-how-do-you-make-a-skull-mount" TargetMode="External"/><Relationship Id="rId313" Type="http://schemas.openxmlformats.org/officeDocument/2006/relationships/hyperlink" Target="https://www.themeateater.com/watch/list/1670860111805882434%20" TargetMode="External"/><Relationship Id="rId797" Type="http://schemas.openxmlformats.org/officeDocument/2006/relationships/hyperlink" Target="https://www.themeateater.com/hunt/big-game/ask-meateater-where-should-i-go-on-my-first-mule-deer-hunt" TargetMode="External"/><Relationship Id="rId319" Type="http://schemas.openxmlformats.org/officeDocument/2006/relationships/hyperlink" Target="https://www.themeateater.com/wired-to-hunt/whitetail-hunting/3-grunt-call-vocalizations-every-whitetail-hunter-should-know" TargetMode="External"/><Relationship Id="rId318" Type="http://schemas.openxmlformats.org/officeDocument/2006/relationships/hyperlink" Target="https://www.themeateater.com/watch/6302418210001/s1-e43-the-pros-and-cons-of-tree-saddles-for-deer-hunting-or-saddle-hunting-costs-benefits-techniques" TargetMode="External"/><Relationship Id="rId317" Type="http://schemas.openxmlformats.org/officeDocument/2006/relationships/hyperlink" Target="https://www.wideopenspaces.com/how-to-do-a-european-mount-in-4-easy-steps/" TargetMode="External"/><Relationship Id="rId1380" Type="http://schemas.openxmlformats.org/officeDocument/2006/relationships/hyperlink" Target="https://realtree.com/brow-tines-and-backstrap/why-bucks-shed-antlers-and-how-to-hunt-them" TargetMode="External"/><Relationship Id="rId792" Type="http://schemas.openxmlformats.org/officeDocument/2006/relationships/hyperlink" Target="https://www.themeateater.com/hunt/whitetail-deer/fact-checker-do-outdoor-stores-pay-big-money-for-big-mounts" TargetMode="External"/><Relationship Id="rId1381" Type="http://schemas.openxmlformats.org/officeDocument/2006/relationships/hyperlink" Target="https://www.wideopenspaces.com/deer-shed-antlers-pics/" TargetMode="External"/><Relationship Id="rId791" Type="http://schemas.openxmlformats.org/officeDocument/2006/relationships/hyperlink" Target="https://www.wideopenspaces.com/whitetailwednesday-25-unique-ideas-for-your-next-whitetail-mount/" TargetMode="External"/><Relationship Id="rId1382" Type="http://schemas.openxmlformats.org/officeDocument/2006/relationships/hyperlink" Target="https://www.themeateater.com/wired-to-hunt/whitetail-management/whitetails-and-mulies-a-comparison" TargetMode="External"/><Relationship Id="rId790" Type="http://schemas.openxmlformats.org/officeDocument/2006/relationships/hyperlink" Target="https://www.themeateater.com/hunt/general/ask-meateater-how-do-you-make-a-skull-mount" TargetMode="External"/><Relationship Id="rId1383" Type="http://schemas.openxmlformats.org/officeDocument/2006/relationships/hyperlink" Target="https://www.themeateater.com/hunt/elk/4-ways-elk-hunting-is-not-deer-hunting" TargetMode="External"/><Relationship Id="rId1384" Type="http://schemas.openxmlformats.org/officeDocument/2006/relationships/hyperlink" Target="https://www.themeateater.com/hunt/moose/a-guide-to-hunting-moose" TargetMode="External"/><Relationship Id="rId312" Type="http://schemas.openxmlformats.org/officeDocument/2006/relationships/hyperlink" Target="https://www.themeateater.com/hunt/general/ask-meateater-how-do-you-make-a-skull-mount" TargetMode="External"/><Relationship Id="rId796" Type="http://schemas.openxmlformats.org/officeDocument/2006/relationships/hyperlink" Target="https://www.wideopenspaces.com/deer-poop-identification/" TargetMode="External"/><Relationship Id="rId1385" Type="http://schemas.openxmlformats.org/officeDocument/2006/relationships/hyperlink" Target="https://www.themeateater.com/wired-to-hunt/whitetail-hunting/how-to-deer-hunt-standing-corn" TargetMode="External"/><Relationship Id="rId311" Type="http://schemas.openxmlformats.org/officeDocument/2006/relationships/hyperlink" Target="https://www.wideopenspaces.com/why-the-243-is-hands-down-the-best-deer-rifle/" TargetMode="External"/><Relationship Id="rId795" Type="http://schemas.openxmlformats.org/officeDocument/2006/relationships/hyperlink" Target="https://realtree.com/brow-tines-and-backstrap/everything-you-ever-wanted-to-know-about-deer-poop" TargetMode="External"/><Relationship Id="rId1386" Type="http://schemas.openxmlformats.org/officeDocument/2006/relationships/hyperlink" Target="https://realtree.com/brow-tines-and-backstrap/will-skyrocketing-corn-prices-affect-your-deer-season" TargetMode="External"/><Relationship Id="rId310" Type="http://schemas.openxmlformats.org/officeDocument/2006/relationships/hyperlink" Target="https://realtree.com/deer-hunting/articles/the-5-best-bullet-styles-for-deer-hunting" TargetMode="External"/><Relationship Id="rId794" Type="http://schemas.openxmlformats.org/officeDocument/2006/relationships/hyperlink" Target="https://www.themeateater.com/wired-to-hunt/whitetail-scouting/fact-checker-can-you-identify-a-mature-buck-by-droppings" TargetMode="External"/><Relationship Id="rId1387" Type="http://schemas.openxmlformats.org/officeDocument/2006/relationships/hyperlink" Target="https://www.wideopenspaces.com/deer-corn/" TargetMode="External"/><Relationship Id="rId793" Type="http://schemas.openxmlformats.org/officeDocument/2006/relationships/hyperlink" Target="https://realtree.com/brow-tines-and-backstrap/20-crazy-good-deer-mounts-from-the-nwtf-convention" TargetMode="External"/><Relationship Id="rId1388" Type="http://schemas.openxmlformats.org/officeDocument/2006/relationships/hyperlink" Target="https://www.themeateater.com/wired-to-hunt/whitetail-scouting/12-quick-pro-tips-to-improve-your-deer-hunting-this-fall" TargetMode="External"/><Relationship Id="rId297" Type="http://schemas.openxmlformats.org/officeDocument/2006/relationships/hyperlink" Target="https://www.themeateater.com/watch/6175573953001/meateater-s-seared-venison-heart-with-whiskey-butter" TargetMode="External"/><Relationship Id="rId296" Type="http://schemas.openxmlformats.org/officeDocument/2006/relationships/hyperlink" Target="https://realtree.com/deer-hunting/articles/the-best-shot-placement-on-deer" TargetMode="External"/><Relationship Id="rId295" Type="http://schemas.openxmlformats.org/officeDocument/2006/relationships/hyperlink" Target="https://www.themeateater.com/wired-to-hunt/whitetail-hunting/where-to-shoot-a-deer" TargetMode="External"/><Relationship Id="rId294" Type="http://schemas.openxmlformats.org/officeDocument/2006/relationships/hyperlink" Target="https://www.themeateater.com/wild-and-whole/wild-recipes/butter-basted-venison-steaks-recipe" TargetMode="External"/><Relationship Id="rId299" Type="http://schemas.openxmlformats.org/officeDocument/2006/relationships/hyperlink" Target="https://www.wideopenspaces.com/seared-venison-heart-with-whiskey-butter-recipe/" TargetMode="External"/><Relationship Id="rId298" Type="http://schemas.openxmlformats.org/officeDocument/2006/relationships/hyperlink" Target="https://realtree.com/timber-2-table-wild-game-recipes/pan-fried-venison-heart-with-black-pepper-buttermilk-gravy" TargetMode="External"/><Relationship Id="rId271" Type="http://schemas.openxmlformats.org/officeDocument/2006/relationships/hyperlink" Target="https://www.wideopenspaces.com/why-the-243-is-hands-down-the-best-deer-rifle/" TargetMode="External"/><Relationship Id="rId270" Type="http://schemas.openxmlformats.org/officeDocument/2006/relationships/hyperlink" Target="https://www.themeateater.com/hunt/firearm-hunting/caliber-battle-270-win-vs-243-win" TargetMode="External"/><Relationship Id="rId269" Type="http://schemas.openxmlformats.org/officeDocument/2006/relationships/hyperlink" Target="https://realtree.com/deer-hunting/articles/5-rut-buck-behaviors-you-should-recognize" TargetMode="External"/><Relationship Id="rId264" Type="http://schemas.openxmlformats.org/officeDocument/2006/relationships/hyperlink" Target="https://realtree.com/brow-tines-and-backstrap/why-buck-tarsal-is-the-deadliest-scent-in-the-deer-woods" TargetMode="External"/><Relationship Id="rId263" Type="http://schemas.openxmlformats.org/officeDocument/2006/relationships/hyperlink" Target="https://www.themeateater.com/wired-to-hunt/whitetail-management/what-you-need-to-know-about-whitetail-buck-glands" TargetMode="External"/><Relationship Id="rId262" Type="http://schemas.openxmlformats.org/officeDocument/2006/relationships/hyperlink" Target="https://realtree.com/brow-tines-and-backstrap/podcast-how-the-grunt-call-came-to-be" TargetMode="External"/><Relationship Id="rId261" Type="http://schemas.openxmlformats.org/officeDocument/2006/relationships/hyperlink" Target="https://www.themeateater.com/wired-to-hunt/whitetail-hunting/3-grunt-call-vocalizations-every-whitetail-hunter-should-know" TargetMode="External"/><Relationship Id="rId268" Type="http://schemas.openxmlformats.org/officeDocument/2006/relationships/hyperlink" Target="https://www.themeateater.com/hunt/whitetail-deer/video-rutting-buck-makes-crazy-vocalizations" TargetMode="External"/><Relationship Id="rId267" Type="http://schemas.openxmlformats.org/officeDocument/2006/relationships/hyperlink" Target="https://www.wideopenspaces.com/how-to-find-and-aim-for-deer-vitals/" TargetMode="External"/><Relationship Id="rId266" Type="http://schemas.openxmlformats.org/officeDocument/2006/relationships/hyperlink" Target="https://realtree.com/deer-hunting/articles/the-best-shot-placement-on-deer" TargetMode="External"/><Relationship Id="rId265" Type="http://schemas.openxmlformats.org/officeDocument/2006/relationships/hyperlink" Target="https://www.themeateater.com/wired-to-hunt/whitetail-hunting/where-to-shoot-a-deer" TargetMode="External"/><Relationship Id="rId260" Type="http://schemas.openxmlformats.org/officeDocument/2006/relationships/hyperlink" Target="https://realtree.com/bowhunting/articles/10-bowhunting-sins" TargetMode="External"/><Relationship Id="rId259" Type="http://schemas.openxmlformats.org/officeDocument/2006/relationships/hyperlink" Target="https://www.themeateater.com/watch/6303966877001/ozark-whitetail-bowhunting" TargetMode="External"/><Relationship Id="rId258" Type="http://schemas.openxmlformats.org/officeDocument/2006/relationships/hyperlink" Target="https://www.wideopenspaces.com/whitetail-vs-mule-deer-the-differences-why-you-should-hunt-them-and-which-is-best/" TargetMode="External"/><Relationship Id="rId253" Type="http://schemas.openxmlformats.org/officeDocument/2006/relationships/hyperlink" Target="https://www.wideopenspaces.com/best-deer-hunting-caliber-for-women/" TargetMode="External"/><Relationship Id="rId252" Type="http://schemas.openxmlformats.org/officeDocument/2006/relationships/hyperlink" Target="https://realtree.com/deer-hunting/articles/the-5-best-bullet-styles-for-deer-hunting" TargetMode="External"/><Relationship Id="rId251" Type="http://schemas.openxmlformats.org/officeDocument/2006/relationships/hyperlink" Target="https://www.themeateater.com/wired-to-hunt/whitetail-hunting-gear/5-best-whitetail-cartridges" TargetMode="External"/><Relationship Id="rId250" Type="http://schemas.openxmlformats.org/officeDocument/2006/relationships/hyperlink" Target="https://realtree.com/timber-2-table-wild-game-recipes/how-to-skin-a-deer-in-6-steps" TargetMode="External"/><Relationship Id="rId257" Type="http://schemas.openxmlformats.org/officeDocument/2006/relationships/hyperlink" Target="https://realtree.com/deer-hunting/articles/8-major-differences-between-whitetails-and-mule-deer" TargetMode="External"/><Relationship Id="rId256" Type="http://schemas.openxmlformats.org/officeDocument/2006/relationships/hyperlink" Target="https://www.themeateater.com/wired-to-hunt/whitetail-management/whitetails-and-mulies-a-comparison" TargetMode="External"/><Relationship Id="rId255" Type="http://schemas.openxmlformats.org/officeDocument/2006/relationships/hyperlink" Target="https://realtree.com/timber-2-table-wild-game-recipes/how-to-skin-a-deer-in-6-steps" TargetMode="External"/><Relationship Id="rId254" Type="http://schemas.openxmlformats.org/officeDocument/2006/relationships/hyperlink" Target="https://www.themeateater.com/hunt/big-game/how-to-hang-and-skin-a-deer-in-the-field" TargetMode="External"/><Relationship Id="rId293" Type="http://schemas.openxmlformats.org/officeDocument/2006/relationships/hyperlink" Target="https://www.wideopenspaces.com/what-are-the-best-deer-hunting-times-throughout-the-day/" TargetMode="External"/><Relationship Id="rId292" Type="http://schemas.openxmlformats.org/officeDocument/2006/relationships/hyperlink" Target="https://realtree.com/brow-tines-and-backstrap/why-windy-days-are-great-for-deer-hunting" TargetMode="External"/><Relationship Id="rId291" Type="http://schemas.openxmlformats.org/officeDocument/2006/relationships/hyperlink" Target="https://www.themeateater.com/wired-to-hunt/whitetail-hunting/how-to-kill-a-buck-in-high-wind" TargetMode="External"/><Relationship Id="rId290" Type="http://schemas.openxmlformats.org/officeDocument/2006/relationships/hyperlink" Target="https://www.wideopenspaces.com/you-actually-dont-have-to-know-how-to-butcher-a-deer-completely/" TargetMode="External"/><Relationship Id="rId286" Type="http://schemas.openxmlformats.org/officeDocument/2006/relationships/hyperlink" Target="https://realtree.com/timber-2-table-wild-game-recipes/pan-fried-venison-heart-with-black-pepper-buttermilk-gravy" TargetMode="External"/><Relationship Id="rId285" Type="http://schemas.openxmlformats.org/officeDocument/2006/relationships/hyperlink" Target="https://www.themeateater.com/watch/6175573953001/meateater-s-seared-venison-heart-with-whiskey-butter" TargetMode="External"/><Relationship Id="rId284" Type="http://schemas.openxmlformats.org/officeDocument/2006/relationships/hyperlink" Target="https://www.wideopenspaces.com/how-to-score-a-deer-measuring-your-trophy-step-by-step/" TargetMode="External"/><Relationship Id="rId283" Type="http://schemas.openxmlformats.org/officeDocument/2006/relationships/hyperlink" Target="https://realtree.com/deer-hunting/articles/how-to-score-a-buck-on-the-boone-and-crocket-scale" TargetMode="External"/><Relationship Id="rId289" Type="http://schemas.openxmlformats.org/officeDocument/2006/relationships/hyperlink" Target="https://realtree.com/timber-2-table-articles/5-reasons-to-butcher-your-own-deer-this-season" TargetMode="External"/><Relationship Id="rId288" Type="http://schemas.openxmlformats.org/officeDocument/2006/relationships/hyperlink" Target="https://www.themeateater.com/watch/list/1670860111805882434%20" TargetMode="External"/><Relationship Id="rId287" Type="http://schemas.openxmlformats.org/officeDocument/2006/relationships/hyperlink" Target="https://www.wideopenspaces.com/huntchef-venison-heart-recipe/" TargetMode="External"/><Relationship Id="rId282" Type="http://schemas.openxmlformats.org/officeDocument/2006/relationships/hyperlink" Target="https://www.themeateater.com/watch/6259336077001/how-to-score-a-whitetail-deer" TargetMode="External"/><Relationship Id="rId281" Type="http://schemas.openxmlformats.org/officeDocument/2006/relationships/hyperlink" Target="https://www.wideopenspaces.com/whitetail-vs-mule-deer-the-differences-why-you-should-hunt-them-and-which-is-best/" TargetMode="External"/><Relationship Id="rId280" Type="http://schemas.openxmlformats.org/officeDocument/2006/relationships/hyperlink" Target="https://realtree.com/deer-hunting/articles/8-major-differences-between-whitetails-and-mule-deer" TargetMode="External"/><Relationship Id="rId275" Type="http://schemas.openxmlformats.org/officeDocument/2006/relationships/hyperlink" Target="https://www.themeateater.com/cook/cooking-techniques/5-venison-cuts-you-need-to-know" TargetMode="External"/><Relationship Id="rId274" Type="http://schemas.openxmlformats.org/officeDocument/2006/relationships/hyperlink" Target="https://www.wideopenspaces.com/where-to-shoot-a-deer-for-the-best-odds-of-a-quick-kill/" TargetMode="External"/><Relationship Id="rId273" Type="http://schemas.openxmlformats.org/officeDocument/2006/relationships/hyperlink" Target="https://realtree.com/deer-hunting/articles/the-best-shot-placement-on-deer" TargetMode="External"/><Relationship Id="rId272" Type="http://schemas.openxmlformats.org/officeDocument/2006/relationships/hyperlink" Target="https://www.themeateater.com/wired-to-hunt/whitetail-hunting/where-to-shoot-a-deer" TargetMode="External"/><Relationship Id="rId279" Type="http://schemas.openxmlformats.org/officeDocument/2006/relationships/hyperlink" Target="https://www.themeateater.com/wired-to-hunt/whitetail-management/whitetails-and-mulies-a-comparison" TargetMode="External"/><Relationship Id="rId278" Type="http://schemas.openxmlformats.org/officeDocument/2006/relationships/hyperlink" Target="https://realtree.com/brow-tines-and-backstrap/why-buck-tarsal-is-the-deadliest-scent-in-the-deer-woods" TargetMode="External"/><Relationship Id="rId277" Type="http://schemas.openxmlformats.org/officeDocument/2006/relationships/hyperlink" Target="https://www.themeateater.com/wired-to-hunt/whitetail-management/what-you-need-to-know-about-whitetail-buck-glands" TargetMode="External"/><Relationship Id="rId276" Type="http://schemas.openxmlformats.org/officeDocument/2006/relationships/hyperlink" Target="https://www.wideopenspaces.com/venison-cuts-ranked/" TargetMode="External"/><Relationship Id="rId1851" Type="http://schemas.openxmlformats.org/officeDocument/2006/relationships/hyperlink" Target="https://www.wideopenspaces.com/whitetail-deer-gestation-period/" TargetMode="External"/><Relationship Id="rId1852" Type="http://schemas.openxmlformats.org/officeDocument/2006/relationships/hyperlink" Target="https://realtree.com/deer-hunting/articles/10-tips-for-deer-hunting-in-the-south" TargetMode="External"/><Relationship Id="rId1853" Type="http://schemas.openxmlformats.org/officeDocument/2006/relationships/hyperlink" Target="https://www.wideopenspaces.com/georgia-deer-hunting/" TargetMode="External"/><Relationship Id="rId1854" Type="http://schemas.openxmlformats.org/officeDocument/2006/relationships/hyperlink" Target="https://www.wideopenspaces.com/when-does-deer-season-end-in-georgia/" TargetMode="External"/><Relationship Id="rId1855" Type="http://schemas.openxmlformats.org/officeDocument/2006/relationships/hyperlink" Target="https://www.wideopenspaces.com/pennsylvania-deer-hunting/" TargetMode="External"/><Relationship Id="rId1856" Type="http://schemas.openxmlformats.org/officeDocument/2006/relationships/hyperlink" Target="https://realtree.com/deer-hunting/articles/where-to-deer-hunt-in-february" TargetMode="External"/><Relationship Id="rId1857" Type="http://schemas.openxmlformats.org/officeDocument/2006/relationships/hyperlink" Target="https://www.wideopenspaces.com/when-does-deer-season-end-in-texas/" TargetMode="External"/><Relationship Id="rId1858" Type="http://schemas.openxmlformats.org/officeDocument/2006/relationships/hyperlink" Target="https://realtree.com/brow-tines-and-backstrap/wisconsin-hunters-reject-changes-to-deer-season" TargetMode="External"/><Relationship Id="rId1859" Type="http://schemas.openxmlformats.org/officeDocument/2006/relationships/hyperlink" Target="https://realtree.com/brow-tines-and-backstrap/wisconsin-hunters-reject-changes-to-deer-season" TargetMode="External"/><Relationship Id="rId1850" Type="http://schemas.openxmlformats.org/officeDocument/2006/relationships/hyperlink" Target="https://realtree.com/timber-2-table-wild-game-recipes/how-to-skin-a-deer-in-6-steps" TargetMode="External"/><Relationship Id="rId1840" Type="http://schemas.openxmlformats.org/officeDocument/2006/relationships/hyperlink" Target="https://www.wideopenspaces.com/deer-shed-antlers-pics/" TargetMode="External"/><Relationship Id="rId1841" Type="http://schemas.openxmlformats.org/officeDocument/2006/relationships/hyperlink" Target="https://realtree.com/turkey-blog-with-steve-hickoff/video-territorial-deer-attack-on-backyard-turkey-flock" TargetMode="External"/><Relationship Id="rId1842" Type="http://schemas.openxmlformats.org/officeDocument/2006/relationships/hyperlink" Target="https://realtree.com/brow-tines-and-backstrap/8-things-you-can-use-to-bait-deer" TargetMode="External"/><Relationship Id="rId1843" Type="http://schemas.openxmlformats.org/officeDocument/2006/relationships/hyperlink" Target="https://www.wideopenspaces.com/5-deer-attractants-drive-whitetail-bucks-crazy-pics/" TargetMode="External"/><Relationship Id="rId1844" Type="http://schemas.openxmlformats.org/officeDocument/2006/relationships/hyperlink" Target="https://www.wideopenspaces.com/take-a-load-off-with-these-10-hunting-blind-chairs/" TargetMode="External"/><Relationship Id="rId1845" Type="http://schemas.openxmlformats.org/officeDocument/2006/relationships/hyperlink" Target="https://realtree.com/timber-2-table-wild-game-recipes/deer-camp-stuffed-bologna-chub-recipe" TargetMode="External"/><Relationship Id="rId1846" Type="http://schemas.openxmlformats.org/officeDocument/2006/relationships/hyperlink" Target="https://realtree.com/brow-tines-and-backstrap/is-a-trail-camera-ban-coming-to-a-state-near-you" TargetMode="External"/><Relationship Id="rId1847" Type="http://schemas.openxmlformats.org/officeDocument/2006/relationships/hyperlink" Target="https://realtree.com/brow-tines-and-backstrap/will-skyrocketing-corn-prices-affect-your-deer-season" TargetMode="External"/><Relationship Id="rId1848" Type="http://schemas.openxmlformats.org/officeDocument/2006/relationships/hyperlink" Target="https://realtree.com/brow-tines-and-backstrap/8-things-you-can-use-to-bait-deer" TargetMode="External"/><Relationship Id="rId1849" Type="http://schemas.openxmlformats.org/officeDocument/2006/relationships/hyperlink" Target="https://www.wideopenspaces.com/deer-feeding-times/" TargetMode="External"/><Relationship Id="rId1873" Type="http://schemas.openxmlformats.org/officeDocument/2006/relationships/hyperlink" Target="https://realtree.com/deer-hunting/articles/10-best-times-to-deer-hunt" TargetMode="External"/><Relationship Id="rId1874" Type="http://schemas.openxmlformats.org/officeDocument/2006/relationships/hyperlink" Target="https://www.wideopenspaces.com/missouri-deer-hunting-all-to-know-about-this-buck-buck-paradise/" TargetMode="External"/><Relationship Id="rId1875" Type="http://schemas.openxmlformats.org/officeDocument/2006/relationships/hyperlink" Target="https://www.wideopenspaces.com/the-best-3d-archery-targets/" TargetMode="External"/><Relationship Id="rId1876" Type="http://schemas.openxmlformats.org/officeDocument/2006/relationships/hyperlink" Target="https://realtree.com/deer-hunting/articles/deer-hunting-a-quest-for-a-drop-tine-buck" TargetMode="External"/><Relationship Id="rId1877" Type="http://schemas.openxmlformats.org/officeDocument/2006/relationships/hyperlink" Target="https://www.wideopenspaces.com/whitetailwednesday-check-out-8-of-the-coolest-drop-tine-bucks-ever/" TargetMode="External"/><Relationship Id="rId1878" Type="http://schemas.openxmlformats.org/officeDocument/2006/relationships/hyperlink" Target="https://www.wideopenspaces.com/deer-warts/" TargetMode="External"/><Relationship Id="rId1879" Type="http://schemas.openxmlformats.org/officeDocument/2006/relationships/hyperlink" Target="https://www.wideopenspaces.com/invasion-axis-deer/" TargetMode="External"/><Relationship Id="rId1870" Type="http://schemas.openxmlformats.org/officeDocument/2006/relationships/hyperlink" Target="https://realtree.com/brow-tines-and-backstrap/2022-northeast-deer-hunting-forecast" TargetMode="External"/><Relationship Id="rId1871" Type="http://schemas.openxmlformats.org/officeDocument/2006/relationships/hyperlink" Target="https://realtree.com/brow-tines-and-backstrap/wisconsin-hunters-reject-changes-to-deer-season" TargetMode="External"/><Relationship Id="rId1872" Type="http://schemas.openxmlformats.org/officeDocument/2006/relationships/hyperlink" Target="https://www.wideopenspaces.com/wisconsin-deer-hunting-everything-hunters-need-to-know/" TargetMode="External"/><Relationship Id="rId1862" Type="http://schemas.openxmlformats.org/officeDocument/2006/relationships/hyperlink" Target="https://www.wideopenspaces.com/deer-hunting-in-ohio-what-you-should-know/" TargetMode="External"/><Relationship Id="rId1863" Type="http://schemas.openxmlformats.org/officeDocument/2006/relationships/hyperlink" Target="https://realtree.com/brow-tines-and-backstrap/2022-midwest-deer-hunting-forecast" TargetMode="External"/><Relationship Id="rId1864" Type="http://schemas.openxmlformats.org/officeDocument/2006/relationships/hyperlink" Target="https://www.wideopenspaces.com/deer-hunting-in-illinois-does-a-boone-crockett-buck-await/" TargetMode="External"/><Relationship Id="rId1865" Type="http://schemas.openxmlformats.org/officeDocument/2006/relationships/hyperlink" Target="https://www.wideopenspaces.com/when-does-deer-season-end-in-georgia/" TargetMode="External"/><Relationship Id="rId1866" Type="http://schemas.openxmlformats.org/officeDocument/2006/relationships/hyperlink" Target="https://realtree.com/deer-hunting/articles/deer-hunting-the-late-season" TargetMode="External"/><Relationship Id="rId1867" Type="http://schemas.openxmlformats.org/officeDocument/2006/relationships/hyperlink" Target="https://www.wideopenspaces.com/tennessee-approves-3-day-archery-only-deer-season-for-august/" TargetMode="External"/><Relationship Id="rId1868" Type="http://schemas.openxmlformats.org/officeDocument/2006/relationships/hyperlink" Target="https://realtree.com/brow-tines-and-backstrap/iowa-law-expands-rifle-options-for-late-season-antlerless-hunts" TargetMode="External"/><Relationship Id="rId1869" Type="http://schemas.openxmlformats.org/officeDocument/2006/relationships/hyperlink" Target="https://www.wideopenspaces.com/maryland-sika-deer-hunting/" TargetMode="External"/><Relationship Id="rId1860" Type="http://schemas.openxmlformats.org/officeDocument/2006/relationships/hyperlink" Target="https://realtree.com/brow-tines-and-backstrap/why-buck-tarsal-is-the-deadliest-scent-in-the-deer-woods" TargetMode="External"/><Relationship Id="rId1861" Type="http://schemas.openxmlformats.org/officeDocument/2006/relationships/hyperlink" Target="https://realtree.com/deer-hunting/articles/where-to-deer-hunt-in-february" TargetMode="External"/><Relationship Id="rId1810" Type="http://schemas.openxmlformats.org/officeDocument/2006/relationships/hyperlink" Target="https://realtree.com/deer-hunting/articles/the-meaning-of-deer-hunting-hunting-truth-in-life" TargetMode="External"/><Relationship Id="rId1811" Type="http://schemas.openxmlformats.org/officeDocument/2006/relationships/hyperlink" Target="https://www.wideopenspaces.com/rare-video-shows-deer-eating-a-snake/" TargetMode="External"/><Relationship Id="rId1812" Type="http://schemas.openxmlformats.org/officeDocument/2006/relationships/hyperlink" Target="https://www.wideopenspaces.com/tripod-treestand/" TargetMode="External"/><Relationship Id="rId1813" Type="http://schemas.openxmlformats.org/officeDocument/2006/relationships/hyperlink" Target="https://realtree.com/brow-tines-and-backstrap/7-different-deer-taxidermy-options-and-their-costs" TargetMode="External"/><Relationship Id="rId1814" Type="http://schemas.openxmlformats.org/officeDocument/2006/relationships/hyperlink" Target="https://www.wideopenspaces.com/whitetailwednesday-25-unique-ideas-for-your-next-whitetail-mount/" TargetMode="External"/><Relationship Id="rId1815" Type="http://schemas.openxmlformats.org/officeDocument/2006/relationships/hyperlink" Target="https://realtree.com/all/articles/antler-trivia" TargetMode="External"/><Relationship Id="rId1816" Type="http://schemas.openxmlformats.org/officeDocument/2006/relationships/hyperlink" Target="https://www.wideopenspaces.com/what-are-antlers-made-from/" TargetMode="External"/><Relationship Id="rId1817" Type="http://schemas.openxmlformats.org/officeDocument/2006/relationships/hyperlink" Target="https://realtree.com/deer-hunting/articles/where-to-deer-hunt-in-february" TargetMode="External"/><Relationship Id="rId1818" Type="http://schemas.openxmlformats.org/officeDocument/2006/relationships/hyperlink" Target="https://www.wideopenspaces.com/when-does-deer-season-end-in-texas/" TargetMode="External"/><Relationship Id="rId1819" Type="http://schemas.openxmlformats.org/officeDocument/2006/relationships/hyperlink" Target="https://www.wideopenspaces.com/when-does-deer-season-end-in-texas/" TargetMode="External"/><Relationship Id="rId1800" Type="http://schemas.openxmlformats.org/officeDocument/2006/relationships/hyperlink" Target="https://www.wideopenspaces.com/maryland-sika-deer-hunting/" TargetMode="External"/><Relationship Id="rId1801" Type="http://schemas.openxmlformats.org/officeDocument/2006/relationships/hyperlink" Target="https://www.wideopenspaces.com/michigan-deer-reporting/" TargetMode="External"/><Relationship Id="rId1802" Type="http://schemas.openxmlformats.org/officeDocument/2006/relationships/hyperlink" Target="https://www.wideopenspaces.com/michigan-late-doe-season/" TargetMode="External"/><Relationship Id="rId1803" Type="http://schemas.openxmlformats.org/officeDocument/2006/relationships/hyperlink" Target="https://realtree.com/brow-tines-and-backstrap/2022-southeast-deer-hunting-forecast" TargetMode="External"/><Relationship Id="rId1804" Type="http://schemas.openxmlformats.org/officeDocument/2006/relationships/hyperlink" Target="https://realtree.com/deer-hunting/articles/3-top-states-for-diy-big-buck-hunters" TargetMode="External"/><Relationship Id="rId1805" Type="http://schemas.openxmlformats.org/officeDocument/2006/relationships/hyperlink" Target="https://www.wideopenspaces.com/minnesota-deer-hunting/" TargetMode="External"/><Relationship Id="rId1806" Type="http://schemas.openxmlformats.org/officeDocument/2006/relationships/hyperlink" Target="https://www.wideopenspaces.com/mn-deer-hunting-zones/" TargetMode="External"/><Relationship Id="rId1807" Type="http://schemas.openxmlformats.org/officeDocument/2006/relationships/hyperlink" Target="https://www.wideopenspaces.com/5-luxury-hunting-blinds-you-might-be-able-to-afford/" TargetMode="External"/><Relationship Id="rId1808" Type="http://schemas.openxmlformats.org/officeDocument/2006/relationships/hyperlink" Target="https://realtree.com/brow-tines-and-backstrap/how-to-make-a-homemade-deer-feeder" TargetMode="External"/><Relationship Id="rId1809" Type="http://schemas.openxmlformats.org/officeDocument/2006/relationships/hyperlink" Target="https://www.wideopenspaces.com/make-poor-mans-deer-feeder/" TargetMode="External"/><Relationship Id="rId1830" Type="http://schemas.openxmlformats.org/officeDocument/2006/relationships/hyperlink" Target="https://www.wideopenspaces.com/less-10-awesome-bucks-6-fewer-points-whitetailwednesday/" TargetMode="External"/><Relationship Id="rId1831" Type="http://schemas.openxmlformats.org/officeDocument/2006/relationships/hyperlink" Target="https://realtree.com/brow-tines-and-backstrap/debate-settled-deep-south-deer-are-the-toughest-to-hunt" TargetMode="External"/><Relationship Id="rId1832" Type="http://schemas.openxmlformats.org/officeDocument/2006/relationships/hyperlink" Target="https://www.wideopenspaces.com/alabama-hunting-license/" TargetMode="External"/><Relationship Id="rId1833" Type="http://schemas.openxmlformats.org/officeDocument/2006/relationships/hyperlink" Target="https://www.wideopenspaces.com/do-deer-eat-meat/" TargetMode="External"/><Relationship Id="rId1834" Type="http://schemas.openxmlformats.org/officeDocument/2006/relationships/hyperlink" Target="https://realtree.com/brow-tines-and-backstrap/have-you-ever-seen-a-melanistic-whitetail" TargetMode="External"/><Relationship Id="rId1835" Type="http://schemas.openxmlformats.org/officeDocument/2006/relationships/hyperlink" Target="https://www.wideopenspaces.com/black-deer-in-backyard-how-rare-is-this-color-variation/" TargetMode="External"/><Relationship Id="rId1836" Type="http://schemas.openxmlformats.org/officeDocument/2006/relationships/hyperlink" Target="https://realtree.com/deer-hunting/articles/how-to-score-a-buck-on-the-boone-and-crocket-scale" TargetMode="External"/><Relationship Id="rId1837" Type="http://schemas.openxmlformats.org/officeDocument/2006/relationships/hyperlink" Target="https://www.wideopenspaces.com/boone-and-crockett-top-whitetail-states/" TargetMode="External"/><Relationship Id="rId1838" Type="http://schemas.openxmlformats.org/officeDocument/2006/relationships/hyperlink" Target="https://www.wideopenspaces.com/12-amazing-shed-antler-decorations-ladies/" TargetMode="External"/><Relationship Id="rId1839" Type="http://schemas.openxmlformats.org/officeDocument/2006/relationships/hyperlink" Target="https://realtree.com/brow-tines-and-backstrap/why-bucks-shed-antlers-and-how-to-hunt-them" TargetMode="External"/><Relationship Id="rId1820" Type="http://schemas.openxmlformats.org/officeDocument/2006/relationships/hyperlink" Target="https://realtree.com/brow-tines-and-backstrap/wisconsin-hunters-reject-changes-to-deer-season" TargetMode="External"/><Relationship Id="rId1821" Type="http://schemas.openxmlformats.org/officeDocument/2006/relationships/hyperlink" Target="https://realtree.com/brow-tines-and-backstrap/wisconsin-hunters-reject-changes-to-deer-season" TargetMode="External"/><Relationship Id="rId1822" Type="http://schemas.openxmlformats.org/officeDocument/2006/relationships/hyperlink" Target="https://www.wideopenspaces.com/wisconsin-deer-hunting-everything-hunters-need-to-know/" TargetMode="External"/><Relationship Id="rId1823" Type="http://schemas.openxmlformats.org/officeDocument/2006/relationships/hyperlink" Target="https://realtree.com/deer-hunting/articles/top-10-pope-young-deer-hunting-states" TargetMode="External"/><Relationship Id="rId1824" Type="http://schemas.openxmlformats.org/officeDocument/2006/relationships/hyperlink" Target="https://realtree.com/brow-tines-and-backstrap/when-you-should-pass-a-buck-and-when-you-shouldn-t" TargetMode="External"/><Relationship Id="rId1825" Type="http://schemas.openxmlformats.org/officeDocument/2006/relationships/hyperlink" Target="https://www.wideopenspaces.com/120-class-whitetail-deer-id/" TargetMode="External"/><Relationship Id="rId1826" Type="http://schemas.openxmlformats.org/officeDocument/2006/relationships/hyperlink" Target="https://realtree.com/deer-hunting/articles/heads-of-state-all-about-state-record-bucks" TargetMode="External"/><Relationship Id="rId1827" Type="http://schemas.openxmlformats.org/officeDocument/2006/relationships/hyperlink" Target="https://www.wideopenspaces.com/12-of-the-biggest-poached-deer-ever-stolen-from-law-abiding-hunters/" TargetMode="External"/><Relationship Id="rId1828" Type="http://schemas.openxmlformats.org/officeDocument/2006/relationships/hyperlink" Target="https://www.wideopenspaces.com/can-410-shotgun-slug-take-deer-check-video/" TargetMode="External"/><Relationship Id="rId1829" Type="http://schemas.openxmlformats.org/officeDocument/2006/relationships/hyperlink" Target="https://realtree.com/brow-tines-and-backstrap/when-you-should-pass-a-buck-and-when-you-shouldn-t" TargetMode="External"/><Relationship Id="rId1455" Type="http://schemas.openxmlformats.org/officeDocument/2006/relationships/hyperlink" Target="https://www.wideopenspaces.com/deer-sounds-making-sense-of-the-sounds-of-the-deer-woods/" TargetMode="External"/><Relationship Id="rId1456" Type="http://schemas.openxmlformats.org/officeDocument/2006/relationships/hyperlink" Target="https://realtree.com/deer-hunting/articles/the-meaning-of-deer-hunting-hunting-truth-in-life" TargetMode="External"/><Relationship Id="rId1457" Type="http://schemas.openxmlformats.org/officeDocument/2006/relationships/hyperlink" Target="https://www.wideopenspaces.com/tell-age-deer-pics/" TargetMode="External"/><Relationship Id="rId1458" Type="http://schemas.openxmlformats.org/officeDocument/2006/relationships/hyperlink" Target="https://realtree.com/deer-hunting/articles/7-serious-field-dressing-mistakes" TargetMode="External"/><Relationship Id="rId1459" Type="http://schemas.openxmlformats.org/officeDocument/2006/relationships/hyperlink" Target="https://www.wideopenspaces.com/field-dressing-deer-with-gloves/" TargetMode="External"/><Relationship Id="rId629" Type="http://schemas.openxmlformats.org/officeDocument/2006/relationships/hyperlink" Target="https://www.themeateater.com/wired-to-hunt/whitetail-hunting/how-the-whitetail-rut-differs-in-the-big-woods" TargetMode="External"/><Relationship Id="rId624" Type="http://schemas.openxmlformats.org/officeDocument/2006/relationships/hyperlink" Target="https://www.wideopenspaces.com/vacuum-sealing-venison/" TargetMode="External"/><Relationship Id="rId623" Type="http://schemas.openxmlformats.org/officeDocument/2006/relationships/hyperlink" Target="https://realtree.com/timber-2-table-articles/is-that-venison-freezer-burned" TargetMode="External"/><Relationship Id="rId622" Type="http://schemas.openxmlformats.org/officeDocument/2006/relationships/hyperlink" Target="https://www.themeateater.com/cook/butchering-and-processing/best-practices-for-freezing-meat" TargetMode="External"/><Relationship Id="rId621" Type="http://schemas.openxmlformats.org/officeDocument/2006/relationships/hyperlink" Target="https://www.wideopenspaces.com/treestand-vs-groundblind-when-and-where-you-should-use-either-one/" TargetMode="External"/><Relationship Id="rId628" Type="http://schemas.openxmlformats.org/officeDocument/2006/relationships/hyperlink" Target="https://realtree.com/all/articles/early-eats-mean-big-bucks" TargetMode="External"/><Relationship Id="rId627" Type="http://schemas.openxmlformats.org/officeDocument/2006/relationships/hyperlink" Target="https://www.themeateater.com/wired-to-hunt/whitetail-scouting/4-natural-food-sources-every-public-land-deer-hunter-should-know" TargetMode="External"/><Relationship Id="rId626" Type="http://schemas.openxmlformats.org/officeDocument/2006/relationships/hyperlink" Target="https://realtree.com/deer-hunting/articles/8-major-differences-between-whitetails-and-mule-deer" TargetMode="External"/><Relationship Id="rId625" Type="http://schemas.openxmlformats.org/officeDocument/2006/relationships/hyperlink" Target="https://www.themeateater.com/watch/6175627104001/steven-rinella-explains-how-the-mule-deer-species-evolved" TargetMode="External"/><Relationship Id="rId1450" Type="http://schemas.openxmlformats.org/officeDocument/2006/relationships/hyperlink" Target="https://realtree.com/brow-tines-and-backstrap/will-skyrocketing-corn-prices-affect-your-deer-season" TargetMode="External"/><Relationship Id="rId620" Type="http://schemas.openxmlformats.org/officeDocument/2006/relationships/hyperlink" Target="https://www.themeateater.com/wired-to-hunt/whitetail-scouting/how-to-set-up-a-ground-blind-that-wont-spook-deer" TargetMode="External"/><Relationship Id="rId1451" Type="http://schemas.openxmlformats.org/officeDocument/2006/relationships/hyperlink" Target="https://www.wideopenspaces.com/when-does-deer-season-end-in-texas/" TargetMode="External"/><Relationship Id="rId1452" Type="http://schemas.openxmlformats.org/officeDocument/2006/relationships/hyperlink" Target="https://realtree.com/brow-tines-and-backstrap/why-bucks-shed-antlers-and-how-to-hunt-them" TargetMode="External"/><Relationship Id="rId1453" Type="http://schemas.openxmlformats.org/officeDocument/2006/relationships/hyperlink" Target="https://www.wideopenspaces.com/deer-shed-antlers-pics/" TargetMode="External"/><Relationship Id="rId1454" Type="http://schemas.openxmlformats.org/officeDocument/2006/relationships/hyperlink" Target="https://www.wideopenspaces.com/pics-fully-assembled-deer-skeleton-is-eye-candy-for-the-whitetail-lover/" TargetMode="External"/><Relationship Id="rId1444" Type="http://schemas.openxmlformats.org/officeDocument/2006/relationships/hyperlink" Target="https://www.wideopenspaces.com/indiana-hunting-license/" TargetMode="External"/><Relationship Id="rId1445" Type="http://schemas.openxmlformats.org/officeDocument/2006/relationships/hyperlink" Target="https://realtree.com/deer-hunting/articles/10-tips-for-great-deer-pictures" TargetMode="External"/><Relationship Id="rId1446" Type="http://schemas.openxmlformats.org/officeDocument/2006/relationships/hyperlink" Target="https://oldforums.realtree.com/topic/109585-anyone-hunting-western-tn/" TargetMode="External"/><Relationship Id="rId1447" Type="http://schemas.openxmlformats.org/officeDocument/2006/relationships/hyperlink" Target="https://realtree.com/brow-tines-and-backstrap/why-bucks-shed-antlers-and-how-to-hunt-them" TargetMode="External"/><Relationship Id="rId1448" Type="http://schemas.openxmlformats.org/officeDocument/2006/relationships/hyperlink" Target="https://www.wideopenspaces.com/deer-shed-antlers-pics/" TargetMode="External"/><Relationship Id="rId1449" Type="http://schemas.openxmlformats.org/officeDocument/2006/relationships/hyperlink" Target="https://realtree.com/deer-hunting/rack-reports/2023/04/02/3-year-old-finds-monster-dead-buck-in-ohio" TargetMode="External"/><Relationship Id="rId619" Type="http://schemas.openxmlformats.org/officeDocument/2006/relationships/hyperlink" Target="https://www.wideopenspaces.com/8-homemade-hunting-blinds-pics/" TargetMode="External"/><Relationship Id="rId618" Type="http://schemas.openxmlformats.org/officeDocument/2006/relationships/hyperlink" Target="https://www.themeateater.com/hunt/whitetail-deer/photos-how-to-build-a-deer-blind-from-pallets" TargetMode="External"/><Relationship Id="rId613" Type="http://schemas.openxmlformats.org/officeDocument/2006/relationships/hyperlink" Target="https://www.themeateater.com/hunt/big-game/why-are-bucks-always-last-in-line" TargetMode="External"/><Relationship Id="rId612" Type="http://schemas.openxmlformats.org/officeDocument/2006/relationships/hyperlink" Target="https://www.wideopenspaces.com/deer-poop-identification/" TargetMode="External"/><Relationship Id="rId611" Type="http://schemas.openxmlformats.org/officeDocument/2006/relationships/hyperlink" Target="https://realtree.com/brow-tines-and-backstrap/everything-you-ever-wanted-to-know-about-deer-poop" TargetMode="External"/><Relationship Id="rId610" Type="http://schemas.openxmlformats.org/officeDocument/2006/relationships/hyperlink" Target="https://www.themeateater.com/wired-to-hunt/whitetail-scouting/fact-checker-can-you-identify-a-mature-buck-by-droppings" TargetMode="External"/><Relationship Id="rId617" Type="http://schemas.openxmlformats.org/officeDocument/2006/relationships/hyperlink" Target="https://www.wideopenspaces.com/venison-jerky-recipes/" TargetMode="External"/><Relationship Id="rId616" Type="http://schemas.openxmlformats.org/officeDocument/2006/relationships/hyperlink" Target="https://realtree.com/timber-2-table-wild-game-recipes/magic-chef-realtree-venison-jerky-recipe" TargetMode="External"/><Relationship Id="rId615" Type="http://schemas.openxmlformats.org/officeDocument/2006/relationships/hyperlink" Target="https://www.themeateater.com/cook/recipes/smoked-venison-jerky-recipe" TargetMode="External"/><Relationship Id="rId614" Type="http://schemas.openxmlformats.org/officeDocument/2006/relationships/hyperlink" Target="https://realtree.com/brow-tines-and-backstrap/4-things-to-know-about-whitetail-buck-bachelor-groups" TargetMode="External"/><Relationship Id="rId1440" Type="http://schemas.openxmlformats.org/officeDocument/2006/relationships/hyperlink" Target="https://www.wideopenspaces.com/black-deer-in-backyard-how-rare-is-this-color-variation/" TargetMode="External"/><Relationship Id="rId1441" Type="http://schemas.openxmlformats.org/officeDocument/2006/relationships/hyperlink" Target="https://www.wideopenspaces.com/best-deer-carts/" TargetMode="External"/><Relationship Id="rId1442" Type="http://schemas.openxmlformats.org/officeDocument/2006/relationships/hyperlink" Target="https://realtree.com/the-realblog-with-stephanie-mallory/taxidermist-discovers-third-eye-when-preparing-deer-for-european" TargetMode="External"/><Relationship Id="rId1443" Type="http://schemas.openxmlformats.org/officeDocument/2006/relationships/hyperlink" Target="https://realtree.com/brow-tines-and-backstrap/2022-midwest-deer-hunting-forecast" TargetMode="External"/><Relationship Id="rId1477" Type="http://schemas.openxmlformats.org/officeDocument/2006/relationships/hyperlink" Target="https://realtree.com/deer-hunting/articles/15-tips-for-opening-day-of-gun-season" TargetMode="External"/><Relationship Id="rId1478" Type="http://schemas.openxmlformats.org/officeDocument/2006/relationships/hyperlink" Target="https://www.wideopenspaces.com/when-does-deer-season-end-in-texas/" TargetMode="External"/><Relationship Id="rId1479" Type="http://schemas.openxmlformats.org/officeDocument/2006/relationships/hyperlink" Target="https://realtree.com/brow-tines-and-backstrap/2022-southeast-deer-hunting-forecast" TargetMode="External"/><Relationship Id="rId646" Type="http://schemas.openxmlformats.org/officeDocument/2006/relationships/hyperlink" Target="https://www.wideopenspaces.com/where-to-shoot-a-deer-for-the-best-odds-of-a-quick-kill/" TargetMode="External"/><Relationship Id="rId645" Type="http://schemas.openxmlformats.org/officeDocument/2006/relationships/hyperlink" Target="https://realtree.com/deer-hunting/articles/the-best-shot-placement-on-deer" TargetMode="External"/><Relationship Id="rId644" Type="http://schemas.openxmlformats.org/officeDocument/2006/relationships/hyperlink" Target="https://www.themeateater.com/wired-to-hunt/whitetail-hunting/where-to-shoot-a-deer" TargetMode="External"/><Relationship Id="rId643" Type="http://schemas.openxmlformats.org/officeDocument/2006/relationships/hyperlink" Target="https://realtree.com/deer-hunting/articles/5-rut-buck-behaviors-you-should-recognize" TargetMode="External"/><Relationship Id="rId649" Type="http://schemas.openxmlformats.org/officeDocument/2006/relationships/hyperlink" Target="https://www.themeateater.com/wired-to-hunt/whitetail-hunting/where-to-shoot-a-deer" TargetMode="External"/><Relationship Id="rId648" Type="http://schemas.openxmlformats.org/officeDocument/2006/relationships/hyperlink" Target="https://realtree.com/timber-2-table-wild-game-recipes/how-to-cape-a-deer" TargetMode="External"/><Relationship Id="rId647" Type="http://schemas.openxmlformats.org/officeDocument/2006/relationships/hyperlink" Target="https://www.themeateater.com/hunt/big-game/what-to-do-when-you-plan-on-getting-a-deer-mounted" TargetMode="External"/><Relationship Id="rId1470" Type="http://schemas.openxmlformats.org/officeDocument/2006/relationships/hyperlink" Target="https://www.wideopenspaces.com/top-5-venison-chili-recipe/" TargetMode="External"/><Relationship Id="rId1471" Type="http://schemas.openxmlformats.org/officeDocument/2006/relationships/hyperlink" Target="https://realtree.com/deer-hunting/articles/10-tips-for-great-deer-pictures" TargetMode="External"/><Relationship Id="rId1472" Type="http://schemas.openxmlformats.org/officeDocument/2006/relationships/hyperlink" Target="https://realtree.com/brow-tines-and-backstrap/2022-southeast-deer-hunting-forecast" TargetMode="External"/><Relationship Id="rId642" Type="http://schemas.openxmlformats.org/officeDocument/2006/relationships/hyperlink" Target="https://www.themeateater.com/wired-to-hunt/whitetail-hunting/how-to-hunt-the-whitetail-rut-in-big-woods" TargetMode="External"/><Relationship Id="rId1473" Type="http://schemas.openxmlformats.org/officeDocument/2006/relationships/hyperlink" Target="https://www.wideopenspaces.com/the-best-3d-archery-targets/" TargetMode="External"/><Relationship Id="rId641" Type="http://schemas.openxmlformats.org/officeDocument/2006/relationships/hyperlink" Target="https://www.wideopenspaces.com/what-are-the-best-deer-hunting-times-throughout-the-day/" TargetMode="External"/><Relationship Id="rId1474" Type="http://schemas.openxmlformats.org/officeDocument/2006/relationships/hyperlink" Target="https://realtree.com/brow-tines-and-backstrap/10-amazing-facts-about-velvet-antlers" TargetMode="External"/><Relationship Id="rId640" Type="http://schemas.openxmlformats.org/officeDocument/2006/relationships/hyperlink" Target="https://realtree.com/deer-hunting/articles/10-best-times-to-deer-hunt" TargetMode="External"/><Relationship Id="rId1475" Type="http://schemas.openxmlformats.org/officeDocument/2006/relationships/hyperlink" Target="https://realtree.com/brow-tines-and-backstrap/will-ehd-be-a-factor-this-deer-season" TargetMode="External"/><Relationship Id="rId1476" Type="http://schemas.openxmlformats.org/officeDocument/2006/relationships/hyperlink" Target="https://www.wideopenspaces.com/indiana-shotgun-deer-season/" TargetMode="External"/><Relationship Id="rId1466" Type="http://schemas.openxmlformats.org/officeDocument/2006/relationships/hyperlink" Target="https://www.wideopenspaces.com/tripod-treestand/" TargetMode="External"/><Relationship Id="rId1467" Type="http://schemas.openxmlformats.org/officeDocument/2006/relationships/hyperlink" Target="https://realtree.com/brow-tines-and-backstrap/debate-settled-deep-south-deer-are-the-toughest-to-hunt" TargetMode="External"/><Relationship Id="rId1468" Type="http://schemas.openxmlformats.org/officeDocument/2006/relationships/hyperlink" Target="https://realtree.com/brow-tines-and-backstrap/10-amazing-facts-about-velvet-antlers" TargetMode="External"/><Relationship Id="rId1469" Type="http://schemas.openxmlformats.org/officeDocument/2006/relationships/hyperlink" Target="https://realtree.com/timber-2-table-wild-game-recipes/contest-winning-venison-chili-recipe" TargetMode="External"/><Relationship Id="rId635" Type="http://schemas.openxmlformats.org/officeDocument/2006/relationships/hyperlink" Target="https://www.wideopenspaces.com/deer-tracks-identification/" TargetMode="External"/><Relationship Id="rId634" Type="http://schemas.openxmlformats.org/officeDocument/2006/relationships/hyperlink" Target="https://www.themeateater.com/wired-to-hunt/whitetail-scouting/what-you-need-to-know-about-deer-tracks" TargetMode="External"/><Relationship Id="rId633" Type="http://schemas.openxmlformats.org/officeDocument/2006/relationships/hyperlink" Target="https://www.wideopenspaces.com/what-are-the-best-deer-hunting-times-throughout-the-day/" TargetMode="External"/><Relationship Id="rId632" Type="http://schemas.openxmlformats.org/officeDocument/2006/relationships/hyperlink" Target="https://realtree.com/deer-hunting/articles/10-best-times-to-deer-hunt" TargetMode="External"/><Relationship Id="rId639" Type="http://schemas.openxmlformats.org/officeDocument/2006/relationships/hyperlink" Target="https://www.themeateater.com/wired-to-hunt/whitetail-hunting/does-temperature-affect-deer-movement" TargetMode="External"/><Relationship Id="rId638" Type="http://schemas.openxmlformats.org/officeDocument/2006/relationships/hyperlink" Target="https://store.themeateater.com/products/mule-deer-foundation-donation.html?lang=en_US" TargetMode="External"/><Relationship Id="rId637" Type="http://schemas.openxmlformats.org/officeDocument/2006/relationships/hyperlink" Target="https://www.wideopenspaces.com/you-actually-dont-have-to-know-how-to-butcher-a-deer-completely/" TargetMode="External"/><Relationship Id="rId636" Type="http://schemas.openxmlformats.org/officeDocument/2006/relationships/hyperlink" Target="https://www.themeateater.com/watch/6258237862001/s6-e06-cooking-special-butchering-a-whole-deer" TargetMode="External"/><Relationship Id="rId1460" Type="http://schemas.openxmlformats.org/officeDocument/2006/relationships/hyperlink" Target="https://realtree.com/brow-tines-and-backstrap/how-long-do-white-tailed-deer-live" TargetMode="External"/><Relationship Id="rId1461" Type="http://schemas.openxmlformats.org/officeDocument/2006/relationships/hyperlink" Target="https://www.wideopenspaces.com/lifespan-whitetail-deer/" TargetMode="External"/><Relationship Id="rId631" Type="http://schemas.openxmlformats.org/officeDocument/2006/relationships/hyperlink" Target="https://www.themeateater.com/wired-to-hunt/whitetail-hunting/do-mornings-or-evenings-make-better-rut-hunts" TargetMode="External"/><Relationship Id="rId1462" Type="http://schemas.openxmlformats.org/officeDocument/2006/relationships/hyperlink" Target="https://www.wideopenspaces.com/missouri-deer-hunting-all-to-know-about-this-buck-buck-paradise/" TargetMode="External"/><Relationship Id="rId630" Type="http://schemas.openxmlformats.org/officeDocument/2006/relationships/hyperlink" Target="https://realtree.com/brow-tines-and-backstrap/10-facts-about-the-whitetail-rut" TargetMode="External"/><Relationship Id="rId1463" Type="http://schemas.openxmlformats.org/officeDocument/2006/relationships/hyperlink" Target="https://realtree.com/brow-tines-and-backstrap/2022-southeast-deer-hunting-forecast" TargetMode="External"/><Relationship Id="rId1464" Type="http://schemas.openxmlformats.org/officeDocument/2006/relationships/hyperlink" Target="https://realtree.com/the-realblog-with-stephanie-mallory/red-stag-spotted-on-georgia-game-cameras" TargetMode="External"/><Relationship Id="rId1465" Type="http://schemas.openxmlformats.org/officeDocument/2006/relationships/hyperlink" Target="https://www.wideopenspaces.com/the-difference-between-a-bull-elk-and-a-red-stag/" TargetMode="External"/><Relationship Id="rId1411" Type="http://schemas.openxmlformats.org/officeDocument/2006/relationships/hyperlink" Target="https://www.themeateater.com/hunt/big-game/what-to-do-when-you-plan-on-getting-a-deer-mounted" TargetMode="External"/><Relationship Id="rId1895" Type="http://schemas.openxmlformats.org/officeDocument/2006/relationships/hyperlink" Target="https://www.wideopenspaces.com/mn-deer-hunting-zones/" TargetMode="External"/><Relationship Id="rId1412" Type="http://schemas.openxmlformats.org/officeDocument/2006/relationships/hyperlink" Target="https://realtree.com/brow-tines-and-backstrap/how-long-should-deer-taxidermy-take" TargetMode="External"/><Relationship Id="rId1896" Type="http://schemas.openxmlformats.org/officeDocument/2006/relationships/hyperlink" Target="https://realtree.com/brow-tines-and-backstrap/2022-midwest-deer-hunting-forecast" TargetMode="External"/><Relationship Id="rId1413" Type="http://schemas.openxmlformats.org/officeDocument/2006/relationships/hyperlink" Target="https://www.wideopenspaces.com/deer-taxidermy-options/" TargetMode="External"/><Relationship Id="rId1897" Type="http://schemas.openxmlformats.org/officeDocument/2006/relationships/hyperlink" Target="https://www.wideopenspaces.com/missouri-deer-hunting-all-to-know-about-this-buck-buck-paradise/" TargetMode="External"/><Relationship Id="rId1414" Type="http://schemas.openxmlformats.org/officeDocument/2006/relationships/hyperlink" Target="https://www.themeateater.com/wired-to-hunt/whitetail-hunting-gear/what-ive-learned-from-missing-so-many-deer" TargetMode="External"/><Relationship Id="rId1898" Type="http://schemas.openxmlformats.org/officeDocument/2006/relationships/hyperlink" Target="https://www.wideopenspaces.com/missouri-deer-hunting-all-to-know-about-this-buck-buck-paradise/" TargetMode="External"/><Relationship Id="rId1415" Type="http://schemas.openxmlformats.org/officeDocument/2006/relationships/hyperlink" Target="https://www.wideopenspaces.com/invasion-axis-deer/" TargetMode="External"/><Relationship Id="rId1899" Type="http://schemas.openxmlformats.org/officeDocument/2006/relationships/hyperlink" Target="https://www.wideopenspaces.com/mn-deer-hunting-zones/" TargetMode="External"/><Relationship Id="rId1416" Type="http://schemas.openxmlformats.org/officeDocument/2006/relationships/hyperlink" Target="https://www.wideopenspaces.com/how-to-clean-a-deer-skull/" TargetMode="External"/><Relationship Id="rId1417" Type="http://schemas.openxmlformats.org/officeDocument/2006/relationships/hyperlink" Target="https://www.wideopenspaces.com/rare-piebald-deer-herd/" TargetMode="External"/><Relationship Id="rId1418" Type="http://schemas.openxmlformats.org/officeDocument/2006/relationships/hyperlink" Target="https://realtree.com/brow-tines-and-backstrap/10-amazing-facts-about-velvet-antlers" TargetMode="External"/><Relationship Id="rId1419" Type="http://schemas.openxmlformats.org/officeDocument/2006/relationships/hyperlink" Target="https://realtree.com/brow-tines-and-backstrap/how-to-make-a-homemade-deer-feeder" TargetMode="External"/><Relationship Id="rId1890" Type="http://schemas.openxmlformats.org/officeDocument/2006/relationships/hyperlink" Target="https://www.wideopenspaces.com/deer-shed-antlers-pics/" TargetMode="External"/><Relationship Id="rId1891" Type="http://schemas.openxmlformats.org/officeDocument/2006/relationships/hyperlink" Target="https://www.wideopenspaces.com/michigan-muzzleloader-season/" TargetMode="External"/><Relationship Id="rId1892" Type="http://schemas.openxmlformats.org/officeDocument/2006/relationships/hyperlink" Target="https://www.wideopenspaces.com/michigan-deer-combo-license-explained/" TargetMode="External"/><Relationship Id="rId1893" Type="http://schemas.openxmlformats.org/officeDocument/2006/relationships/hyperlink" Target="https://www.wideopenspaces.com/mn-deer-hunting-zones/" TargetMode="External"/><Relationship Id="rId1410" Type="http://schemas.openxmlformats.org/officeDocument/2006/relationships/hyperlink" Target="https://www.themeateater.com/wired-to-hunt/whitetail-management/what-the-cwd-bill-means-for-deer-and-deer-hunters" TargetMode="External"/><Relationship Id="rId1894" Type="http://schemas.openxmlformats.org/officeDocument/2006/relationships/hyperlink" Target="https://realtree.com/brow-tines-and-backstrap/2022-midwest-deer-hunting-forecast" TargetMode="External"/><Relationship Id="rId1400" Type="http://schemas.openxmlformats.org/officeDocument/2006/relationships/hyperlink" Target="https://www.themeateater.com/conservation/policy-and-legislation/virginia-finally-ends-sunday-hunting-ban" TargetMode="External"/><Relationship Id="rId1884" Type="http://schemas.openxmlformats.org/officeDocument/2006/relationships/hyperlink" Target="https://www.wideopenspaces.com/whitetailwednesday-15-hilarious-deer-hunting-memes-true/" TargetMode="External"/><Relationship Id="rId1401" Type="http://schemas.openxmlformats.org/officeDocument/2006/relationships/hyperlink" Target="https://realtree.com/deer-hunting/articles/the-best-times-to-deer-hunt-in-2022" TargetMode="External"/><Relationship Id="rId1885" Type="http://schemas.openxmlformats.org/officeDocument/2006/relationships/hyperlink" Target="https://www.wideopenspaces.com/georgia-deer-hunting/" TargetMode="External"/><Relationship Id="rId1402" Type="http://schemas.openxmlformats.org/officeDocument/2006/relationships/hyperlink" Target="https://www.themeateater.com/" TargetMode="External"/><Relationship Id="rId1886" Type="http://schemas.openxmlformats.org/officeDocument/2006/relationships/hyperlink" Target="https://www.wideopenspaces.com/10-best-valentines-day-gifts-hunter/" TargetMode="External"/><Relationship Id="rId1403" Type="http://schemas.openxmlformats.org/officeDocument/2006/relationships/hyperlink" Target="https://www.themeateater.com/cook/cooking-techniques/5-organs-you-should-save-from-deer" TargetMode="External"/><Relationship Id="rId1887" Type="http://schemas.openxmlformats.org/officeDocument/2006/relationships/hyperlink" Target="https://realtree.com/brow-tines-and-backstrap/8-things-you-can-use-to-bait-deer" TargetMode="External"/><Relationship Id="rId1404" Type="http://schemas.openxmlformats.org/officeDocument/2006/relationships/hyperlink" Target="https://realtree.com/the-realblog-with-stephanie-mallory/did-you-know-deer-eat-meat" TargetMode="External"/><Relationship Id="rId1888" Type="http://schemas.openxmlformats.org/officeDocument/2006/relationships/hyperlink" Target="https://realtree.com/brow-tines-and-backstrap/how-long-do-white-tailed-deer-live" TargetMode="External"/><Relationship Id="rId1405" Type="http://schemas.openxmlformats.org/officeDocument/2006/relationships/hyperlink" Target="https://www.wideopenspaces.com/do-deer-eat-meat/" TargetMode="External"/><Relationship Id="rId1889" Type="http://schemas.openxmlformats.org/officeDocument/2006/relationships/hyperlink" Target="https://realtree.com/brow-tines-and-backstrap/why-are-some-bucks-shedding-antlers-early" TargetMode="External"/><Relationship Id="rId1406" Type="http://schemas.openxmlformats.org/officeDocument/2006/relationships/hyperlink" Target="https://www.themeateater.com/wired-to-hunt/whitetail-management/what-you-need-to-know-about-minerals-for-deer" TargetMode="External"/><Relationship Id="rId1407" Type="http://schemas.openxmlformats.org/officeDocument/2006/relationships/hyperlink" Target="https://realtree.com/deer-hunting/articles/do-your-deer-need-minerals" TargetMode="External"/><Relationship Id="rId1408" Type="http://schemas.openxmlformats.org/officeDocument/2006/relationships/hyperlink" Target="https://www.themeateater.com/wired-to-hunt/whitetail-management/whitetails-and-mulies-a-comparison" TargetMode="External"/><Relationship Id="rId1409" Type="http://schemas.openxmlformats.org/officeDocument/2006/relationships/hyperlink" Target="https://www.themeateater.com/" TargetMode="External"/><Relationship Id="rId1880" Type="http://schemas.openxmlformats.org/officeDocument/2006/relationships/hyperlink" Target="https://realtree.com/deer-hunting" TargetMode="External"/><Relationship Id="rId1881" Type="http://schemas.openxmlformats.org/officeDocument/2006/relationships/hyperlink" Target="https://www.wideopenspaces.com/what-do-foxes-eat/" TargetMode="External"/><Relationship Id="rId1882" Type="http://schemas.openxmlformats.org/officeDocument/2006/relationships/hyperlink" Target="https://realtree.com/deer-hunting/articles/8-major-differences-between-whitetails-and-mule-deer" TargetMode="External"/><Relationship Id="rId1883" Type="http://schemas.openxmlformats.org/officeDocument/2006/relationships/hyperlink" Target="https://realtree.com/deer-hunting/articles/blunders-afield-funny-and-weird-mistakes-that-cost-me-deer" TargetMode="External"/><Relationship Id="rId1433" Type="http://schemas.openxmlformats.org/officeDocument/2006/relationships/hyperlink" Target="https://realtree.com/brow-tines-and-backstrap/2022-midwest-deer-hunting-forecast" TargetMode="External"/><Relationship Id="rId1434" Type="http://schemas.openxmlformats.org/officeDocument/2006/relationships/hyperlink" Target="https://www.wideopenspaces.com/when-does-deer-season-end-in-missouri/" TargetMode="External"/><Relationship Id="rId1435" Type="http://schemas.openxmlformats.org/officeDocument/2006/relationships/hyperlink" Target="https://www.wideopenspaces.com/tripod-treestand/" TargetMode="External"/><Relationship Id="rId1436" Type="http://schemas.openxmlformats.org/officeDocument/2006/relationships/hyperlink" Target="https://realtree.com/all/articles/just-add-water" TargetMode="External"/><Relationship Id="rId1437" Type="http://schemas.openxmlformats.org/officeDocument/2006/relationships/hyperlink" Target="https://realtree.com/the-realblog-with-stephanie-mallory/did-you-know-deer-eat-meat" TargetMode="External"/><Relationship Id="rId1438" Type="http://schemas.openxmlformats.org/officeDocument/2006/relationships/hyperlink" Target="https://www.wideopenspaces.com/do-deer-eat-meat/" TargetMode="External"/><Relationship Id="rId1439" Type="http://schemas.openxmlformats.org/officeDocument/2006/relationships/hyperlink" Target="https://realtree.com/brow-tines-and-backstrap/have-you-ever-seen-a-melanistic-whitetail" TargetMode="External"/><Relationship Id="rId609" Type="http://schemas.openxmlformats.org/officeDocument/2006/relationships/hyperlink" Target="https://www.wideopenspaces.com/best-mule-deer-hunting-states/" TargetMode="External"/><Relationship Id="rId608" Type="http://schemas.openxmlformats.org/officeDocument/2006/relationships/hyperlink" Target="https://www.themeateater.com/hunt/big-game/ask-meateater-where-should-i-go-on-my-first-mule-deer-hunt" TargetMode="External"/><Relationship Id="rId607" Type="http://schemas.openxmlformats.org/officeDocument/2006/relationships/hyperlink" Target="https://realtree.com/timber-2-table-articles/meat-hunter-s-rules-for-shooting-the-right-deer" TargetMode="External"/><Relationship Id="rId602" Type="http://schemas.openxmlformats.org/officeDocument/2006/relationships/hyperlink" Target="https://www.wideopenspaces.com/what-are-the-best-deer-hunting-times-throughout-the-day/" TargetMode="External"/><Relationship Id="rId601" Type="http://schemas.openxmlformats.org/officeDocument/2006/relationships/hyperlink" Target="https://www.themeateater.com/hunt/whitetail-deer/americas-worst-deer-hunting-law-could-change-next-week" TargetMode="External"/><Relationship Id="rId600" Type="http://schemas.openxmlformats.org/officeDocument/2006/relationships/hyperlink" Target="https://www.themeateater.com/watch/6252076018001/s2-e03-big-beautiful-bucks-colorado-mule-deer" TargetMode="External"/><Relationship Id="rId606" Type="http://schemas.openxmlformats.org/officeDocument/2006/relationships/hyperlink" Target="https://www.themeateater.com/cook/butchering-and-processing/how-much-fat-should-you-add-to-ground-venison" TargetMode="External"/><Relationship Id="rId605" Type="http://schemas.openxmlformats.org/officeDocument/2006/relationships/hyperlink" Target="https://www.wideopenspaces.com/what-are-the-best-deer-hunting-times-throughout-the-day/" TargetMode="External"/><Relationship Id="rId604" Type="http://schemas.openxmlformats.org/officeDocument/2006/relationships/hyperlink" Target="https://realtree.com/deer-hunting/articles/the-best-times-to-deer-hunt-in-2022" TargetMode="External"/><Relationship Id="rId603" Type="http://schemas.openxmlformats.org/officeDocument/2006/relationships/hyperlink" Target="https://www.themeateater.com/watch/6280954363001/s1-e25-does-wind-actually-impact-deer-movement" TargetMode="External"/><Relationship Id="rId1430" Type="http://schemas.openxmlformats.org/officeDocument/2006/relationships/hyperlink" Target="https://realtree.com/brow-tines-and-backstrap/when-to-draw-your-bow-on-deer" TargetMode="External"/><Relationship Id="rId1431" Type="http://schemas.openxmlformats.org/officeDocument/2006/relationships/hyperlink" Target="https://realtree.com/timber-2-table-articles/5-things-your-deer-processor-hates" TargetMode="External"/><Relationship Id="rId1432" Type="http://schemas.openxmlformats.org/officeDocument/2006/relationships/hyperlink" Target="https://realtree.com/deer-hunting/articles/the-best-times-to-deer-hunt-in-2022" TargetMode="External"/><Relationship Id="rId1422" Type="http://schemas.openxmlformats.org/officeDocument/2006/relationships/hyperlink" Target="https://realtree.com/brow-tines-and-backstrap/will-skyrocketing-corn-prices-affect-your-deer-season" TargetMode="External"/><Relationship Id="rId1423" Type="http://schemas.openxmlformats.org/officeDocument/2006/relationships/hyperlink" Target="https://realtree.com/brow-tines-and-backstrap/10-amazing-facts-about-velvet-antlers" TargetMode="External"/><Relationship Id="rId1424" Type="http://schemas.openxmlformats.org/officeDocument/2006/relationships/hyperlink" Target="https://realtree.com/brow-tines-and-backstrap/will-ehd-be-a-factor-this-deer-season" TargetMode="External"/><Relationship Id="rId1425" Type="http://schemas.openxmlformats.org/officeDocument/2006/relationships/hyperlink" Target="https://www.wideopenspaces.com/deer-feeding-times/" TargetMode="External"/><Relationship Id="rId1426" Type="http://schemas.openxmlformats.org/officeDocument/2006/relationships/hyperlink" Target="https://realtree.com/brow-tines-and-backstrap/how-long-should-deer-taxidermy-take" TargetMode="External"/><Relationship Id="rId1427" Type="http://schemas.openxmlformats.org/officeDocument/2006/relationships/hyperlink" Target="https://realtree.com/all/articles/antler-trivia" TargetMode="External"/><Relationship Id="rId1428" Type="http://schemas.openxmlformats.org/officeDocument/2006/relationships/hyperlink" Target="https://realtree.com/timber-2-table-articles/5-things-your-deer-processor-hates" TargetMode="External"/><Relationship Id="rId1429" Type="http://schemas.openxmlformats.org/officeDocument/2006/relationships/hyperlink" Target="https://realtree.com/deer-hunting/articles/5-characteristics-of-adult-does" TargetMode="External"/><Relationship Id="rId1420" Type="http://schemas.openxmlformats.org/officeDocument/2006/relationships/hyperlink" Target="https://realtree.com/brow-tines-and-backstrap/when-to-draw-your-bow-on-deer" TargetMode="External"/><Relationship Id="rId1421" Type="http://schemas.openxmlformats.org/officeDocument/2006/relationships/hyperlink" Target="https://www.wideopenspaces.com/whitetailwednesday-should-we-shoot-albino-and-piebald-deer/" TargetMode="External"/><Relationship Id="rId1059" Type="http://schemas.openxmlformats.org/officeDocument/2006/relationships/hyperlink" Target="https://realtree.com/brow-tines-and-backstrap/just-how-bad-has-winter-kill-been-on-deer-this-year" TargetMode="External"/><Relationship Id="rId228" Type="http://schemas.openxmlformats.org/officeDocument/2006/relationships/hyperlink" Target="https://www.wideopenspaces.com/how-long-can-it-realistically-take-a-beginner-to-kill-a-deer-with-a-crossbow/" TargetMode="External"/><Relationship Id="rId227" Type="http://schemas.openxmlformats.org/officeDocument/2006/relationships/hyperlink" Target="https://realtree.com/brow-tines-and-backstrap/5-tips-for-better-crossbow-hunting" TargetMode="External"/><Relationship Id="rId226" Type="http://schemas.openxmlformats.org/officeDocument/2006/relationships/hyperlink" Target="https://www.themeateater.com/wired-to-hunt/whitetail-hunting-gear/is-crossbow-hunting-really-archery-hunting" TargetMode="External"/><Relationship Id="rId225" Type="http://schemas.openxmlformats.org/officeDocument/2006/relationships/hyperlink" Target="https://realtree.com/big-game-hunting/articles/5-things-to-know-about-big-mule-deer" TargetMode="External"/><Relationship Id="rId229" Type="http://schemas.openxmlformats.org/officeDocument/2006/relationships/hyperlink" Target="https://www.themeateater.com/wired-to-hunt/whitetail-hunting/3-grunt-call-vocalizations-every-whitetail-hunter-should-know" TargetMode="External"/><Relationship Id="rId1050" Type="http://schemas.openxmlformats.org/officeDocument/2006/relationships/hyperlink" Target="https://www.themeateater.com/hunt/big-game/ask-meateater-where-should-i-go-on-my-first-mule-deer-hunt" TargetMode="External"/><Relationship Id="rId220" Type="http://schemas.openxmlformats.org/officeDocument/2006/relationships/hyperlink" Target="https://realtree.com/deer-hunting/articles/8-major-differences-between-whitetails-and-mule-deer" TargetMode="External"/><Relationship Id="rId1051" Type="http://schemas.openxmlformats.org/officeDocument/2006/relationships/hyperlink" Target="https://www.wideopenspaces.com/mule-deer-hunt-velvet-mule-deer/" TargetMode="External"/><Relationship Id="rId1052" Type="http://schemas.openxmlformats.org/officeDocument/2006/relationships/hyperlink" Target="https://www.themeateater.com/hunt/big-game/ask-meateater-where-should-i-go-on-my-first-mule-deer-hunt" TargetMode="External"/><Relationship Id="rId1053" Type="http://schemas.openxmlformats.org/officeDocument/2006/relationships/hyperlink" Target="https://realtree.com/deer-hunting/articles/where-to-deer-hunt-in-february" TargetMode="External"/><Relationship Id="rId1054" Type="http://schemas.openxmlformats.org/officeDocument/2006/relationships/hyperlink" Target="https://www.wideopenspaces.com/what-are-the-best-deer-hunting-times-throughout-the-day/" TargetMode="External"/><Relationship Id="rId224" Type="http://schemas.openxmlformats.org/officeDocument/2006/relationships/hyperlink" Target="https://www.themeateater.com/watch/6290992279001/how-to-score-a-mule-deer-buck" TargetMode="External"/><Relationship Id="rId1055" Type="http://schemas.openxmlformats.org/officeDocument/2006/relationships/hyperlink" Target="https://www.themeateater.com/wired-to-hunt/whitetail-hunting/the-debate-about-lunar-effects-on-whitetails" TargetMode="External"/><Relationship Id="rId223" Type="http://schemas.openxmlformats.org/officeDocument/2006/relationships/hyperlink" Target="https://realtree.com/timber-2-table-wild-game-recipes/black-pepper-and-honey-deer-steak-bites-recipe" TargetMode="External"/><Relationship Id="rId1056" Type="http://schemas.openxmlformats.org/officeDocument/2006/relationships/hyperlink" Target="https://realtree.com/deer-hunting/articles/10-best-times-to-deer-hunt" TargetMode="External"/><Relationship Id="rId222" Type="http://schemas.openxmlformats.org/officeDocument/2006/relationships/hyperlink" Target="https://www.themeateater.com/wild-and-whole/wild-recipes/butter-basted-venison-steaks-recipe" TargetMode="External"/><Relationship Id="rId1057" Type="http://schemas.openxmlformats.org/officeDocument/2006/relationships/hyperlink" Target="https://www.wideopenspaces.com/what-are-the-best-deer-hunting-times-throughout-the-day/" TargetMode="External"/><Relationship Id="rId221" Type="http://schemas.openxmlformats.org/officeDocument/2006/relationships/hyperlink" Target="https://www.wideopenspaces.com/whitetail-vs-mule-deer-the-differences-why-you-should-hunt-them-and-which-is-best/" TargetMode="External"/><Relationship Id="rId1058" Type="http://schemas.openxmlformats.org/officeDocument/2006/relationships/hyperlink" Target="https://www.themeateater.com/cook/butchering-and-processing/do-you-need-to-bleed-deer" TargetMode="External"/><Relationship Id="rId1048" Type="http://schemas.openxmlformats.org/officeDocument/2006/relationships/hyperlink" Target="https://realtree.com/brow-tines-and-backstrap/10-feeding-habits-of-mature-deer" TargetMode="External"/><Relationship Id="rId1049" Type="http://schemas.openxmlformats.org/officeDocument/2006/relationships/hyperlink" Target="https://www.wideopenspaces.com/what-do-deer-eat/" TargetMode="External"/><Relationship Id="rId217" Type="http://schemas.openxmlformats.org/officeDocument/2006/relationships/hyperlink" Target="https://www.themeateater.com/hunt/big-game/how-to-hang-and-skin-a-deer-in-the-field" TargetMode="External"/><Relationship Id="rId216" Type="http://schemas.openxmlformats.org/officeDocument/2006/relationships/hyperlink" Target="https://www.themeateater.com/conservation/wildlife-management/why-do-female-deer-sometimes-grow-antlers" TargetMode="External"/><Relationship Id="rId215" Type="http://schemas.openxmlformats.org/officeDocument/2006/relationships/hyperlink" Target="https://www.themeateater.com/wired-to-hunt/whitetail-hunting/deer-vision-how-whitetails-see-color-light-and-movement" TargetMode="External"/><Relationship Id="rId699" Type="http://schemas.openxmlformats.org/officeDocument/2006/relationships/hyperlink" Target="https://www.themeateater.com/wired-to-hunt/whitetail-hunting/the-debate-about-lunar-effects-on-whitetails" TargetMode="External"/><Relationship Id="rId214" Type="http://schemas.openxmlformats.org/officeDocument/2006/relationships/hyperlink" Target="https://www.wideopenspaces.com/whitetail-vs-mule-deer-the-differences-why-you-should-hunt-them-and-which-is-best/" TargetMode="External"/><Relationship Id="rId698" Type="http://schemas.openxmlformats.org/officeDocument/2006/relationships/hyperlink" Target="https://www.themeateater.com/hunt/black-tailed-deer/a-guide-to-hunting-blacktail-deer" TargetMode="External"/><Relationship Id="rId219" Type="http://schemas.openxmlformats.org/officeDocument/2006/relationships/hyperlink" Target="https://www.themeateater.com/wired-to-hunt/whitetail-management/whitetails-and-mulies-a-comparison" TargetMode="External"/><Relationship Id="rId218" Type="http://schemas.openxmlformats.org/officeDocument/2006/relationships/hyperlink" Target="https://realtree.com/timber-2-table-wild-game-recipes/how-to-skin-a-deer-in-6-steps" TargetMode="External"/><Relationship Id="rId693" Type="http://schemas.openxmlformats.org/officeDocument/2006/relationships/hyperlink" Target="https://realtree.com/timber-2-table-wild-game-recipes/bourbon-buttermilk-fried-deer-tenderloin" TargetMode="External"/><Relationship Id="rId1040" Type="http://schemas.openxmlformats.org/officeDocument/2006/relationships/hyperlink" Target="https://www.themeateater.com/cook/butchering-and-processing/how-much-fat-should-you-add-to-ground-venison" TargetMode="External"/><Relationship Id="rId692" Type="http://schemas.openxmlformats.org/officeDocument/2006/relationships/hyperlink" Target="https://www.themeateater.com/wild-and-whole/wild-recipes/butter-basted-venison-steaks-recipe" TargetMode="External"/><Relationship Id="rId1041" Type="http://schemas.openxmlformats.org/officeDocument/2006/relationships/hyperlink" Target="https://realtree.com/deer-hunting/articles/12-reasons-why-your-venison-tastes-like-hell" TargetMode="External"/><Relationship Id="rId691" Type="http://schemas.openxmlformats.org/officeDocument/2006/relationships/hyperlink" Target="https://realtree.com/food-plots-and-land-management/galleries/how-to-plant-a-micro-kill-plot-for-deer" TargetMode="External"/><Relationship Id="rId1042" Type="http://schemas.openxmlformats.org/officeDocument/2006/relationships/hyperlink" Target="https://www.themeateater.com/hunt/whitetail-deer/video-rutting-buck-makes-crazy-vocalizations" TargetMode="External"/><Relationship Id="rId690" Type="http://schemas.openxmlformats.org/officeDocument/2006/relationships/hyperlink" Target="https://www.themeateater.com/wired-to-hunt/whitetail-management/how-to-plant-a-food-plot-on-a-budget" TargetMode="External"/><Relationship Id="rId1043" Type="http://schemas.openxmlformats.org/officeDocument/2006/relationships/hyperlink" Target="https://www.wideopenspaces.com/deer-sounds-making-sense-of-the-sounds-of-the-deer-woods/" TargetMode="External"/><Relationship Id="rId213" Type="http://schemas.openxmlformats.org/officeDocument/2006/relationships/hyperlink" Target="https://realtree.com/deer-hunting/articles/8-major-differences-between-whitetails-and-mule-deer" TargetMode="External"/><Relationship Id="rId697" Type="http://schemas.openxmlformats.org/officeDocument/2006/relationships/hyperlink" Target="https://www.wideopenspaces.com/heres-a-video-showing-how-much-meat-you-should-expect-from-a-whitetail-deer/" TargetMode="External"/><Relationship Id="rId1044" Type="http://schemas.openxmlformats.org/officeDocument/2006/relationships/hyperlink" Target="https://www.themeateater.com/hunt/whitetail-deer/is-this-50-point-whitetail-the-new-world-record" TargetMode="External"/><Relationship Id="rId212" Type="http://schemas.openxmlformats.org/officeDocument/2006/relationships/hyperlink" Target="https://www.themeateater.com/wired-to-hunt/whitetail-management/whitetails-and-mulies-a-comparison" TargetMode="External"/><Relationship Id="rId696" Type="http://schemas.openxmlformats.org/officeDocument/2006/relationships/hyperlink" Target="https://realtree.com/timber-2-table-articles/meat-hunter-s-rules-for-shooting-the-right-deer" TargetMode="External"/><Relationship Id="rId1045" Type="http://schemas.openxmlformats.org/officeDocument/2006/relationships/hyperlink" Target="https://realtree.com/deer-hunting/articles/10-tips-for-great-deer-pictures" TargetMode="External"/><Relationship Id="rId211" Type="http://schemas.openxmlformats.org/officeDocument/2006/relationships/hyperlink" Target="https://realtree.com/brow-tines-and-backstrap/podcast-how-the-grunt-call-came-to-be" TargetMode="External"/><Relationship Id="rId695" Type="http://schemas.openxmlformats.org/officeDocument/2006/relationships/hyperlink" Target="https://www.themeateater.com/cook/butchering-and-processing/how-much-fat-should-you-add-to-ground-venison" TargetMode="External"/><Relationship Id="rId1046" Type="http://schemas.openxmlformats.org/officeDocument/2006/relationships/hyperlink" Target="https://www.wideopenspaces.com/check-25-awesome-vintage-deer-hunting-photos-whitetailwednesday/" TargetMode="External"/><Relationship Id="rId210" Type="http://schemas.openxmlformats.org/officeDocument/2006/relationships/hyperlink" Target="https://www.themeateater.com/wired-to-hunt/whitetail-hunting/3-grunt-call-vocalizations-every-whitetail-hunter-should-know" TargetMode="External"/><Relationship Id="rId694" Type="http://schemas.openxmlformats.org/officeDocument/2006/relationships/hyperlink" Target="https://www.wideopenspaces.com/top-6-venison-tenderloin-recipes/" TargetMode="External"/><Relationship Id="rId1047" Type="http://schemas.openxmlformats.org/officeDocument/2006/relationships/hyperlink" Target="https://www.themeateater.com/wired-to-hunt/whitetail-management/10-natural-food-sources-every-deer-hunter-should-know" TargetMode="External"/><Relationship Id="rId249" Type="http://schemas.openxmlformats.org/officeDocument/2006/relationships/hyperlink" Target="https://www.themeateater.com/hunt/big-game/how-to-hang-and-skin-a-deer-in-the-field" TargetMode="External"/><Relationship Id="rId248" Type="http://schemas.openxmlformats.org/officeDocument/2006/relationships/hyperlink" Target="https://www.wideopenspaces.com/venison-cuts-ranked/" TargetMode="External"/><Relationship Id="rId247" Type="http://schemas.openxmlformats.org/officeDocument/2006/relationships/hyperlink" Target="https://www.themeateater.com/cook/cooking-techniques/5-venison-cuts-you-need-to-know" TargetMode="External"/><Relationship Id="rId1070" Type="http://schemas.openxmlformats.org/officeDocument/2006/relationships/hyperlink" Target="https://www.themeateater.com/wired-to-hunt/whitetail-scouting/best-food-sources-to-deer-hunt-in-october" TargetMode="External"/><Relationship Id="rId1071" Type="http://schemas.openxmlformats.org/officeDocument/2006/relationships/hyperlink" Target="https://www.themeateater.com/hunt/whitetail-deer/photos-this-buck-might-crush-the-indiana-state-record" TargetMode="External"/><Relationship Id="rId1072" Type="http://schemas.openxmlformats.org/officeDocument/2006/relationships/hyperlink" Target="https://www.wideopenspaces.com/8-ways-take-bad-photo-trophy-buck-pics/" TargetMode="External"/><Relationship Id="rId242" Type="http://schemas.openxmlformats.org/officeDocument/2006/relationships/hyperlink" Target="https://www.wideopenspaces.com/where-to-shoot-a-deer-for-the-best-odds-of-a-quick-kill/" TargetMode="External"/><Relationship Id="rId1073" Type="http://schemas.openxmlformats.org/officeDocument/2006/relationships/hyperlink" Target="https://www.themeateater.com/hunt/general/ask-meateater-how-do-you-make-a-skull-mount" TargetMode="External"/><Relationship Id="rId241" Type="http://schemas.openxmlformats.org/officeDocument/2006/relationships/hyperlink" Target="https://realtree.com/deer-hunting/articles/the-best-shot-placement-on-deer" TargetMode="External"/><Relationship Id="rId1074" Type="http://schemas.openxmlformats.org/officeDocument/2006/relationships/hyperlink" Target="https://www.wideopenspaces.com/european-skull-mount/" TargetMode="External"/><Relationship Id="rId240" Type="http://schemas.openxmlformats.org/officeDocument/2006/relationships/hyperlink" Target="https://www.themeateater.com/wired-to-hunt/whitetail-hunting/where-to-shoot-a-deer" TargetMode="External"/><Relationship Id="rId1075" Type="http://schemas.openxmlformats.org/officeDocument/2006/relationships/hyperlink" Target="https://www.themeateater.com/wired-to-hunt/whitetail-hunting/how-to-call-in-bucks-during-each-phase-of-the-season" TargetMode="External"/><Relationship Id="rId1076" Type="http://schemas.openxmlformats.org/officeDocument/2006/relationships/hyperlink" Target="https://realtree.com/deer-hunting/articles/smack-talk-aggressive-deer-calling-strategies" TargetMode="External"/><Relationship Id="rId246" Type="http://schemas.openxmlformats.org/officeDocument/2006/relationships/hyperlink" Target="https://realtree.com/brow-tines-and-backstrap/why-buck-tarsal-is-the-deadliest-scent-in-the-deer-woods" TargetMode="External"/><Relationship Id="rId1077" Type="http://schemas.openxmlformats.org/officeDocument/2006/relationships/hyperlink" Target="https://www.themeateater.com/wired-to-hunt/whitetail-scouting/youre-using-trail-camera-photos-wrong" TargetMode="External"/><Relationship Id="rId245" Type="http://schemas.openxmlformats.org/officeDocument/2006/relationships/hyperlink" Target="https://www.themeateater.com/wired-to-hunt/whitetail-management/what-you-need-to-know-about-whitetail-buck-glands" TargetMode="External"/><Relationship Id="rId1078" Type="http://schemas.openxmlformats.org/officeDocument/2006/relationships/hyperlink" Target="https://realtree.com/brow-tines-and-backstrap/how-to-use-a-trail-camera" TargetMode="External"/><Relationship Id="rId244" Type="http://schemas.openxmlformats.org/officeDocument/2006/relationships/hyperlink" Target="https://www.wideopenspaces.com/venison-cuts-ranked/" TargetMode="External"/><Relationship Id="rId1079" Type="http://schemas.openxmlformats.org/officeDocument/2006/relationships/hyperlink" Target="https://www.wideopenspaces.com/11-trail-cameras-tested-quality-distance-trigger-speed/" TargetMode="External"/><Relationship Id="rId243" Type="http://schemas.openxmlformats.org/officeDocument/2006/relationships/hyperlink" Target="https://www.themeateater.com/cook/cooking-techniques/5-venison-cuts-you-need-to-know" TargetMode="External"/><Relationship Id="rId239" Type="http://schemas.openxmlformats.org/officeDocument/2006/relationships/hyperlink" Target="https://www.wideopenspaces.com/tell-age-deer-pics/" TargetMode="External"/><Relationship Id="rId238" Type="http://schemas.openxmlformats.org/officeDocument/2006/relationships/hyperlink" Target="https://realtree.com/deer-hunting/articles/really-how-old-is-that-buck" TargetMode="External"/><Relationship Id="rId237" Type="http://schemas.openxmlformats.org/officeDocument/2006/relationships/hyperlink" Target="https://www.themeateater.com/wired-to-hunt/whitetail-management/how-to-age-a-whitetail-buck-on-the-hoof" TargetMode="External"/><Relationship Id="rId236" Type="http://schemas.openxmlformats.org/officeDocument/2006/relationships/hyperlink" Target="https://www.wideopenspaces.com/where-to-shoot-a-deer-for-the-best-odds-of-a-quick-kill/" TargetMode="External"/><Relationship Id="rId1060" Type="http://schemas.openxmlformats.org/officeDocument/2006/relationships/hyperlink" Target="https://www.themeateater.com/cook/recipes/how-to-make-wild-game-stock" TargetMode="External"/><Relationship Id="rId1061" Type="http://schemas.openxmlformats.org/officeDocument/2006/relationships/hyperlink" Target="https://www.themeateater.com/hunt/whitetail-deer/photos-how-to-build-a-deer-blind-from-pallets" TargetMode="External"/><Relationship Id="rId231" Type="http://schemas.openxmlformats.org/officeDocument/2006/relationships/hyperlink" Target="https://www.wideopenspaces.com/deer-sounds-making-sense-of-the-sounds-of-the-deer-woods/" TargetMode="External"/><Relationship Id="rId1062" Type="http://schemas.openxmlformats.org/officeDocument/2006/relationships/hyperlink" Target="https://www.wideopenspaces.com/8-homemade-hunting-blinds-pics/" TargetMode="External"/><Relationship Id="rId230" Type="http://schemas.openxmlformats.org/officeDocument/2006/relationships/hyperlink" Target="https://realtree.com/deer-hunting/articles/smack-talk-aggressive-deer-calling-strategies" TargetMode="External"/><Relationship Id="rId1063" Type="http://schemas.openxmlformats.org/officeDocument/2006/relationships/hyperlink" Target="https://www.themeateater.com/hunt/whitetail-deer/video-zombie-deer-with-unbelievable-wound-caught-on-trail-camera" TargetMode="External"/><Relationship Id="rId1064" Type="http://schemas.openxmlformats.org/officeDocument/2006/relationships/hyperlink" Target="https://www.themeateater.com/recipes/cuts/ground" TargetMode="External"/><Relationship Id="rId1065" Type="http://schemas.openxmlformats.org/officeDocument/2006/relationships/hyperlink" Target="https://realtree.com/timber-2-table-wild-game-recipes/ground-venison-and-rice-bake" TargetMode="External"/><Relationship Id="rId235" Type="http://schemas.openxmlformats.org/officeDocument/2006/relationships/hyperlink" Target="https://realtree.com/deer-hunting/articles/the-best-shot-placement-on-deer" TargetMode="External"/><Relationship Id="rId1066" Type="http://schemas.openxmlformats.org/officeDocument/2006/relationships/hyperlink" Target="https://www.themeateater.com/cook/recipes/copycat-white-castle-venison-burgers" TargetMode="External"/><Relationship Id="rId234" Type="http://schemas.openxmlformats.org/officeDocument/2006/relationships/hyperlink" Target="https://www.themeateater.com/wired-to-hunt/whitetail-hunting/where-to-shoot-a-deer" TargetMode="External"/><Relationship Id="rId1067" Type="http://schemas.openxmlformats.org/officeDocument/2006/relationships/hyperlink" Target="https://www.wideopenspaces.com/axis-venison-burgers/" TargetMode="External"/><Relationship Id="rId233" Type="http://schemas.openxmlformats.org/officeDocument/2006/relationships/hyperlink" Target="https://realtree.com/timber-2-table-wild-game-recipes/pan-fried-venison-liver-with-onions-and-beer-gravy-recipe" TargetMode="External"/><Relationship Id="rId1068" Type="http://schemas.openxmlformats.org/officeDocument/2006/relationships/hyperlink" Target="https://www.themeateater.com/listen/wired-to-hunt/ep-341-planning-a-once-in-a-lifetime-michigan-deer-hunt-with-dan-johnson" TargetMode="External"/><Relationship Id="rId232" Type="http://schemas.openxmlformats.org/officeDocument/2006/relationships/hyperlink" Target="https://www.themeateater.com/cook/recipes/liver-and-onions-recipe" TargetMode="External"/><Relationship Id="rId1069" Type="http://schemas.openxmlformats.org/officeDocument/2006/relationships/hyperlink" Target="https://www.wideopenspaces.com/an-outsiders-look-at-michigan-deer-hunting/" TargetMode="External"/><Relationship Id="rId1015" Type="http://schemas.openxmlformats.org/officeDocument/2006/relationships/hyperlink" Target="https://realtree.com/deer-hunting/articles/5-advanced-trail-camera-tactics" TargetMode="External"/><Relationship Id="rId1499" Type="http://schemas.openxmlformats.org/officeDocument/2006/relationships/hyperlink" Target="https://realtree.com/brow-tines-and-backstrap/2022-southeast-deer-hunting-forecast" TargetMode="External"/><Relationship Id="rId1016" Type="http://schemas.openxmlformats.org/officeDocument/2006/relationships/hyperlink" Target="https://www.wideopenspaces.com/11-trail-cameras-tested-quality-distance-trigger-speed/" TargetMode="External"/><Relationship Id="rId1017" Type="http://schemas.openxmlformats.org/officeDocument/2006/relationships/hyperlink" Target="https://www.themeateater.com/conservation/wildlife-management/why-do-female-deer-sometimes-grow-antlers" TargetMode="External"/><Relationship Id="rId1018" Type="http://schemas.openxmlformats.org/officeDocument/2006/relationships/hyperlink" Target="https://realtree.com/all/articles/antler-trivia" TargetMode="External"/><Relationship Id="rId1019" Type="http://schemas.openxmlformats.org/officeDocument/2006/relationships/hyperlink" Target="https://www.themeateater.com/gear/general/best-trail-cameras" TargetMode="External"/><Relationship Id="rId668" Type="http://schemas.openxmlformats.org/officeDocument/2006/relationships/hyperlink" Target="https://www.themeateater.com/watch/6290992279001/how-to-score-a-mule-deer-buck" TargetMode="External"/><Relationship Id="rId667" Type="http://schemas.openxmlformats.org/officeDocument/2006/relationships/hyperlink" Target="https://realtree.com/deer-hunting/articles/the-new-hunter-s-guide-to-buying-your-first-deer-rifle" TargetMode="External"/><Relationship Id="rId666" Type="http://schemas.openxmlformats.org/officeDocument/2006/relationships/hyperlink" Target="https://www.themeateater.com/hunt/firearm-hunting/is-your-deer-gun-overkill" TargetMode="External"/><Relationship Id="rId665" Type="http://schemas.openxmlformats.org/officeDocument/2006/relationships/hyperlink" Target="https://realtree.com/food-plots-and-land-management/articles/mess-hall-mixtures-5-food-plot-combos-for-full-season" TargetMode="External"/><Relationship Id="rId669" Type="http://schemas.openxmlformats.org/officeDocument/2006/relationships/hyperlink" Target="https://www.themeateater.com/conservation/wildlife-management/why-do-female-deer-sometimes-grow-antlers" TargetMode="External"/><Relationship Id="rId1490" Type="http://schemas.openxmlformats.org/officeDocument/2006/relationships/hyperlink" Target="https://realtree.com/timber-2-table-articles/5-things-your-deer-processor-hates" TargetMode="External"/><Relationship Id="rId660" Type="http://schemas.openxmlformats.org/officeDocument/2006/relationships/hyperlink" Target="https://realtree.com/timber-2-table-wild-game-recipes/venison-recipes" TargetMode="External"/><Relationship Id="rId1491" Type="http://schemas.openxmlformats.org/officeDocument/2006/relationships/hyperlink" Target="https://www.wideopenspaces.com/when-does-deer-season-end-in-georgia/" TargetMode="External"/><Relationship Id="rId1492" Type="http://schemas.openxmlformats.org/officeDocument/2006/relationships/hyperlink" Target="https://www.wideopenspaces.com/deer-shed-antlers-pics/" TargetMode="External"/><Relationship Id="rId1493" Type="http://schemas.openxmlformats.org/officeDocument/2006/relationships/hyperlink" Target="https://realtree.com/the-realblog-with-stephanie-mallory/taxidermist-discovers-third-eye-when-preparing-deer-for-european" TargetMode="External"/><Relationship Id="rId1010" Type="http://schemas.openxmlformats.org/officeDocument/2006/relationships/hyperlink" Target="https://www.wideopenspaces.com/what-do-deer-eat/" TargetMode="External"/><Relationship Id="rId1494" Type="http://schemas.openxmlformats.org/officeDocument/2006/relationships/hyperlink" Target="https://www.wideopenspaces.com/buck-hidden-third-eye/" TargetMode="External"/><Relationship Id="rId664" Type="http://schemas.openxmlformats.org/officeDocument/2006/relationships/hyperlink" Target="https://www.themeateater.com/wired-to-hunt/whitetail-management/how-to-plant-a-food-plot-on-a-budget" TargetMode="External"/><Relationship Id="rId1011" Type="http://schemas.openxmlformats.org/officeDocument/2006/relationships/hyperlink" Target="https://www.themeateater.com/hunt/whitetail-deer/fact-checker-do-outdoor-stores-pay-big-money-for-big-mounts" TargetMode="External"/><Relationship Id="rId1495" Type="http://schemas.openxmlformats.org/officeDocument/2006/relationships/hyperlink" Target="https://realtree.com/deer-hunting/articles/where-to-deer-hunt-in-february" TargetMode="External"/><Relationship Id="rId663" Type="http://schemas.openxmlformats.org/officeDocument/2006/relationships/hyperlink" Target="https://www.wideopenspaces.com/top-6-venison-tenderloin-recipes/" TargetMode="External"/><Relationship Id="rId1012" Type="http://schemas.openxmlformats.org/officeDocument/2006/relationships/hyperlink" Target="https://realtree.com/brow-tines-and-backstrap/20-crazy-good-deer-mounts-from-the-nwtf-convention" TargetMode="External"/><Relationship Id="rId1496" Type="http://schemas.openxmlformats.org/officeDocument/2006/relationships/hyperlink" Target="https://www.wideopenspaces.com/hunt-deer-january-february/" TargetMode="External"/><Relationship Id="rId662" Type="http://schemas.openxmlformats.org/officeDocument/2006/relationships/hyperlink" Target="https://realtree.com/timber-2-table-wild-game-recipes/bourbon-buttermilk-fried-deer-tenderloin" TargetMode="External"/><Relationship Id="rId1013" Type="http://schemas.openxmlformats.org/officeDocument/2006/relationships/hyperlink" Target="https://www.wideopenspaces.com/whitetailwednesday-25-unique-ideas-for-your-next-whitetail-mount/" TargetMode="External"/><Relationship Id="rId1497" Type="http://schemas.openxmlformats.org/officeDocument/2006/relationships/hyperlink" Target="https://realtree.com/brow-tines-and-backstrap/ranking-the-toughest-deer-hunting-no-1-the-southeast" TargetMode="External"/><Relationship Id="rId661" Type="http://schemas.openxmlformats.org/officeDocument/2006/relationships/hyperlink" Target="https://www.themeateater.com/recipes/cuts/loin" TargetMode="External"/><Relationship Id="rId1014" Type="http://schemas.openxmlformats.org/officeDocument/2006/relationships/hyperlink" Target="https://www.themeateater.com/gear/general/best-trail-cameras" TargetMode="External"/><Relationship Id="rId1498" Type="http://schemas.openxmlformats.org/officeDocument/2006/relationships/hyperlink" Target="https://www.wideopenspaces.com/georgia-deer-hunting/" TargetMode="External"/><Relationship Id="rId1004" Type="http://schemas.openxmlformats.org/officeDocument/2006/relationships/hyperlink" Target="https://realtree.com/brow-tines-and-backstrap/how-long-should-deer-taxidermy-take" TargetMode="External"/><Relationship Id="rId1488" Type="http://schemas.openxmlformats.org/officeDocument/2006/relationships/hyperlink" Target="https://www.wideopenspaces.com/lifespan-whitetail-deer/" TargetMode="External"/><Relationship Id="rId1005" Type="http://schemas.openxmlformats.org/officeDocument/2006/relationships/hyperlink" Target="https://www.wideopenspaces.com/deer-taxidermy-options/" TargetMode="External"/><Relationship Id="rId1489" Type="http://schemas.openxmlformats.org/officeDocument/2006/relationships/hyperlink" Target="https://www.wideopenspaces.com/whitetailwednesday-15-hilarious-deer-hunting-memes-true/" TargetMode="External"/><Relationship Id="rId1006" Type="http://schemas.openxmlformats.org/officeDocument/2006/relationships/hyperlink" Target="https://www.themeateater.com/wired-to-hunt/whitetail-management/10-natural-food-sources-every-deer-hunter-should-know" TargetMode="External"/><Relationship Id="rId1007" Type="http://schemas.openxmlformats.org/officeDocument/2006/relationships/hyperlink" Target="https://realtree.com/the-realblog-with-stephanie-mallory/did-you-know-deer-eat-meat" TargetMode="External"/><Relationship Id="rId1008" Type="http://schemas.openxmlformats.org/officeDocument/2006/relationships/hyperlink" Target="https://www.wideopenspaces.com/do-deer-eat-meat/" TargetMode="External"/><Relationship Id="rId1009" Type="http://schemas.openxmlformats.org/officeDocument/2006/relationships/hyperlink" Target="https://www.themeateater.com/wired-to-hunt/whitetail-management/10-natural-food-sources-every-deer-hunter-should-know" TargetMode="External"/><Relationship Id="rId657" Type="http://schemas.openxmlformats.org/officeDocument/2006/relationships/hyperlink" Target="https://www.themeateater.com/wired-to-hunt/whitetail-hunting/how-to-hunt-the-whitetail-rut-in-big-woods" TargetMode="External"/><Relationship Id="rId656" Type="http://schemas.openxmlformats.org/officeDocument/2006/relationships/hyperlink" Target="https://www.wideopenspaces.com/top-6-venison-tenderloin-recipes/" TargetMode="External"/><Relationship Id="rId655" Type="http://schemas.openxmlformats.org/officeDocument/2006/relationships/hyperlink" Target="https://realtree.com/timber-2-table-wild-game-recipes/bourbon-buttermilk-fried-deer-tenderloin" TargetMode="External"/><Relationship Id="rId654" Type="http://schemas.openxmlformats.org/officeDocument/2006/relationships/hyperlink" Target="https://www.themeateater.com/wild-and-whole/wild-recipes/butter-basted-venison-steaks-recipe" TargetMode="External"/><Relationship Id="rId659" Type="http://schemas.openxmlformats.org/officeDocument/2006/relationships/hyperlink" Target="https://www.themeateater.com/recipes/ingredients/venison" TargetMode="External"/><Relationship Id="rId658" Type="http://schemas.openxmlformats.org/officeDocument/2006/relationships/hyperlink" Target="https://realtree.com/deer-hunting/articles/how-to-hunt-the-phases-of-the-rut" TargetMode="External"/><Relationship Id="rId1480" Type="http://schemas.openxmlformats.org/officeDocument/2006/relationships/hyperlink" Target="https://realtree.com/the-realblog-with-stephanie-mallory/watch-live-cam-of-maine-deer-pantry" TargetMode="External"/><Relationship Id="rId1481" Type="http://schemas.openxmlformats.org/officeDocument/2006/relationships/hyperlink" Target="https://realtree.com/deer-hunting/articles/smack-talk-aggressive-deer-calling-strategies" TargetMode="External"/><Relationship Id="rId1482" Type="http://schemas.openxmlformats.org/officeDocument/2006/relationships/hyperlink" Target="https://www.wideopenspaces.com/catchin-up-with-catchin-deers-wide-open-spaces-speaks-with-former-nhler-mike-fisher/" TargetMode="External"/><Relationship Id="rId1483" Type="http://schemas.openxmlformats.org/officeDocument/2006/relationships/hyperlink" Target="https://realtree.com/deer-hunting/articles/5-characteristics-of-adult-does" TargetMode="External"/><Relationship Id="rId653" Type="http://schemas.openxmlformats.org/officeDocument/2006/relationships/hyperlink" Target="https://realtree.com/timber-2-table-articles/how-to-make-bacon-from-ground-deer-meat" TargetMode="External"/><Relationship Id="rId1000" Type="http://schemas.openxmlformats.org/officeDocument/2006/relationships/hyperlink" Target="https://realtree.com/deer-hunting/articles/how-to-can-deer-meat" TargetMode="External"/><Relationship Id="rId1484" Type="http://schemas.openxmlformats.org/officeDocument/2006/relationships/hyperlink" Target="https://realtree.com/food-plots-and-land-management/articles/food-plot-seed-how-to-plant-white-clover" TargetMode="External"/><Relationship Id="rId652" Type="http://schemas.openxmlformats.org/officeDocument/2006/relationships/hyperlink" Target="https://www.themeateater.com/cook/recipes/venison-bacon-bits-recipe" TargetMode="External"/><Relationship Id="rId1001" Type="http://schemas.openxmlformats.org/officeDocument/2006/relationships/hyperlink" Target="https://www.themeateater.com/cook/butchering-and-processing/how-much-fat-should-you-add-to-ground-venison" TargetMode="External"/><Relationship Id="rId1485" Type="http://schemas.openxmlformats.org/officeDocument/2006/relationships/hyperlink" Target="https://www.wideopenspaces.com/deer-hooves-what-theyre-made-from-and-indicators-of-health/" TargetMode="External"/><Relationship Id="rId651" Type="http://schemas.openxmlformats.org/officeDocument/2006/relationships/hyperlink" Target="https://www.wideopenspaces.com/where-to-shoot-a-deer-for-the-best-odds-of-a-quick-kill/" TargetMode="External"/><Relationship Id="rId1002" Type="http://schemas.openxmlformats.org/officeDocument/2006/relationships/hyperlink" Target="https://www.themeateater.com/watch/6175630772001/steven-rinella-hunts-his-first-columbia-blacktail-deer-in-california" TargetMode="External"/><Relationship Id="rId1486" Type="http://schemas.openxmlformats.org/officeDocument/2006/relationships/hyperlink" Target="https://realtree.com/" TargetMode="External"/><Relationship Id="rId650" Type="http://schemas.openxmlformats.org/officeDocument/2006/relationships/hyperlink" Target="https://realtree.com/deer-hunting/articles/the-best-shot-placement-on-deer" TargetMode="External"/><Relationship Id="rId1003" Type="http://schemas.openxmlformats.org/officeDocument/2006/relationships/hyperlink" Target="https://www.themeateater.com/hunt/big-game/what-to-do-when-you-plan-on-getting-a-deer-mounted" TargetMode="External"/><Relationship Id="rId1487" Type="http://schemas.openxmlformats.org/officeDocument/2006/relationships/hyperlink" Target="https://realtree.com/brow-tines-and-backstrap/how-long-do-white-tailed-deer-live" TargetMode="External"/><Relationship Id="rId1037" Type="http://schemas.openxmlformats.org/officeDocument/2006/relationships/hyperlink" Target="https://www.themeateater.com/wired-to-hunt/whitetail-scouting/fact-checker-can-you-identify-a-mature-buck-by-droppings" TargetMode="External"/><Relationship Id="rId1038" Type="http://schemas.openxmlformats.org/officeDocument/2006/relationships/hyperlink" Target="https://realtree.com/brow-tines-and-backstrap/everything-you-ever-wanted-to-know-about-deer-poop" TargetMode="External"/><Relationship Id="rId1039" Type="http://schemas.openxmlformats.org/officeDocument/2006/relationships/hyperlink" Target="https://www.wideopenspaces.com/deer-poop-identification/" TargetMode="External"/><Relationship Id="rId206" Type="http://schemas.openxmlformats.org/officeDocument/2006/relationships/hyperlink" Target="https://realtree.com/brow-tines-and-backstrap/2022-southeast-deer-hunting-forecast" TargetMode="External"/><Relationship Id="rId205" Type="http://schemas.openxmlformats.org/officeDocument/2006/relationships/hyperlink" Target="https://www.themeateater.com/wired-to-hunt/whitetail-hunting/rut-fresh-report-10-27-2022" TargetMode="External"/><Relationship Id="rId689" Type="http://schemas.openxmlformats.org/officeDocument/2006/relationships/hyperlink" Target="https://www.themeateater.com/wild-and-whole/wild-recipes/butter-basted-venison-steaks-recipe" TargetMode="External"/><Relationship Id="rId204" Type="http://schemas.openxmlformats.org/officeDocument/2006/relationships/hyperlink" Target="https://www.wideopenspaces.com/5-biggest-whitetail-bucks-ever-found-dead/" TargetMode="External"/><Relationship Id="rId688" Type="http://schemas.openxmlformats.org/officeDocument/2006/relationships/hyperlink" Target="https://www.wideopenspaces.com/how-to-find-and-aim-for-deer-vitals/" TargetMode="External"/><Relationship Id="rId203" Type="http://schemas.openxmlformats.org/officeDocument/2006/relationships/hyperlink" Target="https://realtree.com/brow-tines-and-backstrap/3-biggest-typical-white-tailed-bucks-of-all-time" TargetMode="External"/><Relationship Id="rId687" Type="http://schemas.openxmlformats.org/officeDocument/2006/relationships/hyperlink" Target="https://realtree.com/deer-hunting/articles/the-best-shot-placement-on-deer" TargetMode="External"/><Relationship Id="rId209" Type="http://schemas.openxmlformats.org/officeDocument/2006/relationships/hyperlink" Target="https://www.wideopenspaces.com/22-250-remington-varmint-round/" TargetMode="External"/><Relationship Id="rId208" Type="http://schemas.openxmlformats.org/officeDocument/2006/relationships/hyperlink" Target="https://realtree.com/deer-hunting/articles/the-5-best-bullet-styles-for-deer-hunting" TargetMode="External"/><Relationship Id="rId207" Type="http://schemas.openxmlformats.org/officeDocument/2006/relationships/hyperlink" Target="https://www.themeateater.com/hunt/firearm-hunting/caliber-battle-223-rem-vs-22-250-rem" TargetMode="External"/><Relationship Id="rId682" Type="http://schemas.openxmlformats.org/officeDocument/2006/relationships/hyperlink" Target="https://realtree.com/brow-tines-and-backstrap/why-you-should-use-an-ar-15-as-a-deer-rifle" TargetMode="External"/><Relationship Id="rId681" Type="http://schemas.openxmlformats.org/officeDocument/2006/relationships/hyperlink" Target="https://www.themeateater.com/hunt/firearm-hunting/5-best-rifles-for-new-hunters" TargetMode="External"/><Relationship Id="rId1030" Type="http://schemas.openxmlformats.org/officeDocument/2006/relationships/hyperlink" Target="https://www.wideopenspaces.com/oak-trees-deer/" TargetMode="External"/><Relationship Id="rId680" Type="http://schemas.openxmlformats.org/officeDocument/2006/relationships/hyperlink" Target="https://www.wideopenspaces.com/deer-sounds-making-sense-of-the-sounds-of-the-deer-woods/" TargetMode="External"/><Relationship Id="rId1031" Type="http://schemas.openxmlformats.org/officeDocument/2006/relationships/hyperlink" Target="https://www.themeateater.com/hunt/big-game/ask-meateater-where-should-i-go-on-my-first-mule-deer-hunt" TargetMode="External"/><Relationship Id="rId1032" Type="http://schemas.openxmlformats.org/officeDocument/2006/relationships/hyperlink" Target="https://www.themeateater.com/conservation/wildlife-management/why-do-female-deer-sometimes-grow-antlers" TargetMode="External"/><Relationship Id="rId202" Type="http://schemas.openxmlformats.org/officeDocument/2006/relationships/hyperlink" Target="https://www.themeateater.com/hunt/whitetail-deer/this-might-be-the-new-world-record-whitetail" TargetMode="External"/><Relationship Id="rId686" Type="http://schemas.openxmlformats.org/officeDocument/2006/relationships/hyperlink" Target="https://www.themeateater.com/wired-to-hunt/whitetail-hunting/where-to-shoot-a-deer" TargetMode="External"/><Relationship Id="rId1033" Type="http://schemas.openxmlformats.org/officeDocument/2006/relationships/hyperlink" Target="https://realtree.com/all/articles/antler-trivia" TargetMode="External"/><Relationship Id="rId201" Type="http://schemas.openxmlformats.org/officeDocument/2006/relationships/hyperlink" Target="https://www.wideopenspaces.com/whitetail-vs-mule-deer-the-differences-why-you-should-hunt-them-and-which-is-best/" TargetMode="External"/><Relationship Id="rId685" Type="http://schemas.openxmlformats.org/officeDocument/2006/relationships/hyperlink" Target="https://www.themeateater.com/wired-to-hunt/whitetail-scouting/how-to-identify-a-big-buck-track-in-snow" TargetMode="External"/><Relationship Id="rId1034" Type="http://schemas.openxmlformats.org/officeDocument/2006/relationships/hyperlink" Target="https://www.themeateater.com/hunt/whitetail-deer/how-to-crap-in-the-woods-like-a-pro" TargetMode="External"/><Relationship Id="rId200" Type="http://schemas.openxmlformats.org/officeDocument/2006/relationships/hyperlink" Target="https://realtree.com/deer-hunting/articles/8-major-differences-between-whitetails-and-mule-deer" TargetMode="External"/><Relationship Id="rId684" Type="http://schemas.openxmlformats.org/officeDocument/2006/relationships/hyperlink" Target="https://www.themeateater.com/watch/6209664304001/how-to-shock-pouch-a-deer-with-clay-newcomb" TargetMode="External"/><Relationship Id="rId1035" Type="http://schemas.openxmlformats.org/officeDocument/2006/relationships/hyperlink" Target="https://realtree.com/brow-tines-and-backstrap/everything-you-ever-wanted-to-know-about-deer-poop" TargetMode="External"/><Relationship Id="rId683" Type="http://schemas.openxmlformats.org/officeDocument/2006/relationships/hyperlink" Target="https://www.wideopenspaces.com/best-deer-hunting-rifles/" TargetMode="External"/><Relationship Id="rId1036" Type="http://schemas.openxmlformats.org/officeDocument/2006/relationships/hyperlink" Target="https://www.wideopenspaces.com/deer-poop-identification/" TargetMode="External"/><Relationship Id="rId1026" Type="http://schemas.openxmlformats.org/officeDocument/2006/relationships/hyperlink" Target="https://realtree.com/brow-tines-and-backstrap/everything-you-ever-wanted-to-know-about-deer-poop" TargetMode="External"/><Relationship Id="rId1027" Type="http://schemas.openxmlformats.org/officeDocument/2006/relationships/hyperlink" Target="https://www.wideopenspaces.com/bear-scat-how-to-identify-poop-from-the-most-common-species/" TargetMode="External"/><Relationship Id="rId1028" Type="http://schemas.openxmlformats.org/officeDocument/2006/relationships/hyperlink" Target="https://www.themeateater.com/wired-to-hunt/whitetail-scouting/how-to-whitetail-hunt-around-acorns" TargetMode="External"/><Relationship Id="rId1029" Type="http://schemas.openxmlformats.org/officeDocument/2006/relationships/hyperlink" Target="https://realtree.com/deer-hunting/articles/everything-you-need-to-know-about-acorns" TargetMode="External"/><Relationship Id="rId679" Type="http://schemas.openxmlformats.org/officeDocument/2006/relationships/hyperlink" Target="https://realtree.com/deer-hunting/articles/can-you-talk-deer" TargetMode="External"/><Relationship Id="rId678" Type="http://schemas.openxmlformats.org/officeDocument/2006/relationships/hyperlink" Target="https://www.themeateater.com/hunt/whitetail-deer/video-rutting-buck-makes-crazy-vocalizations" TargetMode="External"/><Relationship Id="rId677" Type="http://schemas.openxmlformats.org/officeDocument/2006/relationships/hyperlink" Target="https://realtree.com/deer-hunting/articles/the-new-hunter-s-guide-to-buying-your-first-deer-rifle" TargetMode="External"/><Relationship Id="rId676" Type="http://schemas.openxmlformats.org/officeDocument/2006/relationships/hyperlink" Target="https://www.themeateater.com/hunt/firearm-hunting/should-your-next-deer-rifle-be-an-ar-15" TargetMode="External"/><Relationship Id="rId671" Type="http://schemas.openxmlformats.org/officeDocument/2006/relationships/hyperlink" Target="https://realtree.com/deer-hunting/articles/the-myth-of-the-nocturnal-buck" TargetMode="External"/><Relationship Id="rId670" Type="http://schemas.openxmlformats.org/officeDocument/2006/relationships/hyperlink" Target="https://www.themeateater.com/wired-to-hunt/whitetail-hunting/how-to-kill-a-nocturnal-buck" TargetMode="External"/><Relationship Id="rId1020" Type="http://schemas.openxmlformats.org/officeDocument/2006/relationships/hyperlink" Target="https://realtree.com/brow-tines-and-backstrap/is-a-trail-camera-ban-coming-to-a-state-near-you" TargetMode="External"/><Relationship Id="rId1021" Type="http://schemas.openxmlformats.org/officeDocument/2006/relationships/hyperlink" Target="https://www.wideopenspaces.com/11-trail-cameras-tested-quality-distance-trigger-speed/" TargetMode="External"/><Relationship Id="rId675" Type="http://schemas.openxmlformats.org/officeDocument/2006/relationships/hyperlink" Target="https://www.themeateater.com/cook/recipes/pan-fried-venison-tongue-recipe" TargetMode="External"/><Relationship Id="rId1022" Type="http://schemas.openxmlformats.org/officeDocument/2006/relationships/hyperlink" Target="https://www.themeateater.com/recipes/cuts/backstrap" TargetMode="External"/><Relationship Id="rId674" Type="http://schemas.openxmlformats.org/officeDocument/2006/relationships/hyperlink" Target="https://www.wideopenspaces.com/deer-hunting-blind-spacious/" TargetMode="External"/><Relationship Id="rId1023" Type="http://schemas.openxmlformats.org/officeDocument/2006/relationships/hyperlink" Target="https://realtree.com/timber-2-table-wild-game-recipes/reverse-seared-smoked-venison-backstrap" TargetMode="External"/><Relationship Id="rId673" Type="http://schemas.openxmlformats.org/officeDocument/2006/relationships/hyperlink" Target="https://www.themeateater.com/hunt/whitetail-deer/photos-how-to-build-a-deer-blind-from-pallets" TargetMode="External"/><Relationship Id="rId1024" Type="http://schemas.openxmlformats.org/officeDocument/2006/relationships/hyperlink" Target="https://www.wideopenspaces.com/venison-backstrap-recipes/" TargetMode="External"/><Relationship Id="rId672" Type="http://schemas.openxmlformats.org/officeDocument/2006/relationships/hyperlink" Target="https://www.wideopenspaces.com/are-deer-nocturnal/" TargetMode="External"/><Relationship Id="rId1025" Type="http://schemas.openxmlformats.org/officeDocument/2006/relationships/hyperlink" Target="https://www.themeateater.com/wired-to-hunt/whitetail-scouting/fact-checker-can-you-identify-a-mature-buck-by-droppings" TargetMode="External"/><Relationship Id="rId190" Type="http://schemas.openxmlformats.org/officeDocument/2006/relationships/hyperlink" Target="https://www.themeateater.com/conservation/wildlife-management/why-do-female-deer-sometimes-grow-antlers" TargetMode="External"/><Relationship Id="rId194" Type="http://schemas.openxmlformats.org/officeDocument/2006/relationships/hyperlink" Target="https://www.themeateater.com/wild-and-whole/wild-recipes/butter-basted-venison-steaks-recipe" TargetMode="External"/><Relationship Id="rId193" Type="http://schemas.openxmlformats.org/officeDocument/2006/relationships/hyperlink" Target="https://www.wideopenspaces.com/where-do-deer-sleep/" TargetMode="External"/><Relationship Id="rId192" Type="http://schemas.openxmlformats.org/officeDocument/2006/relationships/hyperlink" Target="https://realtree.com/brow-tines-and-backstrap/8-bedding-habits-of-mature-deer" TargetMode="External"/><Relationship Id="rId191" Type="http://schemas.openxmlformats.org/officeDocument/2006/relationships/hyperlink" Target="https://www.themeateater.com/wired-to-hunt/whitetail-scouting/where-do-deer-sleep" TargetMode="External"/><Relationship Id="rId187" Type="http://schemas.openxmlformats.org/officeDocument/2006/relationships/hyperlink" Target="https://www.wideopenspaces.com/where-to-shoot-a-deer-for-the-best-odds-of-a-quick-kill/" TargetMode="External"/><Relationship Id="rId186" Type="http://schemas.openxmlformats.org/officeDocument/2006/relationships/hyperlink" Target="https://realtree.com/deer-hunting/articles/the-best-shot-placement-on-deer" TargetMode="External"/><Relationship Id="rId185" Type="http://schemas.openxmlformats.org/officeDocument/2006/relationships/hyperlink" Target="https://www.themeateater.com/wired-to-hunt/whitetail-hunting/where-to-shoot-a-deer" TargetMode="External"/><Relationship Id="rId184" Type="http://schemas.openxmlformats.org/officeDocument/2006/relationships/hyperlink" Target="https://www.wideopenspaces.com/deer-hunting-in-the-rain/" TargetMode="External"/><Relationship Id="rId189" Type="http://schemas.openxmlformats.org/officeDocument/2006/relationships/hyperlink" Target="https://realtree.com/timber-2-table-wild-game-recipes/black-pepper-and-honey-deer-steak-bites-recipe" TargetMode="External"/><Relationship Id="rId188" Type="http://schemas.openxmlformats.org/officeDocument/2006/relationships/hyperlink" Target="https://www.themeateater.com/wild-and-whole/wild-recipes/butter-basted-venison-steaks-recipe" TargetMode="External"/><Relationship Id="rId183" Type="http://schemas.openxmlformats.org/officeDocument/2006/relationships/hyperlink" Target="https://realtree.com/brow-tines-and-backstrap/why-windy-days-are-great-for-deer-hunting" TargetMode="External"/><Relationship Id="rId182" Type="http://schemas.openxmlformats.org/officeDocument/2006/relationships/hyperlink" Target="https://www.themeateater.com/wired-to-hunt/whitetail-hunting/should-you-deer-hunt-in-the-rain" TargetMode="External"/><Relationship Id="rId181" Type="http://schemas.openxmlformats.org/officeDocument/2006/relationships/hyperlink" Target="https://www.wideopenspaces.com/where-to-shoot-a-deer-for-the-best-odds-of-a-quick-kill/" TargetMode="External"/><Relationship Id="rId180" Type="http://schemas.openxmlformats.org/officeDocument/2006/relationships/hyperlink" Target="https://realtree.com/deer-hunting/articles/the-best-shot-placement-on-deer" TargetMode="External"/><Relationship Id="rId176" Type="http://schemas.openxmlformats.org/officeDocument/2006/relationships/hyperlink" Target="https://www.themeateater.com/wired-to-hunt/whitetail-hunting/where-to-shoot-a-deer" TargetMode="External"/><Relationship Id="rId175" Type="http://schemas.openxmlformats.org/officeDocument/2006/relationships/hyperlink" Target="https://www.wideopenspaces.com/deer-hunting-in-the-rain/" TargetMode="External"/><Relationship Id="rId174" Type="http://schemas.openxmlformats.org/officeDocument/2006/relationships/hyperlink" Target="https://realtree.com/brow-tines-and-backstrap/5-watering-habits-of-mature-deer" TargetMode="External"/><Relationship Id="rId173" Type="http://schemas.openxmlformats.org/officeDocument/2006/relationships/hyperlink" Target="https://www.themeateater.com/wired-to-hunt/whitetail-hunting/should-you-deer-hunt-in-the-rain" TargetMode="External"/><Relationship Id="rId179" Type="http://schemas.openxmlformats.org/officeDocument/2006/relationships/hyperlink" Target="https://www.themeateater.com/wired-to-hunt/whitetail-hunting/where-to-shoot-a-deer" TargetMode="External"/><Relationship Id="rId178" Type="http://schemas.openxmlformats.org/officeDocument/2006/relationships/hyperlink" Target="https://www.wideopenspaces.com/where-to-shoot-a-deer-for-the-best-odds-of-a-quick-kill/" TargetMode="External"/><Relationship Id="rId177" Type="http://schemas.openxmlformats.org/officeDocument/2006/relationships/hyperlink" Target="https://realtree.com/deer-hunting/articles/the-best-shot-placement-on-deer" TargetMode="External"/><Relationship Id="rId1910" Type="http://schemas.openxmlformats.org/officeDocument/2006/relationships/hyperlink" Target="https://www.wideopenspaces.com/the-difference-between-a-bull-elk-and-a-red-stag/" TargetMode="External"/><Relationship Id="rId1911" Type="http://schemas.openxmlformats.org/officeDocument/2006/relationships/hyperlink" Target="https://www.wideopenspaces.com/12-high-end-high-tech-super-redneck-deer-stands/" TargetMode="External"/><Relationship Id="rId1912" Type="http://schemas.openxmlformats.org/officeDocument/2006/relationships/hyperlink" Target="https://realtree.com/the-realblog-with-stephanie-mallory/taxidermist-discovers-third-eye-when-preparing-deer-for-european" TargetMode="External"/><Relationship Id="rId1913" Type="http://schemas.openxmlformats.org/officeDocument/2006/relationships/hyperlink" Target="https://realtree.com/deer-hunting/articles/why-deer-hunting-on-halloween-is-scary-good" TargetMode="External"/><Relationship Id="rId1914" Type="http://schemas.openxmlformats.org/officeDocument/2006/relationships/hyperlink" Target="https://realtree.com/deer-hunting/articles/the-meaning-of-deer-hunting-hunting-truth-in-life" TargetMode="External"/><Relationship Id="rId1915" Type="http://schemas.openxmlformats.org/officeDocument/2006/relationships/hyperlink" Target="https://realtree.com/big-game-hunting/articles/7-tips-for-over-the-counter-mule-deer-hunting" TargetMode="External"/><Relationship Id="rId1916" Type="http://schemas.openxmlformats.org/officeDocument/2006/relationships/hyperlink" Target="https://realtree.com/deer-hunting/articles/deer-hunting-the-late-season" TargetMode="External"/><Relationship Id="rId1917" Type="http://schemas.openxmlformats.org/officeDocument/2006/relationships/hyperlink" Target="https://www.wideopenspaces.com/tennessee-approves-3-day-archery-only-deer-season-for-august/" TargetMode="External"/><Relationship Id="rId1918" Type="http://schemas.openxmlformats.org/officeDocument/2006/relationships/hyperlink" Target="https://realtree.com/brow-tines-and-backstrap/8-things-you-can-use-to-bait-deer" TargetMode="External"/><Relationship Id="rId1919" Type="http://schemas.openxmlformats.org/officeDocument/2006/relationships/hyperlink" Target="https://www.wideopenspaces.com/what-do-deer-elk-and-moose-do-in-the-winter/" TargetMode="External"/><Relationship Id="rId1900" Type="http://schemas.openxmlformats.org/officeDocument/2006/relationships/hyperlink" Target="https://www.wideopenspaces.com/minnesota-deer-hunting/" TargetMode="External"/><Relationship Id="rId1901" Type="http://schemas.openxmlformats.org/officeDocument/2006/relationships/hyperlink" Target="https://www.wideopenspaces.com/missouri-deer-hunting-all-to-know-about-this-buck-buck-paradise/" TargetMode="External"/><Relationship Id="rId1902" Type="http://schemas.openxmlformats.org/officeDocument/2006/relationships/hyperlink" Target="https://realtree.com/deer-hunting/articles/where-to-deer-hunt-in-february" TargetMode="External"/><Relationship Id="rId1903" Type="http://schemas.openxmlformats.org/officeDocument/2006/relationships/hyperlink" Target="https://www.wideopenspaces.com/mule-deer-taxidermy/" TargetMode="External"/><Relationship Id="rId1904" Type="http://schemas.openxmlformats.org/officeDocument/2006/relationships/hyperlink" Target="https://realtree.com/brow-tines-and-backstrap/2022-southeast-deer-hunting-forecast" TargetMode="External"/><Relationship Id="rId1905" Type="http://schemas.openxmlformats.org/officeDocument/2006/relationships/hyperlink" Target="https://www.wideopenspaces.com/deer-hunting-in-ohio-what-you-should-know/" TargetMode="External"/><Relationship Id="rId1906" Type="http://schemas.openxmlformats.org/officeDocument/2006/relationships/hyperlink" Target="https://www.wideopenspaces.com/pennsylvania-deer-hunting/" TargetMode="External"/><Relationship Id="rId1907" Type="http://schemas.openxmlformats.org/officeDocument/2006/relationships/hyperlink" Target="https://realtree.com/deer-hunting/articles/10-tips-for-great-deer-pictures" TargetMode="External"/><Relationship Id="rId1908" Type="http://schemas.openxmlformats.org/officeDocument/2006/relationships/hyperlink" Target="https://www.wideopenspaces.com/whitetailwednesday-should-we-shoot-albino-and-piebald-deer/" TargetMode="External"/><Relationship Id="rId1909" Type="http://schemas.openxmlformats.org/officeDocument/2006/relationships/hyperlink" Target="https://www.wideopenspaces.com/rare-piebald-deer-herd/" TargetMode="External"/><Relationship Id="rId198" Type="http://schemas.openxmlformats.org/officeDocument/2006/relationships/hyperlink" Target="https://www.themeateater.com/watch/6175617016001/how-to-break-down-a-deer-s-hind-leg" TargetMode="External"/><Relationship Id="rId197" Type="http://schemas.openxmlformats.org/officeDocument/2006/relationships/hyperlink" Target="https://realtree.com/timber-2-table-articles/how-to-save-and-cook-venison-caul-fat" TargetMode="External"/><Relationship Id="rId196" Type="http://schemas.openxmlformats.org/officeDocument/2006/relationships/hyperlink" Target="https://www.themeateater.com/cook/butchering-and-processing/how-to-use-wild-game-fat" TargetMode="External"/><Relationship Id="rId195" Type="http://schemas.openxmlformats.org/officeDocument/2006/relationships/hyperlink" Target="https://realtree.com/timber-2-table-wild-game-recipes/black-pepper-and-honey-deer-steak-bites-recipe" TargetMode="External"/><Relationship Id="rId199" Type="http://schemas.openxmlformats.org/officeDocument/2006/relationships/hyperlink" Target="https://www.themeateater.com/wired-to-hunt/whitetail-management/whitetails-and-mulies-a-comparison" TargetMode="External"/><Relationship Id="rId150" Type="http://schemas.openxmlformats.org/officeDocument/2006/relationships/hyperlink" Target="https://www.wideopenspaces.com/best-deer-hunting-rifles/" TargetMode="External"/><Relationship Id="rId149" Type="http://schemas.openxmlformats.org/officeDocument/2006/relationships/hyperlink" Target="https://realtree.com/deer-hunting/articles/the-new-hunter-s-guide-to-buying-your-first-deer-rifle" TargetMode="External"/><Relationship Id="rId148" Type="http://schemas.openxmlformats.org/officeDocument/2006/relationships/hyperlink" Target="https://www.themeateater.com/hunt/firearm-hunting/5-best-rifles-for-new-hunters" TargetMode="External"/><Relationship Id="rId1090" Type="http://schemas.openxmlformats.org/officeDocument/2006/relationships/hyperlink" Target="https://www.themeateater.com/recipes/cuts/backstrap" TargetMode="External"/><Relationship Id="rId1091" Type="http://schemas.openxmlformats.org/officeDocument/2006/relationships/hyperlink" Target="https://realtree.com/timber-2-table-wild-game-recipes/reverse-seared-smoked-venison-backstrap" TargetMode="External"/><Relationship Id="rId1092" Type="http://schemas.openxmlformats.org/officeDocument/2006/relationships/hyperlink" Target="https://www.wideopenspaces.com/grilled-venison-backstrap-recipe-is-a-mouthwatering-favorite/" TargetMode="External"/><Relationship Id="rId1093" Type="http://schemas.openxmlformats.org/officeDocument/2006/relationships/hyperlink" Target="https://www.themeateater.com/hunt/black-tailed-deer/a-guide-to-hunting-blacktail-deer" TargetMode="External"/><Relationship Id="rId1094" Type="http://schemas.openxmlformats.org/officeDocument/2006/relationships/hyperlink" Target="https://www.themeateater.com/wired-to-hunt/whitetail-hunting/how-mark-drury-predicts-buck-movement-based-on-wind" TargetMode="External"/><Relationship Id="rId143" Type="http://schemas.openxmlformats.org/officeDocument/2006/relationships/hyperlink" Target="https://www.themeateater.com/wired-to-hunt/whitetail-management/why-some-whitetails-grow-fangs" TargetMode="External"/><Relationship Id="rId1095" Type="http://schemas.openxmlformats.org/officeDocument/2006/relationships/hyperlink" Target="https://www.wideopenspaces.com/a-more-detailed-look-at-the-drury-outdoors-deercast-hunting-app/" TargetMode="External"/><Relationship Id="rId142" Type="http://schemas.openxmlformats.org/officeDocument/2006/relationships/hyperlink" Target="https://realtree.com/timber-2-table-wild-game-recipes/easy-deer-camp-red-beans-and-rice-with-venison-and-sausage" TargetMode="External"/><Relationship Id="rId1096" Type="http://schemas.openxmlformats.org/officeDocument/2006/relationships/hyperlink" Target="https://www.themeateater.com/cook/recipes/guinness-venison-stew" TargetMode="External"/><Relationship Id="rId141" Type="http://schemas.openxmlformats.org/officeDocument/2006/relationships/hyperlink" Target="https://www.themeateater.com/cook/recipes/the-only-venison-breakfast-sausage-recipe-you-need" TargetMode="External"/><Relationship Id="rId1097" Type="http://schemas.openxmlformats.org/officeDocument/2006/relationships/hyperlink" Target="https://realtree.com/timber-2-table-wild-game-recipes/bonnies-easy-venison-stew" TargetMode="External"/><Relationship Id="rId140" Type="http://schemas.openxmlformats.org/officeDocument/2006/relationships/hyperlink" Target="https://www.wideopenspaces.com/deer-hunting-in-the-rain/" TargetMode="External"/><Relationship Id="rId1098" Type="http://schemas.openxmlformats.org/officeDocument/2006/relationships/hyperlink" Target="https://www.themeateater.com/cook/recipes/guinness-venison-stew" TargetMode="External"/><Relationship Id="rId147" Type="http://schemas.openxmlformats.org/officeDocument/2006/relationships/hyperlink" Target="https://realtree.com/deer-hunting/articles/smack-talk-aggressive-deer-calling-strategies" TargetMode="External"/><Relationship Id="rId1099" Type="http://schemas.openxmlformats.org/officeDocument/2006/relationships/hyperlink" Target="https://realtree.com/timber-2-table-wild-game-recipes/muley-caldillo-mexican-style-mule-deer-stew" TargetMode="External"/><Relationship Id="rId146" Type="http://schemas.openxmlformats.org/officeDocument/2006/relationships/hyperlink" Target="https://www.themeateater.com/wired-to-hunt/whitetail-hunting/how-to-call-in-bucks-during-each-phase-of-the-season" TargetMode="External"/><Relationship Id="rId145" Type="http://schemas.openxmlformats.org/officeDocument/2006/relationships/hyperlink" Target="https://www.wideopenspaces.com/have-you-ever-seen-a-mule-deer-with-fangs-before/" TargetMode="External"/><Relationship Id="rId144" Type="http://schemas.openxmlformats.org/officeDocument/2006/relationships/hyperlink" Target="https://realtree.com/brow-tines-and-backstrap/some-deer-have-fangs" TargetMode="External"/><Relationship Id="rId139" Type="http://schemas.openxmlformats.org/officeDocument/2006/relationships/hyperlink" Target="https://realtree.com/brow-tines-and-backstrap/why-windy-days-are-great-for-deer-hunting" TargetMode="External"/><Relationship Id="rId138" Type="http://schemas.openxmlformats.org/officeDocument/2006/relationships/hyperlink" Target="https://www.themeateater.com/wired-to-hunt/whitetail-hunting/should-you-deer-hunt-in-the-rain" TargetMode="External"/><Relationship Id="rId137" Type="http://schemas.openxmlformats.org/officeDocument/2006/relationships/hyperlink" Target="https://realtree.com/deer-hunting/articles/8-major-differences-between-whitetails-and-mule-deer" TargetMode="External"/><Relationship Id="rId1080" Type="http://schemas.openxmlformats.org/officeDocument/2006/relationships/hyperlink" Target="https://www.themeateater.com/wired-to-hunt/whitetail-scouting/where-do-deer-sleep" TargetMode="External"/><Relationship Id="rId1081" Type="http://schemas.openxmlformats.org/officeDocument/2006/relationships/hyperlink" Target="https://www.themeateater.com/watch/6174832058001/steven-rinella-tracks-coues-deer-in-arizona" TargetMode="External"/><Relationship Id="rId1082" Type="http://schemas.openxmlformats.org/officeDocument/2006/relationships/hyperlink" Target="https://www.themeateater.com/cook/butchering-and-processing/video-how-to-remove-a-venison-hindquarter" TargetMode="External"/><Relationship Id="rId1083" Type="http://schemas.openxmlformats.org/officeDocument/2006/relationships/hyperlink" Target="https://www.wideopenspaces.com/deer-bone-marrow/" TargetMode="External"/><Relationship Id="rId132" Type="http://schemas.openxmlformats.org/officeDocument/2006/relationships/hyperlink" Target="https://www.themeateater.com/conservation/wildlife-management/why-do-female-deer-sometimes-grow-antlers" TargetMode="External"/><Relationship Id="rId1084" Type="http://schemas.openxmlformats.org/officeDocument/2006/relationships/hyperlink" Target="https://www.themeateater.com/conservation/wildlife-management/is-killing-more-deer-the-answer-to-reducing-tick-diseases" TargetMode="External"/><Relationship Id="rId131" Type="http://schemas.openxmlformats.org/officeDocument/2006/relationships/hyperlink" Target="https://www.wideopenspaces.com/top-5-youth-hunting-rifles-deer-hunting-pics/" TargetMode="External"/><Relationship Id="rId1085" Type="http://schemas.openxmlformats.org/officeDocument/2006/relationships/hyperlink" Target="https://www.themeateater.com/hunt/whitetail-deer/is-this-50-point-whitetail-the-new-world-record" TargetMode="External"/><Relationship Id="rId130" Type="http://schemas.openxmlformats.org/officeDocument/2006/relationships/hyperlink" Target="https://realtree.com/brow-tines-and-backstrap/why-you-should-use-an-ar-15-as-a-deer-rifle" TargetMode="External"/><Relationship Id="rId1086" Type="http://schemas.openxmlformats.org/officeDocument/2006/relationships/hyperlink" Target="https://www.wideopenspaces.com/check-25-awesome-vintage-deer-hunting-photos-whitetailwednesday/" TargetMode="External"/><Relationship Id="rId1087" Type="http://schemas.openxmlformats.org/officeDocument/2006/relationships/hyperlink" Target="https://www.themeateater.com/hunt/big-game/what-to-do-when-you-plan-on-getting-a-deer-mounted" TargetMode="External"/><Relationship Id="rId136" Type="http://schemas.openxmlformats.org/officeDocument/2006/relationships/hyperlink" Target="https://www.themeateater.com/wired-to-hunt/whitetail-management/whitetails-and-mulies-a-comparison" TargetMode="External"/><Relationship Id="rId1088" Type="http://schemas.openxmlformats.org/officeDocument/2006/relationships/hyperlink" Target="https://realtree.com/brow-tines-and-backstrap/20-crazy-good-deer-mounts-from-the-nwtf-convention" TargetMode="External"/><Relationship Id="rId135" Type="http://schemas.openxmlformats.org/officeDocument/2006/relationships/hyperlink" Target="https://www.wideopenspaces.com/field-dressing-deer-with-gloves/" TargetMode="External"/><Relationship Id="rId1089" Type="http://schemas.openxmlformats.org/officeDocument/2006/relationships/hyperlink" Target="https://www.wideopenspaces.com/taxidermy-deer-mount-how-much/" TargetMode="External"/><Relationship Id="rId134" Type="http://schemas.openxmlformats.org/officeDocument/2006/relationships/hyperlink" Target="https://realtree.com/deer-hunting/articles/7-serious-field-dressing-mistakes" TargetMode="External"/><Relationship Id="rId133" Type="http://schemas.openxmlformats.org/officeDocument/2006/relationships/hyperlink" Target="https://www.themeateater.com/watch/6175620095001/how-to-field-dress-a-deer-with-steven-rinella" TargetMode="External"/><Relationship Id="rId172" Type="http://schemas.openxmlformats.org/officeDocument/2006/relationships/hyperlink" Target="https://realtree.com/deer-hunting/articles/smack-talk-aggressive-deer-calling-strategies" TargetMode="External"/><Relationship Id="rId171" Type="http://schemas.openxmlformats.org/officeDocument/2006/relationships/hyperlink" Target="https://www.themeateater.com/wired-to-hunt/whitetail-hunting/how-to-call-in-bucks-during-each-phase-of-the-season" TargetMode="External"/><Relationship Id="rId170" Type="http://schemas.openxmlformats.org/officeDocument/2006/relationships/hyperlink" Target="https://www.wideopenspaces.com/where-to-shoot-a-deer-for-the-best-odds-of-a-quick-kill/" TargetMode="External"/><Relationship Id="rId165" Type="http://schemas.openxmlformats.org/officeDocument/2006/relationships/hyperlink" Target="https://www.themeateater.com/wired-to-hunt/whitetail-hunting/should-you-deer-hunt-in-the-rain" TargetMode="External"/><Relationship Id="rId164" Type="http://schemas.openxmlformats.org/officeDocument/2006/relationships/hyperlink" Target="https://realtree.com/deer-hunting/articles/smack-talk-aggressive-deer-calling-strategies" TargetMode="External"/><Relationship Id="rId163" Type="http://schemas.openxmlformats.org/officeDocument/2006/relationships/hyperlink" Target="https://www.themeateater.com/wired-to-hunt/whitetail-hunting/how-to-call-in-bucks-during-each-phase-of-the-season" TargetMode="External"/><Relationship Id="rId162" Type="http://schemas.openxmlformats.org/officeDocument/2006/relationships/hyperlink" Target="https://realtree.com/brow-tines-and-backstrap/do-bucks-delay-their-response-to-grunt-calls" TargetMode="External"/><Relationship Id="rId169" Type="http://schemas.openxmlformats.org/officeDocument/2006/relationships/hyperlink" Target="https://realtree.com/deer-hunting/articles/the-best-shot-placement-on-deer" TargetMode="External"/><Relationship Id="rId168" Type="http://schemas.openxmlformats.org/officeDocument/2006/relationships/hyperlink" Target="https://www.themeateater.com/wired-to-hunt/whitetail-hunting/where-to-shoot-a-deer" TargetMode="External"/><Relationship Id="rId167" Type="http://schemas.openxmlformats.org/officeDocument/2006/relationships/hyperlink" Target="https://www.themeateater.com/hunt/firearm-hunting/caliber-battle-223-rem-vs-22-250-rem" TargetMode="External"/><Relationship Id="rId166" Type="http://schemas.openxmlformats.org/officeDocument/2006/relationships/hyperlink" Target="https://www.wideopenspaces.com/deer-hunting-in-the-rain/" TargetMode="External"/><Relationship Id="rId161" Type="http://schemas.openxmlformats.org/officeDocument/2006/relationships/hyperlink" Target="https://www.themeateater.com/wired-to-hunt/whitetail-hunting/3-grunt-call-vocalizations-every-whitetail-hunter-should-know" TargetMode="External"/><Relationship Id="rId160" Type="http://schemas.openxmlformats.org/officeDocument/2006/relationships/hyperlink" Target="https://www.themeateater.com/wired-to-hunt/whitetail-scouting/where-do-deer-sleep" TargetMode="External"/><Relationship Id="rId159" Type="http://schemas.openxmlformats.org/officeDocument/2006/relationships/hyperlink" Target="https://www.wideopenspaces.com/mel-johnson-buck/" TargetMode="External"/><Relationship Id="rId154" Type="http://schemas.openxmlformats.org/officeDocument/2006/relationships/hyperlink" Target="https://www.themeateater.com/hunt/whitetail-deer/how-to-gut-a-deer" TargetMode="External"/><Relationship Id="rId153" Type="http://schemas.openxmlformats.org/officeDocument/2006/relationships/hyperlink" Target="https://www.wideopenspaces.com/where-to-shoot-a-deer-for-the-best-odds-of-a-quick-kill/" TargetMode="External"/><Relationship Id="rId152" Type="http://schemas.openxmlformats.org/officeDocument/2006/relationships/hyperlink" Target="https://realtree.com/deer-hunting/articles/the-best-shot-placement-on-deer" TargetMode="External"/><Relationship Id="rId151" Type="http://schemas.openxmlformats.org/officeDocument/2006/relationships/hyperlink" Target="https://www.themeateater.com/wired-to-hunt/whitetail-hunting/where-to-shoot-a-deer" TargetMode="External"/><Relationship Id="rId158" Type="http://schemas.openxmlformats.org/officeDocument/2006/relationships/hyperlink" Target="https://realtree.com/deer-hunting/articles/heads-of-state-all-about-state-record-bucks" TargetMode="External"/><Relationship Id="rId157" Type="http://schemas.openxmlformats.org/officeDocument/2006/relationships/hyperlink" Target="https://www.themeateater.com/hunt/whitetail-deer/this-might-be-the-new-world-record-whitetail" TargetMode="External"/><Relationship Id="rId156" Type="http://schemas.openxmlformats.org/officeDocument/2006/relationships/hyperlink" Target="https://www.wideopenspaces.com/hunting-myth-buster-never-gut-a-deer-near-your-treestand/" TargetMode="External"/><Relationship Id="rId155" Type="http://schemas.openxmlformats.org/officeDocument/2006/relationships/hyperlink" Target="https://realtree.com/timber-2-table-wild-game-recipes/how-to-gut-a-deer-in-6-steps" TargetMode="External"/><Relationship Id="rId1972" Type="http://schemas.openxmlformats.org/officeDocument/2006/relationships/hyperlink" Target="https://www.wideopenspaces.com/do-deer-eat-meat/" TargetMode="External"/><Relationship Id="rId1973" Type="http://schemas.openxmlformats.org/officeDocument/2006/relationships/hyperlink" Target="https://realtree.com/the-realblog-with-stephanie-mallory/did-you-know-deer-eat-meat" TargetMode="External"/><Relationship Id="rId1974" Type="http://schemas.openxmlformats.org/officeDocument/2006/relationships/hyperlink" Target="https://www.wideopenspaces.com/deer-eats-bird/" TargetMode="External"/><Relationship Id="rId1975" Type="http://schemas.openxmlformats.org/officeDocument/2006/relationships/hyperlink" Target="https://www.wideopenspaces.com/deer-eats-bird/" TargetMode="External"/><Relationship Id="rId1976" Type="http://schemas.openxmlformats.org/officeDocument/2006/relationships/hyperlink" Target="https://realtree.com/brow-tines-and-backstrap/2022-southeast-deer-hunting-forecast" TargetMode="External"/><Relationship Id="rId1977" Type="http://schemas.openxmlformats.org/officeDocument/2006/relationships/hyperlink" Target="https://business.realtree.com/business-blog/deer-are-no-1-driver-hunter-spending" TargetMode="External"/><Relationship Id="rId1978" Type="http://schemas.openxmlformats.org/officeDocument/2006/relationships/hyperlink" Target="https://realtree.com/brow-tines-and-backstrap/debate-settled-deep-south-deer-are-the-toughest-to-hunt" TargetMode="External"/><Relationship Id="rId1979" Type="http://schemas.openxmlformats.org/officeDocument/2006/relationships/hyperlink" Target="https://www.wideopenspaces.com/alabama-hunting-license/" TargetMode="External"/><Relationship Id="rId1970" Type="http://schemas.openxmlformats.org/officeDocument/2006/relationships/hyperlink" Target="https://realtree.com/brow-tines-and-backstrap/5-watering-habits-of-mature-deer" TargetMode="External"/><Relationship Id="rId1971" Type="http://schemas.openxmlformats.org/officeDocument/2006/relationships/hyperlink" Target="https://realtree.com/brow-tines-and-backstrap/10-feeding-habits-of-mature-deer" TargetMode="External"/><Relationship Id="rId1961" Type="http://schemas.openxmlformats.org/officeDocument/2006/relationships/hyperlink" Target="https://realtree.com/deer-hunting/articles/10-tips-for-great-deer-pictures" TargetMode="External"/><Relationship Id="rId1962" Type="http://schemas.openxmlformats.org/officeDocument/2006/relationships/hyperlink" Target="https://realtree.com/brow-tines-and-backstrap/7-different-deer-taxidermy-options-and-their-costs" TargetMode="External"/><Relationship Id="rId1963" Type="http://schemas.openxmlformats.org/officeDocument/2006/relationships/hyperlink" Target="https://realtree.com/deer-hunting/articles/can-you-talk-deer" TargetMode="External"/><Relationship Id="rId1964" Type="http://schemas.openxmlformats.org/officeDocument/2006/relationships/hyperlink" Target="https://www.wideopenspaces.com/deer-sounds-making-sense-of-the-sounds-of-the-deer-woods/" TargetMode="External"/><Relationship Id="rId1965" Type="http://schemas.openxmlformats.org/officeDocument/2006/relationships/hyperlink" Target="https://realtree.com/deer-hunting/articles/smack-talk-aggressive-deer-calling-strategies" TargetMode="External"/><Relationship Id="rId1966" Type="http://schemas.openxmlformats.org/officeDocument/2006/relationships/hyperlink" Target="https://realtree.com/brow-tines-and-backstrap/10-best-deer-hunting-apps-for-2019" TargetMode="External"/><Relationship Id="rId1967" Type="http://schemas.openxmlformats.org/officeDocument/2006/relationships/hyperlink" Target="https://www.wideopenspaces.com/review-of-deercast-by-drury-outdoors/" TargetMode="External"/><Relationship Id="rId1968" Type="http://schemas.openxmlformats.org/officeDocument/2006/relationships/hyperlink" Target="https://realtree.com/deer-hunting/articles/deer-hunting-debate-does-culling-really-work" TargetMode="External"/><Relationship Id="rId1969" Type="http://schemas.openxmlformats.org/officeDocument/2006/relationships/hyperlink" Target="https://www.wideopenspaces.com/video-bedded-buck-finds-ease-christmas-deer-decorations/" TargetMode="External"/><Relationship Id="rId1960" Type="http://schemas.openxmlformats.org/officeDocument/2006/relationships/hyperlink" Target="https://www.wideopenspaces.com/5-deer-attractants-drive-whitetail-bucks-crazy-pics/" TargetMode="External"/><Relationship Id="rId1510" Type="http://schemas.openxmlformats.org/officeDocument/2006/relationships/hyperlink" Target="https://www.wideopenspaces.com/pennsylvania-deer-hunting/" TargetMode="External"/><Relationship Id="rId1994" Type="http://schemas.openxmlformats.org/officeDocument/2006/relationships/hyperlink" Target="https://realtree.com/deer-hunting/articles/10-tips-for-great-deer-pictures" TargetMode="External"/><Relationship Id="rId1511" Type="http://schemas.openxmlformats.org/officeDocument/2006/relationships/hyperlink" Target="https://www.wideopenspaces.com/the-difference-between-a-bull-elk-and-a-red-stag/" TargetMode="External"/><Relationship Id="rId1995" Type="http://schemas.openxmlformats.org/officeDocument/2006/relationships/hyperlink" Target="https://realtree.com/brow-tines-and-backstrap/whitetail-taxidermy-poses-for-your-next-deer-mount" TargetMode="External"/><Relationship Id="rId1512" Type="http://schemas.openxmlformats.org/officeDocument/2006/relationships/hyperlink" Target="https://www.wideopenspaces.com/when-does-deer-season-end-in-texas/" TargetMode="External"/><Relationship Id="rId1996" Type="http://schemas.openxmlformats.org/officeDocument/2006/relationships/hyperlink" Target="https://www.wideopenspaces.com/deer-hunting-in-ohio-what-you-should-know/" TargetMode="External"/><Relationship Id="rId1513" Type="http://schemas.openxmlformats.org/officeDocument/2006/relationships/hyperlink" Target="https://www.wideopenspaces.com/when-does-deer-season-end-in-texas/" TargetMode="External"/><Relationship Id="rId1997" Type="http://schemas.openxmlformats.org/officeDocument/2006/relationships/hyperlink" Target="https://www.wideopenspaces.com/georgia-deer-hunting/" TargetMode="External"/><Relationship Id="rId1514" Type="http://schemas.openxmlformats.org/officeDocument/2006/relationships/hyperlink" Target="https://realtree.com/brow-tines-and-backstrap/wisconsin-hunters-reject-changes-to-deer-season" TargetMode="External"/><Relationship Id="rId1998" Type="http://schemas.openxmlformats.org/officeDocument/2006/relationships/hyperlink" Target="https://realtree.com/deer-hunting/articles/where-to-deer-hunt-in-february" TargetMode="External"/><Relationship Id="rId1515" Type="http://schemas.openxmlformats.org/officeDocument/2006/relationships/hyperlink" Target="https://www.wideopenspaces.com/invasion-axis-deer/" TargetMode="External"/><Relationship Id="rId1999" Type="http://schemas.openxmlformats.org/officeDocument/2006/relationships/hyperlink" Target="https://www.wideopenspaces.com/hunt-deer-january-february/" TargetMode="External"/><Relationship Id="rId1516" Type="http://schemas.openxmlformats.org/officeDocument/2006/relationships/hyperlink" Target="https://realtree.com/brow-tines-and-backstrap/8-things-you-can-use-to-bait-deer" TargetMode="External"/><Relationship Id="rId1517" Type="http://schemas.openxmlformats.org/officeDocument/2006/relationships/hyperlink" Target="https://www.wideopenspaces.com/5-deer-attractants-drive-whitetail-bucks-crazy-pics/" TargetMode="External"/><Relationship Id="rId1518" Type="http://schemas.openxmlformats.org/officeDocument/2006/relationships/hyperlink" Target="https://www.wideopenspaces.com/blue-tongue-disease-in-deer/" TargetMode="External"/><Relationship Id="rId1519" Type="http://schemas.openxmlformats.org/officeDocument/2006/relationships/hyperlink" Target="https://realtree.com/brow-tines-and-backstrap/8-things-you-can-use-to-bait-deer" TargetMode="External"/><Relationship Id="rId1990" Type="http://schemas.openxmlformats.org/officeDocument/2006/relationships/hyperlink" Target="https://realtree.com/brow-tines-and-backstrap/10-amazing-facts-about-velvet-antlers" TargetMode="External"/><Relationship Id="rId1991" Type="http://schemas.openxmlformats.org/officeDocument/2006/relationships/hyperlink" Target="https://realtree.com/brow-tines-and-backstrap/wisconsin-hunters-reject-changes-to-deer-season" TargetMode="External"/><Relationship Id="rId1992" Type="http://schemas.openxmlformats.org/officeDocument/2006/relationships/hyperlink" Target="https://realtree.com/brow-tines-and-backstrap/2022-midwest-deer-hunting-forecast" TargetMode="External"/><Relationship Id="rId1993" Type="http://schemas.openxmlformats.org/officeDocument/2006/relationships/hyperlink" Target="https://realtree.com/brow-tines-and-backstrap/7-different-deer-taxidermy-options-and-their-costs" TargetMode="External"/><Relationship Id="rId1983" Type="http://schemas.openxmlformats.org/officeDocument/2006/relationships/hyperlink" Target="https://www.wideopenspaces.com/pennsylvania-deer-hunting/" TargetMode="External"/><Relationship Id="rId1500" Type="http://schemas.openxmlformats.org/officeDocument/2006/relationships/hyperlink" Target="https://www.wideopenspaces.com/when-does-deer-season-end-in-georgia/" TargetMode="External"/><Relationship Id="rId1984" Type="http://schemas.openxmlformats.org/officeDocument/2006/relationships/hyperlink" Target="https://www.wideopenspaces.com/indiana-shotgun-deer-season/" TargetMode="External"/><Relationship Id="rId1501" Type="http://schemas.openxmlformats.org/officeDocument/2006/relationships/hyperlink" Target="https://realtree.com/brow-tines-and-backstrap/kentucky-proposes-massive-changes-to-deer-hunting-seasons-and-regulations" TargetMode="External"/><Relationship Id="rId1985" Type="http://schemas.openxmlformats.org/officeDocument/2006/relationships/hyperlink" Target="https://www.wideopenspaces.com/deer-hunting-in-ohio-what-you-should-know/" TargetMode="External"/><Relationship Id="rId1502" Type="http://schemas.openxmlformats.org/officeDocument/2006/relationships/hyperlink" Target="https://realtree.com/brow-tines-and-backstrap/don-t-let-a-dead-deer-kill-you" TargetMode="External"/><Relationship Id="rId1986" Type="http://schemas.openxmlformats.org/officeDocument/2006/relationships/hyperlink" Target="https://realtree.com/deer-hunting/articles/5-no-draw-bargain-whitetail-hunts-you-can-do-this-year" TargetMode="External"/><Relationship Id="rId1503" Type="http://schemas.openxmlformats.org/officeDocument/2006/relationships/hyperlink" Target="https://www.wideopenspaces.com/heres-michigans-early-antlerless-deer-season-explained-quickly-easily/" TargetMode="External"/><Relationship Id="rId1987" Type="http://schemas.openxmlformats.org/officeDocument/2006/relationships/hyperlink" Target="https://www.wideopenspaces.com/indiana-shotgun-deer-season/" TargetMode="External"/><Relationship Id="rId1504" Type="http://schemas.openxmlformats.org/officeDocument/2006/relationships/hyperlink" Target="https://www.wideopenspaces.com/michigan-muzzleloader-season/" TargetMode="External"/><Relationship Id="rId1988" Type="http://schemas.openxmlformats.org/officeDocument/2006/relationships/hyperlink" Target="https://realtree.com/the-realblog-with-stephanie-mallory/texas-rancher-fights-back-as-state-plans-to-kill-500-penned-deer" TargetMode="External"/><Relationship Id="rId1505" Type="http://schemas.openxmlformats.org/officeDocument/2006/relationships/hyperlink" Target="https://realtree.com/brow-tines-and-backstrap/2022-southeast-deer-hunting-forecast" TargetMode="External"/><Relationship Id="rId1989" Type="http://schemas.openxmlformats.org/officeDocument/2006/relationships/hyperlink" Target="https://www.wideopenspaces.com/when-does-deer-season-end-in-texas/" TargetMode="External"/><Relationship Id="rId1506" Type="http://schemas.openxmlformats.org/officeDocument/2006/relationships/hyperlink" Target="https://www.wideopenspaces.com/hunt-deer-january-february/" TargetMode="External"/><Relationship Id="rId1507" Type="http://schemas.openxmlformats.org/officeDocument/2006/relationships/hyperlink" Target="https://www.wideopenspaces.com/mn-deer-hunting-zones/" TargetMode="External"/><Relationship Id="rId1508" Type="http://schemas.openxmlformats.org/officeDocument/2006/relationships/hyperlink" Target="https://www.wideopenspaces.com/when-does-deer-season-end-in-texas/" TargetMode="External"/><Relationship Id="rId1509" Type="http://schemas.openxmlformats.org/officeDocument/2006/relationships/hyperlink" Target="https://realtree.com/deer-hunting/articles/the-best-times-to-deer-hunt-in-2022" TargetMode="External"/><Relationship Id="rId1980" Type="http://schemas.openxmlformats.org/officeDocument/2006/relationships/hyperlink" Target="https://www.wideopenspaces.com/whitetailwednesday-15-hilarious-deer-hunting-memes-true/" TargetMode="External"/><Relationship Id="rId1981" Type="http://schemas.openxmlformats.org/officeDocument/2006/relationships/hyperlink" Target="https://realtree.com/brow-tines-and-backstrap/2022-midwest-deer-hunting-forecast" TargetMode="External"/><Relationship Id="rId1982" Type="http://schemas.openxmlformats.org/officeDocument/2006/relationships/hyperlink" Target="https://www.wideopenspaces.com/mn-deer-hunting-zones/" TargetMode="External"/><Relationship Id="rId1930" Type="http://schemas.openxmlformats.org/officeDocument/2006/relationships/hyperlink" Target="https://www.wideopenspaces.com/everything-you-wanted-to-know-about-winchester-deer-season-xp-ammo/" TargetMode="External"/><Relationship Id="rId1931" Type="http://schemas.openxmlformats.org/officeDocument/2006/relationships/hyperlink" Target="https://realtree.com/" TargetMode="External"/><Relationship Id="rId1932" Type="http://schemas.openxmlformats.org/officeDocument/2006/relationships/hyperlink" Target="https://www.wideopenspaces.com/missouri-youth-hunt-records-astounding-deer-kill-number/" TargetMode="External"/><Relationship Id="rId1933" Type="http://schemas.openxmlformats.org/officeDocument/2006/relationships/hyperlink" Target="https://www.wideopenspaces.com/10-best-reasonably-priced-deer-stand-options/" TargetMode="External"/><Relationship Id="rId1934" Type="http://schemas.openxmlformats.org/officeDocument/2006/relationships/hyperlink" Target="https://realtree.com/deer-hunting/articles/how-to-score-a-buck-on-the-boone-and-crocket-scale" TargetMode="External"/><Relationship Id="rId1935" Type="http://schemas.openxmlformats.org/officeDocument/2006/relationships/hyperlink" Target="https://www.wideopenspaces.com/8-point-buck/" TargetMode="External"/><Relationship Id="rId1936" Type="http://schemas.openxmlformats.org/officeDocument/2006/relationships/hyperlink" Target="https://www.wideopenspaces.com/whitetailwednesday-should-we-shoot-albino-and-piebald-deer/" TargetMode="External"/><Relationship Id="rId1937" Type="http://schemas.openxmlformats.org/officeDocument/2006/relationships/hyperlink" Target="https://www.wideopenspaces.com/biologists-studying-utahs-antelope-island-mule-deer-herd-through-radio-collar-study/" TargetMode="External"/><Relationship Id="rId1938" Type="http://schemas.openxmlformats.org/officeDocument/2006/relationships/hyperlink" Target="https://www.wideopenspaces.com/deer-sounds-making-sense-of-the-sounds-of-the-deer-woods/" TargetMode="External"/><Relationship Id="rId1939" Type="http://schemas.openxmlformats.org/officeDocument/2006/relationships/hyperlink" Target="https://www.wideopenspaces.com/concrete-evidence-bear-proof-feeders-need/" TargetMode="External"/><Relationship Id="rId1920" Type="http://schemas.openxmlformats.org/officeDocument/2006/relationships/hyperlink" Target="https://realtree.com/deer-hunting/articles/how-mature-bucks-use-the-wind" TargetMode="External"/><Relationship Id="rId1921" Type="http://schemas.openxmlformats.org/officeDocument/2006/relationships/hyperlink" Target="https://realtree.com/brow-tines-and-backstrap/alabama-rut-kicking-police-dog-saves-deer-hunter-from-icy-river-and-more" TargetMode="External"/><Relationship Id="rId1922" Type="http://schemas.openxmlformats.org/officeDocument/2006/relationships/hyperlink" Target="https://realtree.com/deer-hunting/articles/how-to-deer-hunt-in-december" TargetMode="External"/><Relationship Id="rId1923" Type="http://schemas.openxmlformats.org/officeDocument/2006/relationships/hyperlink" Target="https://www.wideopenspaces.com/when-does-deer-season-end-in-georgia/" TargetMode="External"/><Relationship Id="rId1924" Type="http://schemas.openxmlformats.org/officeDocument/2006/relationships/hyperlink" Target="https://www.wideopenspaces.com/when-does-deer-season-end-in-georgia/" TargetMode="External"/><Relationship Id="rId1925" Type="http://schemas.openxmlformats.org/officeDocument/2006/relationships/hyperlink" Target="https://www.wideopenspaces.com/when-does-deer-season-end-in-georgia/" TargetMode="External"/><Relationship Id="rId1926" Type="http://schemas.openxmlformats.org/officeDocument/2006/relationships/hyperlink" Target="https://www.wideopenspaces.com/invasion-axis-deer/" TargetMode="External"/><Relationship Id="rId1927" Type="http://schemas.openxmlformats.org/officeDocument/2006/relationships/hyperlink" Target="https://www.wideopenspaces.com/whitetail-deer-gestation-period/" TargetMode="External"/><Relationship Id="rId1928" Type="http://schemas.openxmlformats.org/officeDocument/2006/relationships/hyperlink" Target="https://realtree.com/brow-tines-and-backstrap/how-long-do-white-tailed-deer-live" TargetMode="External"/><Relationship Id="rId1929" Type="http://schemas.openxmlformats.org/officeDocument/2006/relationships/hyperlink" Target="https://www.wideopenspaces.com/lifespan-whitetail-deer/" TargetMode="External"/><Relationship Id="rId1950" Type="http://schemas.openxmlformats.org/officeDocument/2006/relationships/hyperlink" Target="https://www.wideopenspaces.com/invasion-axis-deer/" TargetMode="External"/><Relationship Id="rId1951" Type="http://schemas.openxmlformats.org/officeDocument/2006/relationships/hyperlink" Target="https://realtree.com/brow-tines-and-backstrap/how-to-use-a-trail-camera" TargetMode="External"/><Relationship Id="rId1952" Type="http://schemas.openxmlformats.org/officeDocument/2006/relationships/hyperlink" Target="https://www.wideopenspaces.com/wild-game-innovations-unveils-new-trail-cameras-for-ata-show/" TargetMode="External"/><Relationship Id="rId1953" Type="http://schemas.openxmlformats.org/officeDocument/2006/relationships/hyperlink" Target="https://realtree.com/deer-hunting/articles/deer-hunting-debate-does-culling-really-work" TargetMode="External"/><Relationship Id="rId1954" Type="http://schemas.openxmlformats.org/officeDocument/2006/relationships/hyperlink" Target="https://realtree.com/deer-hunting/articles/how-to-score-a-buck-on-the-boone-and-crocket-scale" TargetMode="External"/><Relationship Id="rId1955" Type="http://schemas.openxmlformats.org/officeDocument/2006/relationships/hyperlink" Target="https://www.wideopenspaces.com/you-wont-believe-this-video-is-just-an-8-point-buck/" TargetMode="External"/><Relationship Id="rId1956" Type="http://schemas.openxmlformats.org/officeDocument/2006/relationships/hyperlink" Target="https://realtree.com/brow-tines-and-backstrap/why-bucks-shed-antlers-and-how-to-hunt-them" TargetMode="External"/><Relationship Id="rId1957" Type="http://schemas.openxmlformats.org/officeDocument/2006/relationships/hyperlink" Target="https://www.wideopenspaces.com/deer-shed-antlers-pics/" TargetMode="External"/><Relationship Id="rId1958" Type="http://schemas.openxmlformats.org/officeDocument/2006/relationships/hyperlink" Target="https://realtree.com/the-realblog-with-stephanie-mallory/watch-buck-attack-during-filming-of-kentucky-afield-television" TargetMode="External"/><Relationship Id="rId1959" Type="http://schemas.openxmlformats.org/officeDocument/2006/relationships/hyperlink" Target="https://realtree.com/brow-tines-and-backstrap/8-things-you-can-use-to-bait-deer" TargetMode="External"/><Relationship Id="rId1940" Type="http://schemas.openxmlformats.org/officeDocument/2006/relationships/hyperlink" Target="https://realtree.com/brow-tines-and-backstrap/8-things-you-can-use-to-bait-deer" TargetMode="External"/><Relationship Id="rId1941" Type="http://schemas.openxmlformats.org/officeDocument/2006/relationships/hyperlink" Target="https://www.wideopenspaces.com/5-deer-attractants-drive-whitetail-bucks-crazy-pics/" TargetMode="External"/><Relationship Id="rId1942" Type="http://schemas.openxmlformats.org/officeDocument/2006/relationships/hyperlink" Target="https://www.wideopenspaces.com/best-deer-feeders/" TargetMode="External"/><Relationship Id="rId1943" Type="http://schemas.openxmlformats.org/officeDocument/2006/relationships/hyperlink" Target="https://realtree.com/brow-tines-and-backstrap/have-you-ever-seen-a-melanistic-whitetail" TargetMode="External"/><Relationship Id="rId1944" Type="http://schemas.openxmlformats.org/officeDocument/2006/relationships/hyperlink" Target="https://www.wideopenspaces.com/whitetailwednesday-the-rarest-deer-color-phase-of-all-melanistic/" TargetMode="External"/><Relationship Id="rId1945" Type="http://schemas.openxmlformats.org/officeDocument/2006/relationships/hyperlink" Target="https://realtree.com/brow-tines-and-backstrap" TargetMode="External"/><Relationship Id="rId1946" Type="http://schemas.openxmlformats.org/officeDocument/2006/relationships/hyperlink" Target="https://realtree.com/the-realblog-with-stephanie-mallory/watch-live-cam-of-maine-deer-pantry" TargetMode="External"/><Relationship Id="rId1947" Type="http://schemas.openxmlformats.org/officeDocument/2006/relationships/hyperlink" Target="https://realtree.com/brow-tines-and-backstrap/will-skyrocketing-corn-prices-affect-your-deer-season" TargetMode="External"/><Relationship Id="rId1948" Type="http://schemas.openxmlformats.org/officeDocument/2006/relationships/hyperlink" Target="https://www.wideopenspaces.com/venison-dog-food/" TargetMode="External"/><Relationship Id="rId1949" Type="http://schemas.openxmlformats.org/officeDocument/2006/relationships/hyperlink" Target="https://www.wideopenspaces.com/catchin-up-with-catchin-deers-wide-open-spaces-speaks-with-former-nhler-mike-fisher/" TargetMode="External"/><Relationship Id="rId1576" Type="http://schemas.openxmlformats.org/officeDocument/2006/relationships/hyperlink" Target="https://www.wideopenspaces.com/best-deer-carts/" TargetMode="External"/><Relationship Id="rId1577" Type="http://schemas.openxmlformats.org/officeDocument/2006/relationships/hyperlink" Target="https://realtree.com/" TargetMode="External"/><Relationship Id="rId1578" Type="http://schemas.openxmlformats.org/officeDocument/2006/relationships/hyperlink" Target="https://www.wideopenspaces.com/best-camo-face-paint/" TargetMode="External"/><Relationship Id="rId1579" Type="http://schemas.openxmlformats.org/officeDocument/2006/relationships/hyperlink" Target="https://realtree.com/fish-game-forecaster" TargetMode="External"/><Relationship Id="rId509" Type="http://schemas.openxmlformats.org/officeDocument/2006/relationships/hyperlink" Target="https://www.themeateater.com/cook/recipes/garlic-herb-venison-marinade-recipe" TargetMode="External"/><Relationship Id="rId508" Type="http://schemas.openxmlformats.org/officeDocument/2006/relationships/hyperlink" Target="https://www.themeateater.com/conservation/wildlife-management/why-do-female-deer-sometimes-grow-antlers" TargetMode="External"/><Relationship Id="rId503" Type="http://schemas.openxmlformats.org/officeDocument/2006/relationships/hyperlink" Target="https://realtree.com/deer-hunting/articles/smack-talk-aggressive-deer-calling-strategies" TargetMode="External"/><Relationship Id="rId987" Type="http://schemas.openxmlformats.org/officeDocument/2006/relationships/hyperlink" Target="https://www.themeateater.com/watch/6175630772001/steven-rinella-hunts-his-first-columbia-blacktail-deer-in-california" TargetMode="External"/><Relationship Id="rId502" Type="http://schemas.openxmlformats.org/officeDocument/2006/relationships/hyperlink" Target="https://www.themeateater.com/wired-to-hunt/whitetail-hunting/3-grunt-call-vocalizations-every-whitetail-hunter-should-know" TargetMode="External"/><Relationship Id="rId986" Type="http://schemas.openxmlformats.org/officeDocument/2006/relationships/hyperlink" Target="https://www.wideopenspaces.com/what-are-the-best-deer-hunting-times-throughout-the-day/" TargetMode="External"/><Relationship Id="rId501" Type="http://schemas.openxmlformats.org/officeDocument/2006/relationships/hyperlink" Target="https://www.wideopenspaces.com/top-5-venison-marinades/" TargetMode="External"/><Relationship Id="rId985" Type="http://schemas.openxmlformats.org/officeDocument/2006/relationships/hyperlink" Target="https://realtree.com/deer-hunting/articles/the-best-times-to-deer-hunt-in-2022" TargetMode="External"/><Relationship Id="rId500" Type="http://schemas.openxmlformats.org/officeDocument/2006/relationships/hyperlink" Target="https://realtree.com/timber-2-table-wild-game-recipes/miso-marinated-venison-backstrap" TargetMode="External"/><Relationship Id="rId984" Type="http://schemas.openxmlformats.org/officeDocument/2006/relationships/hyperlink" Target="https://www.themeateater.com/wired-to-hunt/whitetail-hunting/the-debate-about-lunar-effects-on-whitetails" TargetMode="External"/><Relationship Id="rId507" Type="http://schemas.openxmlformats.org/officeDocument/2006/relationships/hyperlink" Target="https://realtree.com/bowhunting/articles/8-tips-for-bowhunting-deer-from-a-ground-blind" TargetMode="External"/><Relationship Id="rId506" Type="http://schemas.openxmlformats.org/officeDocument/2006/relationships/hyperlink" Target="https://www.themeateater.com/wired-to-hunt/whitetail-hunting/how-far-is-too-far-to-shoot-a-deer-with-a-bow" TargetMode="External"/><Relationship Id="rId505" Type="http://schemas.openxmlformats.org/officeDocument/2006/relationships/hyperlink" Target="https://www.themeateater.com/wired-to-hunt/whitetail-hunting/how-to-call-in-bucks-during-each-phase-of-the-season" TargetMode="External"/><Relationship Id="rId989" Type="http://schemas.openxmlformats.org/officeDocument/2006/relationships/hyperlink" Target="https://realtree.com/brow-tines-and-backstrap/why-bucks-shed-antlers-and-how-to-hunt-them" TargetMode="External"/><Relationship Id="rId504" Type="http://schemas.openxmlformats.org/officeDocument/2006/relationships/hyperlink" Target="https://www.wideopenspaces.com/deer-sounds-making-sense-of-the-sounds-of-the-deer-woods/" TargetMode="External"/><Relationship Id="rId988" Type="http://schemas.openxmlformats.org/officeDocument/2006/relationships/hyperlink" Target="https://www.themeateater.com/wired-to-hunt/whitetail-scouting/ask-wired-to-hunt-when-should-you-start-shed-hunting" TargetMode="External"/><Relationship Id="rId1570" Type="http://schemas.openxmlformats.org/officeDocument/2006/relationships/hyperlink" Target="https://www.wideopenspaces.com/best-deer-feeders/" TargetMode="External"/><Relationship Id="rId1571" Type="http://schemas.openxmlformats.org/officeDocument/2006/relationships/hyperlink" Target="https://realtree.com/brow-tines-and-backstrap/7-different-deer-taxidermy-options-and-their-costs" TargetMode="External"/><Relationship Id="rId983" Type="http://schemas.openxmlformats.org/officeDocument/2006/relationships/hyperlink" Target="https://www.wideopenspaces.com/8-homemade-hunting-blinds-pics/" TargetMode="External"/><Relationship Id="rId1572" Type="http://schemas.openxmlformats.org/officeDocument/2006/relationships/hyperlink" Target="https://realtree.com/deer-hunting/articles/the-deer-pee-empire" TargetMode="External"/><Relationship Id="rId982" Type="http://schemas.openxmlformats.org/officeDocument/2006/relationships/hyperlink" Target="https://www.themeateater.com/hunt/whitetail-deer/photos-how-to-build-a-deer-blind-from-pallets" TargetMode="External"/><Relationship Id="rId1573" Type="http://schemas.openxmlformats.org/officeDocument/2006/relationships/hyperlink" Target="https://www.wideopenspaces.com/10-hunting-halloween-costumes/" TargetMode="External"/><Relationship Id="rId981" Type="http://schemas.openxmlformats.org/officeDocument/2006/relationships/hyperlink" Target="https://realtree.com/deer-hunting/articles/predators-are-decimating-mule-deer-herds" TargetMode="External"/><Relationship Id="rId1574" Type="http://schemas.openxmlformats.org/officeDocument/2006/relationships/hyperlink" Target="https://realtree.com/brow-tines-and-backstrap/7-different-deer-taxidermy-options-and-their-costs" TargetMode="External"/><Relationship Id="rId980" Type="http://schemas.openxmlformats.org/officeDocument/2006/relationships/hyperlink" Target="https://www.themeateater.com/wired-to-hunt/whitetail-management/the-predator-that-deer-fear-most" TargetMode="External"/><Relationship Id="rId1575" Type="http://schemas.openxmlformats.org/officeDocument/2006/relationships/hyperlink" Target="https://realtree.com/all/articles/antler-trivia" TargetMode="External"/><Relationship Id="rId1565" Type="http://schemas.openxmlformats.org/officeDocument/2006/relationships/hyperlink" Target="https://www.wideopenspaces.com/tennessee-approves-3-day-archery-only-deer-season-for-august/" TargetMode="External"/><Relationship Id="rId1566" Type="http://schemas.openxmlformats.org/officeDocument/2006/relationships/hyperlink" Target="https://realtree.com/brow-tines-and-backstrap/will-ehd-be-a-factor-this-deer-season" TargetMode="External"/><Relationship Id="rId1567" Type="http://schemas.openxmlformats.org/officeDocument/2006/relationships/hyperlink" Target="https://realtree.com/brow-tines-and-backstrap/2022-southeast-deer-hunting-forecast" TargetMode="External"/><Relationship Id="rId1568" Type="http://schemas.openxmlformats.org/officeDocument/2006/relationships/hyperlink" Target="https://www.wideopenspaces.com/alabama-hunting-license/" TargetMode="External"/><Relationship Id="rId1569" Type="http://schemas.openxmlformats.org/officeDocument/2006/relationships/hyperlink" Target="https://realtree.com/brow-tines-and-backstrap/2022-southeast-deer-hunting-forecast" TargetMode="External"/><Relationship Id="rId976" Type="http://schemas.openxmlformats.org/officeDocument/2006/relationships/hyperlink" Target="https://realtree.com/brow-tines-and-backstrap/does-a-snorting-deer-mean-your-hunt-s-over" TargetMode="External"/><Relationship Id="rId975" Type="http://schemas.openxmlformats.org/officeDocument/2006/relationships/hyperlink" Target="https://www.themeateater.com/wired-to-hunt/whitetail-scouting/where-do-deer-sleep" TargetMode="External"/><Relationship Id="rId974" Type="http://schemas.openxmlformats.org/officeDocument/2006/relationships/hyperlink" Target="https://www.wideopenspaces.com/european-skull-mount/" TargetMode="External"/><Relationship Id="rId973" Type="http://schemas.openxmlformats.org/officeDocument/2006/relationships/hyperlink" Target="https://www.themeateater.com/hunt/general/ask-meateater-how-do-you-make-a-skull-mount" TargetMode="External"/><Relationship Id="rId979" Type="http://schemas.openxmlformats.org/officeDocument/2006/relationships/hyperlink" Target="https://www.wideopenspaces.com/venison-backstrap-recipes/" TargetMode="External"/><Relationship Id="rId978" Type="http://schemas.openxmlformats.org/officeDocument/2006/relationships/hyperlink" Target="https://realtree.com/timber-2-table-wild-game-recipes/reverse-seared-smoked-venison-backstrap" TargetMode="External"/><Relationship Id="rId977" Type="http://schemas.openxmlformats.org/officeDocument/2006/relationships/hyperlink" Target="https://www.themeateater.com/cook/cooking-techniques/how-to-cook-a-backstrap-steak" TargetMode="External"/><Relationship Id="rId1560" Type="http://schemas.openxmlformats.org/officeDocument/2006/relationships/hyperlink" Target="https://realtree.com/deer-hunting/articles/10-tips-for-great-deer-pictures" TargetMode="External"/><Relationship Id="rId972" Type="http://schemas.openxmlformats.org/officeDocument/2006/relationships/hyperlink" Target="https://www.wideopenspaces.com/deer-sounds-making-sense-of-the-sounds-of-the-deer-woods/" TargetMode="External"/><Relationship Id="rId1561" Type="http://schemas.openxmlformats.org/officeDocument/2006/relationships/hyperlink" Target="https://www.wideopenspaces.com/spike-deer-science/" TargetMode="External"/><Relationship Id="rId971" Type="http://schemas.openxmlformats.org/officeDocument/2006/relationships/hyperlink" Target="https://realtree.com/deer-hunting/articles/can-you-talk-deer" TargetMode="External"/><Relationship Id="rId1562" Type="http://schemas.openxmlformats.org/officeDocument/2006/relationships/hyperlink" Target="https://www.wideopenspaces.com/invasion-axis-deer/" TargetMode="External"/><Relationship Id="rId970" Type="http://schemas.openxmlformats.org/officeDocument/2006/relationships/hyperlink" Target="https://www.themeateater.com/hunt/whitetail-deer/video-rutting-buck-makes-crazy-vocalizations" TargetMode="External"/><Relationship Id="rId1563" Type="http://schemas.openxmlformats.org/officeDocument/2006/relationships/hyperlink" Target="https://www.wideopenspaces.com/the-legacy-of-a-whitetail-deer-hunter/" TargetMode="External"/><Relationship Id="rId1564" Type="http://schemas.openxmlformats.org/officeDocument/2006/relationships/hyperlink" Target="https://realtree.com/deer-hunting/articles/deer-hunting-the-late-season" TargetMode="External"/><Relationship Id="rId1114" Type="http://schemas.openxmlformats.org/officeDocument/2006/relationships/hyperlink" Target="https://www.wideopenspaces.com/deer-poop-identification/" TargetMode="External"/><Relationship Id="rId1598" Type="http://schemas.openxmlformats.org/officeDocument/2006/relationships/hyperlink" Target="https://realtree.com/deer-hunting/articles/how-managing-for-older-bigger-bucks-helps-the-entire-deer-herd" TargetMode="External"/><Relationship Id="rId1115" Type="http://schemas.openxmlformats.org/officeDocument/2006/relationships/hyperlink" Target="https://www.themeateater.com/hunt/whitetail-deer/how-to-gut-a-deer" TargetMode="External"/><Relationship Id="rId1599" Type="http://schemas.openxmlformats.org/officeDocument/2006/relationships/hyperlink" Target="https://realtree.com/brow-tines-and-backstrap/how-to-make-a-homemade-deer-feeder" TargetMode="External"/><Relationship Id="rId1116" Type="http://schemas.openxmlformats.org/officeDocument/2006/relationships/hyperlink" Target="https://realtree.com/timber-2-table-wild-game-recipes/how-to-quarter-a-deer-in-7-steps" TargetMode="External"/><Relationship Id="rId1117" Type="http://schemas.openxmlformats.org/officeDocument/2006/relationships/hyperlink" Target="https://www.themeateater.com/wired-to-hunt/whitetail-hunting/5-games-every-deer-camp-should-have" TargetMode="External"/><Relationship Id="rId1118" Type="http://schemas.openxmlformats.org/officeDocument/2006/relationships/hyperlink" Target="https://www.wideopenspaces.com/5-of-the-best-hunting-video-games-ever-made/" TargetMode="External"/><Relationship Id="rId1119" Type="http://schemas.openxmlformats.org/officeDocument/2006/relationships/hyperlink" Target="https://www.themeateater.com/wired-to-hunt/whitetail-hunting/photos-whitetail-antler-growth-timeline" TargetMode="External"/><Relationship Id="rId525" Type="http://schemas.openxmlformats.org/officeDocument/2006/relationships/hyperlink" Target="https://www.themeateater.com/wired-to-hunt/whitetail-hunting/deer-vision-how-whitetails-see-color-light-and-movement" TargetMode="External"/><Relationship Id="rId524" Type="http://schemas.openxmlformats.org/officeDocument/2006/relationships/hyperlink" Target="https://www.wideopenspaces.com/how-to-score-a-deer-measuring-your-trophy-step-by-step/" TargetMode="External"/><Relationship Id="rId523" Type="http://schemas.openxmlformats.org/officeDocument/2006/relationships/hyperlink" Target="https://realtree.com/all/articles/scoring-your-whitetail-trophy" TargetMode="External"/><Relationship Id="rId522" Type="http://schemas.openxmlformats.org/officeDocument/2006/relationships/hyperlink" Target="https://www.themeateater.com/watch/6259336077001/how-to-score-a-whitetail-deer" TargetMode="External"/><Relationship Id="rId529" Type="http://schemas.openxmlformats.org/officeDocument/2006/relationships/hyperlink" Target="https://www.wideopenspaces.com/where-do-deer-sleep/" TargetMode="External"/><Relationship Id="rId528" Type="http://schemas.openxmlformats.org/officeDocument/2006/relationships/hyperlink" Target="https://realtree.com/brow-tines-and-backstrap/8-bedding-habits-of-mature-deer" TargetMode="External"/><Relationship Id="rId527" Type="http://schemas.openxmlformats.org/officeDocument/2006/relationships/hyperlink" Target="https://www.themeateater.com/wired-to-hunt/whitetail-scouting/where-do-deer-sleep" TargetMode="External"/><Relationship Id="rId526" Type="http://schemas.openxmlformats.org/officeDocument/2006/relationships/hyperlink" Target="https://www.wideopenspaces.com/whitetailwednesday-the-rarest-deer-color-phase-of-all-melanistic/" TargetMode="External"/><Relationship Id="rId1590" Type="http://schemas.openxmlformats.org/officeDocument/2006/relationships/hyperlink" Target="https://www.wideopenspaces.com/heres-michigans-early-antlerless-deer-season-explained-quickly-easily/" TargetMode="External"/><Relationship Id="rId1591" Type="http://schemas.openxmlformats.org/officeDocument/2006/relationships/hyperlink" Target="https://realtree.com/brow-tines-and-backstrap/2022-midwest-deer-hunting-forecast" TargetMode="External"/><Relationship Id="rId1592" Type="http://schemas.openxmlformats.org/officeDocument/2006/relationships/hyperlink" Target="https://www.wideopenspaces.com/when-does-deer-season-end-in-missouri/" TargetMode="External"/><Relationship Id="rId1593" Type="http://schemas.openxmlformats.org/officeDocument/2006/relationships/hyperlink" Target="https://realtree.com/brow-tines-and-backstrap/2022-southeast-deer-hunting-forecast" TargetMode="External"/><Relationship Id="rId521" Type="http://schemas.openxmlformats.org/officeDocument/2006/relationships/hyperlink" Target="https://www.wideopenspaces.com/where-to-shoot-a-deer-for-the-best-odds-of-a-quick-kill/" TargetMode="External"/><Relationship Id="rId1110" Type="http://schemas.openxmlformats.org/officeDocument/2006/relationships/hyperlink" Target="https://www.wideopenspaces.com/antlered-doe/" TargetMode="External"/><Relationship Id="rId1594" Type="http://schemas.openxmlformats.org/officeDocument/2006/relationships/hyperlink" Target="https://www.wideopenspaces.com/how-to-clean-a-deer-skull/" TargetMode="External"/><Relationship Id="rId520" Type="http://schemas.openxmlformats.org/officeDocument/2006/relationships/hyperlink" Target="https://realtree.com/deer-hunting/articles/the-best-shot-placement-on-deer" TargetMode="External"/><Relationship Id="rId1111" Type="http://schemas.openxmlformats.org/officeDocument/2006/relationships/hyperlink" Target="https://www.themeateater.com/conservation/wildlife-management/why-do-female-deer-sometimes-grow-antlers" TargetMode="External"/><Relationship Id="rId1595" Type="http://schemas.openxmlformats.org/officeDocument/2006/relationships/hyperlink" Target="https://realtree.com/the-realblog-with-stephanie-mallory/did-you-know-deer-eat-meat" TargetMode="External"/><Relationship Id="rId1112" Type="http://schemas.openxmlformats.org/officeDocument/2006/relationships/hyperlink" Target="https://www.wideopenspaces.com/deer-shed-antlers-pics/" TargetMode="External"/><Relationship Id="rId1596" Type="http://schemas.openxmlformats.org/officeDocument/2006/relationships/hyperlink" Target="https://www.wideopenspaces.com/do-deer-eat-meat/" TargetMode="External"/><Relationship Id="rId1113" Type="http://schemas.openxmlformats.org/officeDocument/2006/relationships/hyperlink" Target="https://www.themeateater.com/wired-to-hunt/whitetail-scouting/fact-checker-can-you-identify-a-mature-buck-by-droppings" TargetMode="External"/><Relationship Id="rId1597" Type="http://schemas.openxmlformats.org/officeDocument/2006/relationships/hyperlink" Target="https://realtree.com/brow-tines-and-backstrap/when-to-draw-your-bow-on-deer" TargetMode="External"/><Relationship Id="rId1103" Type="http://schemas.openxmlformats.org/officeDocument/2006/relationships/hyperlink" Target="https://realtree.com/timber-2-table-articles/the-10-best-snacks-for-the-deer-stand" TargetMode="External"/><Relationship Id="rId1587" Type="http://schemas.openxmlformats.org/officeDocument/2006/relationships/hyperlink" Target="https://www.wideopenspaces.com/19-deer-hunting-jokes/" TargetMode="External"/><Relationship Id="rId1104" Type="http://schemas.openxmlformats.org/officeDocument/2006/relationships/hyperlink" Target="https://www.themeateater.com/conservation/wildlife-management/video-texas-biologists-spot-one-in-a-million-deer" TargetMode="External"/><Relationship Id="rId1588" Type="http://schemas.openxmlformats.org/officeDocument/2006/relationships/hyperlink" Target="https://realtree.com/brow-tines-and-backstrap/2022-southeast-deer-hunting-forecast" TargetMode="External"/><Relationship Id="rId1105" Type="http://schemas.openxmlformats.org/officeDocument/2006/relationships/hyperlink" Target="https://realtree.com/brow-tines-and-backstrap/have-you-ever-seen-a-melanistic-whitetail" TargetMode="External"/><Relationship Id="rId1589" Type="http://schemas.openxmlformats.org/officeDocument/2006/relationships/hyperlink" Target="https://www.wideopenspaces.com/when-does-deer-season-end-in-georgia/" TargetMode="External"/><Relationship Id="rId1106" Type="http://schemas.openxmlformats.org/officeDocument/2006/relationships/hyperlink" Target="https://www.wideopenspaces.com/whitetailwednesday-the-rarest-deer-color-phase-of-all-melanistic/" TargetMode="External"/><Relationship Id="rId1107" Type="http://schemas.openxmlformats.org/officeDocument/2006/relationships/hyperlink" Target="https://www.themeateater.com/wired-to-hunt/whitetail-management/why-some-whitetails-grow-fangs" TargetMode="External"/><Relationship Id="rId1108" Type="http://schemas.openxmlformats.org/officeDocument/2006/relationships/hyperlink" Target="https://www.themeateater.com/conservation/wildlife-management/why-do-female-deer-sometimes-grow-antlers" TargetMode="External"/><Relationship Id="rId1109" Type="http://schemas.openxmlformats.org/officeDocument/2006/relationships/hyperlink" Target="https://realtree.com/brow-tines-and-backstrap/5-signs-a-doe-is-in-estrous" TargetMode="External"/><Relationship Id="rId519" Type="http://schemas.openxmlformats.org/officeDocument/2006/relationships/hyperlink" Target="https://www.themeateater.com/wired-to-hunt/whitetail-hunting/where-to-shoot-a-deer" TargetMode="External"/><Relationship Id="rId514" Type="http://schemas.openxmlformats.org/officeDocument/2006/relationships/hyperlink" Target="https://www.themeateater.com/wired-to-hunt/whitetail-hunting/photos-whitetail-antler-growth-timeline" TargetMode="External"/><Relationship Id="rId998" Type="http://schemas.openxmlformats.org/officeDocument/2006/relationships/hyperlink" Target="https://www.wideopenspaces.com/check-25-awesome-vintage-deer-hunting-photos-whitetailwednesday/" TargetMode="External"/><Relationship Id="rId513" Type="http://schemas.openxmlformats.org/officeDocument/2006/relationships/hyperlink" Target="https://www.wideopenspaces.com/quarter-deer-living-room/" TargetMode="External"/><Relationship Id="rId997" Type="http://schemas.openxmlformats.org/officeDocument/2006/relationships/hyperlink" Target="https://www.themeateater.com/hunt/whitetail-deer/is-this-50-point-whitetail-the-new-world-record" TargetMode="External"/><Relationship Id="rId512" Type="http://schemas.openxmlformats.org/officeDocument/2006/relationships/hyperlink" Target="https://realtree.com/timber-2-table-wild-game-recipes/how-to-quarter-a-deer-in-7-steps" TargetMode="External"/><Relationship Id="rId996" Type="http://schemas.openxmlformats.org/officeDocument/2006/relationships/hyperlink" Target="https://www.themeateater.com/conservation/wildlife-management/why-do-female-deer-sometimes-grow-antlers" TargetMode="External"/><Relationship Id="rId511" Type="http://schemas.openxmlformats.org/officeDocument/2006/relationships/hyperlink" Target="https://www.themeateater.com/watch/6185157028001/how-to-quarter-and-pack-game-out-of-the-backcountry-conservation-field-notes-with-steven-rinella" TargetMode="External"/><Relationship Id="rId995" Type="http://schemas.openxmlformats.org/officeDocument/2006/relationships/hyperlink" Target="https://realtree.com/all/articles/are-mule-deer-getting-the-boot-from-whitetails" TargetMode="External"/><Relationship Id="rId518" Type="http://schemas.openxmlformats.org/officeDocument/2006/relationships/hyperlink" Target="https://www.wideopenspaces.com/deer-sounds-making-sense-of-the-sounds-of-the-deer-woods/" TargetMode="External"/><Relationship Id="rId517" Type="http://schemas.openxmlformats.org/officeDocument/2006/relationships/hyperlink" Target="https://realtree.com/deer-hunting/articles/don-t-get-killed-in-the-deer-woods" TargetMode="External"/><Relationship Id="rId516" Type="http://schemas.openxmlformats.org/officeDocument/2006/relationships/hyperlink" Target="https://www.themeateater.com/wired-to-hunt/whitetail-hunting/3-ways-to-get-your-deer-out-of-the-woods" TargetMode="External"/><Relationship Id="rId515" Type="http://schemas.openxmlformats.org/officeDocument/2006/relationships/hyperlink" Target="https://realtree.com/deer-hunting/articles/how-to-score-a-buck-on-the-boone-and-crocket-scale" TargetMode="External"/><Relationship Id="rId999" Type="http://schemas.openxmlformats.org/officeDocument/2006/relationships/hyperlink" Target="https://www.themeateater.com/cook/butchering-and-processing/how-much-fat-should-you-add-to-ground-venison" TargetMode="External"/><Relationship Id="rId990" Type="http://schemas.openxmlformats.org/officeDocument/2006/relationships/hyperlink" Target="https://www.wideopenspaces.com/deer-shed-antlers-pics/" TargetMode="External"/><Relationship Id="rId1580" Type="http://schemas.openxmlformats.org/officeDocument/2006/relationships/hyperlink" Target="https://www.wideopenspaces.com/deer-feeding-times/" TargetMode="External"/><Relationship Id="rId1581" Type="http://schemas.openxmlformats.org/officeDocument/2006/relationships/hyperlink" Target="https://www.wideopenspaces.com/deer-hooves-what-theyre-made-from-and-indicators-of-health/" TargetMode="External"/><Relationship Id="rId1582" Type="http://schemas.openxmlformats.org/officeDocument/2006/relationships/hyperlink" Target="https://realtree.com/deer-hunting/articles/the-best-times-to-deer-hunt-in-2022" TargetMode="External"/><Relationship Id="rId510" Type="http://schemas.openxmlformats.org/officeDocument/2006/relationships/hyperlink" Target="https://www.wideopenspaces.com/top-5-venison-marinades/" TargetMode="External"/><Relationship Id="rId994" Type="http://schemas.openxmlformats.org/officeDocument/2006/relationships/hyperlink" Target="https://www.themeateater.com/hunt/big-game/ask-meateater-where-should-i-go-on-my-first-mule-deer-hunt" TargetMode="External"/><Relationship Id="rId1583" Type="http://schemas.openxmlformats.org/officeDocument/2006/relationships/hyperlink" Target="https://www.wideopenspaces.com/what-are-the-best-deer-hunting-times-throughout-the-day/" TargetMode="External"/><Relationship Id="rId993" Type="http://schemas.openxmlformats.org/officeDocument/2006/relationships/hyperlink" Target="https://www.wideopenspaces.com/deer-survive-winter/" TargetMode="External"/><Relationship Id="rId1100" Type="http://schemas.openxmlformats.org/officeDocument/2006/relationships/hyperlink" Target="https://www.themeateater.com/cook/cooking-techniques/5-organs-you-should-save-from-deer" TargetMode="External"/><Relationship Id="rId1584" Type="http://schemas.openxmlformats.org/officeDocument/2006/relationships/hyperlink" Target="https://www.wideopenspaces.com/trouble-naming-your-hit-list-buck-65-buck-nicknames/" TargetMode="External"/><Relationship Id="rId992" Type="http://schemas.openxmlformats.org/officeDocument/2006/relationships/hyperlink" Target="https://realtree.com/brow-tines-and-backstrap/7-hot-tactics-for-cold-weather-deer-hunting" TargetMode="External"/><Relationship Id="rId1101" Type="http://schemas.openxmlformats.org/officeDocument/2006/relationships/hyperlink" Target="https://www.themeateater.com/wired-to-hunt/whitetail-management/the-most-underrated-type-of-food-plot" TargetMode="External"/><Relationship Id="rId1585" Type="http://schemas.openxmlformats.org/officeDocument/2006/relationships/hyperlink" Target="https://realtree.com/brow-tines-and-backstrap/everything-you-ever-wanted-to-know-about-deer-poop" TargetMode="External"/><Relationship Id="rId991" Type="http://schemas.openxmlformats.org/officeDocument/2006/relationships/hyperlink" Target="https://www.themeateater.com/wired-to-hunt/whitetail-hunting/does-temperature-affect-deer-movement" TargetMode="External"/><Relationship Id="rId1102" Type="http://schemas.openxmlformats.org/officeDocument/2006/relationships/hyperlink" Target="https://www.themeateater.com/wired-to-hunt/whitetail-scouting/how-to-pick-the-perfect-tree-stand-location-in-summer" TargetMode="External"/><Relationship Id="rId1586" Type="http://schemas.openxmlformats.org/officeDocument/2006/relationships/hyperlink" Target="https://www.wideopenspaces.com/deer-poop-identification/" TargetMode="External"/><Relationship Id="rId1532" Type="http://schemas.openxmlformats.org/officeDocument/2006/relationships/hyperlink" Target="https://www.wideopenspaces.com/deer-shed-antlers-pics/" TargetMode="External"/><Relationship Id="rId1533" Type="http://schemas.openxmlformats.org/officeDocument/2006/relationships/hyperlink" Target="https://www.wideopenspaces.com/10-awesome-photos-of-deer-shedding-their-velvet-pics/" TargetMode="External"/><Relationship Id="rId1534" Type="http://schemas.openxmlformats.org/officeDocument/2006/relationships/hyperlink" Target="https://realtree.com/deer-hunting/articles/talk-to-the-tail-understanding-whitetail-body-language" TargetMode="External"/><Relationship Id="rId1535" Type="http://schemas.openxmlformats.org/officeDocument/2006/relationships/hyperlink" Target="https://realtree.com/deer-hunting/all-about-deer-warts" TargetMode="External"/><Relationship Id="rId1536" Type="http://schemas.openxmlformats.org/officeDocument/2006/relationships/hyperlink" Target="https://www.wideopenspaces.com/deer-warts/" TargetMode="External"/><Relationship Id="rId1537" Type="http://schemas.openxmlformats.org/officeDocument/2006/relationships/hyperlink" Target="https://realtree.com/timber-2-table-articles/the-10-best-snacks-for-the-deer-stand" TargetMode="External"/><Relationship Id="rId1538" Type="http://schemas.openxmlformats.org/officeDocument/2006/relationships/hyperlink" Target="https://realtree.com/brow-tines-and-backstrap/how-to-make-a-homemade-deer-feeder" TargetMode="External"/><Relationship Id="rId1539" Type="http://schemas.openxmlformats.org/officeDocument/2006/relationships/hyperlink" Target="https://www.wideopenspaces.com/make-poor-mans-deer-feeder/" TargetMode="External"/><Relationship Id="rId949" Type="http://schemas.openxmlformats.org/officeDocument/2006/relationships/hyperlink" Target="https://realtree.com/deer-hunting/articles/the-toughest-deer" TargetMode="External"/><Relationship Id="rId948" Type="http://schemas.openxmlformats.org/officeDocument/2006/relationships/hyperlink" Target="https://www.themeateater.com/watch/6174832058001/steven-rinella-tracks-coues-deer-in-arizona" TargetMode="External"/><Relationship Id="rId943" Type="http://schemas.openxmlformats.org/officeDocument/2006/relationships/hyperlink" Target="https://www.themeateater.com/hunt/whitetail-deer/deer-fart-almost-ruins-hunt-for-potential-oklahoma-record-buck" TargetMode="External"/><Relationship Id="rId942" Type="http://schemas.openxmlformats.org/officeDocument/2006/relationships/hyperlink" Target="https://realtree.com/brow-tines-and-backstrap/is-it-safe-to-leave-treestands-out-all-year" TargetMode="External"/><Relationship Id="rId941" Type="http://schemas.openxmlformats.org/officeDocument/2006/relationships/hyperlink" Target="https://www.themeateater.com/wired-to-hunt/whitetail-scouting/ask-meateater-how-high-do-you-hang-tree-stands" TargetMode="External"/><Relationship Id="rId940" Type="http://schemas.openxmlformats.org/officeDocument/2006/relationships/hyperlink" Target="https://realtree.com/brow-tines-and-backstrap/is-a-trail-camera-ban-coming-to-a-state-near-you" TargetMode="External"/><Relationship Id="rId947" Type="http://schemas.openxmlformats.org/officeDocument/2006/relationships/hyperlink" Target="https://www.wideopenspaces.com/the-great-deer-anatomy-explainer-and-what-you-need-to-know-as-a-hunter/" TargetMode="External"/><Relationship Id="rId946" Type="http://schemas.openxmlformats.org/officeDocument/2006/relationships/hyperlink" Target="https://realtree.com/deer-hunting/articles/the-best-shot-placement-on-deer" TargetMode="External"/><Relationship Id="rId945" Type="http://schemas.openxmlformats.org/officeDocument/2006/relationships/hyperlink" Target="https://www.themeateater.com/listen/wired-to-hunt/ep-546-the-story-of-deer-survival-whitetail-anatom" TargetMode="External"/><Relationship Id="rId944" Type="http://schemas.openxmlformats.org/officeDocument/2006/relationships/hyperlink" Target="https://www.wideopenspaces.com/the-great-big-oklahoma-deer-hunting-guide/" TargetMode="External"/><Relationship Id="rId1530" Type="http://schemas.openxmlformats.org/officeDocument/2006/relationships/hyperlink" Target="https://realtree.com/food-plots-and-land-management/articles/mess-hall-mixtures-5-food-plot-combos-for-full-season" TargetMode="External"/><Relationship Id="rId1531" Type="http://schemas.openxmlformats.org/officeDocument/2006/relationships/hyperlink" Target="https://realtree.com/brow-tines-and-backstrap/why-bucks-shed-antlers-and-how-to-hunt-them" TargetMode="External"/><Relationship Id="rId1521" Type="http://schemas.openxmlformats.org/officeDocument/2006/relationships/hyperlink" Target="https://realtree.com/timber-2-table-articles/5-things-your-deer-processor-hates" TargetMode="External"/><Relationship Id="rId1522" Type="http://schemas.openxmlformats.org/officeDocument/2006/relationships/hyperlink" Target="https://realtree.com/brow-tines-and-backstrap/will-ehd-be-a-factor-this-deer-season" TargetMode="External"/><Relationship Id="rId1523" Type="http://schemas.openxmlformats.org/officeDocument/2006/relationships/hyperlink" Target="https://www.wideopenspaces.com/whitetail-deer-gestation-period/" TargetMode="External"/><Relationship Id="rId1524" Type="http://schemas.openxmlformats.org/officeDocument/2006/relationships/hyperlink" Target="https://realtree.com/brow-tines-and-backstrap/15-places-big-bucks-bed-that-deer-hunters-should-hunt" TargetMode="External"/><Relationship Id="rId1525" Type="http://schemas.openxmlformats.org/officeDocument/2006/relationships/hyperlink" Target="https://www.wideopenspaces.com/find-7-deer-hiding-images/" TargetMode="External"/><Relationship Id="rId1526" Type="http://schemas.openxmlformats.org/officeDocument/2006/relationships/hyperlink" Target="https://realtree.com/brow-tines-and-backstrap/whitetail-taxidermy-poses-for-your-next-deer-mount" TargetMode="External"/><Relationship Id="rId1527" Type="http://schemas.openxmlformats.org/officeDocument/2006/relationships/hyperlink" Target="https://www.wideopenspaces.com/deer-taxidermy-options/" TargetMode="External"/><Relationship Id="rId1528" Type="http://schemas.openxmlformats.org/officeDocument/2006/relationships/hyperlink" Target="https://realtree.com/timber-2-table-wild-game-recipes/deer-heart-and-mushroom-steak-sandwiches" TargetMode="External"/><Relationship Id="rId1529" Type="http://schemas.openxmlformats.org/officeDocument/2006/relationships/hyperlink" Target="https://realtree.com/brow-tines-and-backstrap/2022-southeast-deer-hunting-forecast" TargetMode="External"/><Relationship Id="rId939" Type="http://schemas.openxmlformats.org/officeDocument/2006/relationships/hyperlink" Target="https://www.themeateater.com/gear/general/best-trail-cameras" TargetMode="External"/><Relationship Id="rId938" Type="http://schemas.openxmlformats.org/officeDocument/2006/relationships/hyperlink" Target="https://realtree.com/food-plots-and-land-management/galleries/how-to-plant-a-micro-kill-plot-for-deer" TargetMode="External"/><Relationship Id="rId937" Type="http://schemas.openxmlformats.org/officeDocument/2006/relationships/hyperlink" Target="https://www.themeateater.com/wired-to-hunt/whitetail-management/how-to-plant-a-food-plot-on-a-budget" TargetMode="External"/><Relationship Id="rId932" Type="http://schemas.openxmlformats.org/officeDocument/2006/relationships/hyperlink" Target="https://www.wideopenspaces.com/deer-as-pets/" TargetMode="External"/><Relationship Id="rId931" Type="http://schemas.openxmlformats.org/officeDocument/2006/relationships/hyperlink" Target="https://www.themeateater.com/conservation/wildlife-management/video-game-warden-shoots-familys-pet-deer" TargetMode="External"/><Relationship Id="rId930" Type="http://schemas.openxmlformats.org/officeDocument/2006/relationships/hyperlink" Target="https://www.wideopenspaces.com/deer-poop-identification/" TargetMode="External"/><Relationship Id="rId936" Type="http://schemas.openxmlformats.org/officeDocument/2006/relationships/hyperlink" Target="https://realtree.com/brow-tines-and-backstrap/10-feeding-habits-of-mature-deer" TargetMode="External"/><Relationship Id="rId935" Type="http://schemas.openxmlformats.org/officeDocument/2006/relationships/hyperlink" Target="https://www.themeateater.com/wired-to-hunt/whitetail-management/10-natural-food-sources-every-deer-hunter-should-know" TargetMode="External"/><Relationship Id="rId934" Type="http://schemas.openxmlformats.org/officeDocument/2006/relationships/hyperlink" Target="https://realtree.com/deer-hunting/articles/don-t-get-killed-in-the-deer-woods" TargetMode="External"/><Relationship Id="rId933" Type="http://schemas.openxmlformats.org/officeDocument/2006/relationships/hyperlink" Target="https://www.themeateater.com/wired-to-hunt/whitetail-hunting/3-ways-to-get-your-deer-out-of-the-woods" TargetMode="External"/><Relationship Id="rId1520" Type="http://schemas.openxmlformats.org/officeDocument/2006/relationships/hyperlink" Target="https://www.wideopenspaces.com/5-deer-attractants-drive-whitetail-bucks-crazy-pics/" TargetMode="External"/><Relationship Id="rId1554" Type="http://schemas.openxmlformats.org/officeDocument/2006/relationships/hyperlink" Target="https://www.wideopenspaces.com/mn-deer-hunting-zones/" TargetMode="External"/><Relationship Id="rId1555" Type="http://schemas.openxmlformats.org/officeDocument/2006/relationships/hyperlink" Target="https://realtree.com/brow-tines-and-backstrap/2022-midwest-deer-hunting-forecast" TargetMode="External"/><Relationship Id="rId1556" Type="http://schemas.openxmlformats.org/officeDocument/2006/relationships/hyperlink" Target="https://realtree.com/brow-tines-and-backstrap/2022-southeast-deer-hunting-forecast" TargetMode="External"/><Relationship Id="rId1557" Type="http://schemas.openxmlformats.org/officeDocument/2006/relationships/hyperlink" Target="https://realtree.com/brow-tines-and-backstrap/2022-southeast-deer-hunting-forecast" TargetMode="External"/><Relationship Id="rId1558" Type="http://schemas.openxmlformats.org/officeDocument/2006/relationships/hyperlink" Target="https://www.wideopenspaces.com/north-carolina-adds-alligator-hunting-changes-deer-and-bear-zones/" TargetMode="External"/><Relationship Id="rId1559" Type="http://schemas.openxmlformats.org/officeDocument/2006/relationships/hyperlink" Target="https://www.wideopenspaces.com/the-great-big-oklahoma-deer-hunting-guide/" TargetMode="External"/><Relationship Id="rId965" Type="http://schemas.openxmlformats.org/officeDocument/2006/relationships/hyperlink" Target="https://realtree.com/brow-tines-and-backstrap/everything-you-ever-wanted-to-know-about-deer-poop" TargetMode="External"/><Relationship Id="rId964" Type="http://schemas.openxmlformats.org/officeDocument/2006/relationships/hyperlink" Target="https://www.themeateater.com/wired-to-hunt/whitetail-scouting/fact-checker-can-you-identify-a-mature-buck-by-droppings" TargetMode="External"/><Relationship Id="rId963" Type="http://schemas.openxmlformats.org/officeDocument/2006/relationships/hyperlink" Target="https://www.themeateater.com/hunt/big-game/ask-meateater-will-you-shoot-at-running-game" TargetMode="External"/><Relationship Id="rId962" Type="http://schemas.openxmlformats.org/officeDocument/2006/relationships/hyperlink" Target="https://www.wideopenspaces.com/are-deer-nocturnal/" TargetMode="External"/><Relationship Id="rId969" Type="http://schemas.openxmlformats.org/officeDocument/2006/relationships/hyperlink" Target="https://www.themeateater.com/wired-to-hunt/whitetail-hunting/the-reality-of-outfitted-deer-hunts" TargetMode="External"/><Relationship Id="rId968" Type="http://schemas.openxmlformats.org/officeDocument/2006/relationships/hyperlink" Target="https://www.themeateater.com/hunt/big-game/ask-meateater-where-should-i-go-on-my-first-mule-deer-hunt" TargetMode="External"/><Relationship Id="rId967" Type="http://schemas.openxmlformats.org/officeDocument/2006/relationships/hyperlink" Target="https://www.themeateater.com/wired-to-hunt/whitetail-scouting/how-to-set-up-a-ground-blind-that-wont-spook-deer" TargetMode="External"/><Relationship Id="rId966" Type="http://schemas.openxmlformats.org/officeDocument/2006/relationships/hyperlink" Target="https://www.wideopenspaces.com/deer-poop-identification/" TargetMode="External"/><Relationship Id="rId961" Type="http://schemas.openxmlformats.org/officeDocument/2006/relationships/hyperlink" Target="https://realtree.com/deer-hunting/articles/the-myth-of-the-nocturnal-buck" TargetMode="External"/><Relationship Id="rId1550" Type="http://schemas.openxmlformats.org/officeDocument/2006/relationships/hyperlink" Target="https://realtree.com/brow-tines-and-backstrap/how-long-do-white-tailed-deer-live" TargetMode="External"/><Relationship Id="rId960" Type="http://schemas.openxmlformats.org/officeDocument/2006/relationships/hyperlink" Target="https://www.themeateater.com/wired-to-hunt/whitetail-hunting/how-to-kill-a-nocturnal-buck" TargetMode="External"/><Relationship Id="rId1551" Type="http://schemas.openxmlformats.org/officeDocument/2006/relationships/hyperlink" Target="https://www.wideopenspaces.com/lifespan-whitetail-deer/" TargetMode="External"/><Relationship Id="rId1552" Type="http://schemas.openxmlformats.org/officeDocument/2006/relationships/hyperlink" Target="https://realtree.com/brow-tines-and-backstrap/how-long-do-white-tailed-deer-live" TargetMode="External"/><Relationship Id="rId1553" Type="http://schemas.openxmlformats.org/officeDocument/2006/relationships/hyperlink" Target="https://www.wideopenspaces.com/lifespan-whitetail-deer/" TargetMode="External"/><Relationship Id="rId1543" Type="http://schemas.openxmlformats.org/officeDocument/2006/relationships/hyperlink" Target="https://www.wideopenspaces.com/when-does-deer-season-end-in-georgia/" TargetMode="External"/><Relationship Id="rId1544" Type="http://schemas.openxmlformats.org/officeDocument/2006/relationships/hyperlink" Target="https://www.wideopenspaces.com/whitetail-deer-gestation-period/" TargetMode="External"/><Relationship Id="rId1545" Type="http://schemas.openxmlformats.org/officeDocument/2006/relationships/hyperlink" Target="https://www.wideopenspaces.com/whitetail-deer-gestation-period/" TargetMode="External"/><Relationship Id="rId1546" Type="http://schemas.openxmlformats.org/officeDocument/2006/relationships/hyperlink" Target="https://realtree.com/midwest-whitetail/articles/string-jumpers-how-to-aim-at-alert-deer" TargetMode="External"/><Relationship Id="rId1547" Type="http://schemas.openxmlformats.org/officeDocument/2006/relationships/hyperlink" Target="https://www.wideopenspaces.com/deer-tries-to-jump-high-fence-video/" TargetMode="External"/><Relationship Id="rId1548" Type="http://schemas.openxmlformats.org/officeDocument/2006/relationships/hyperlink" Target="https://realtree.com/brow-tines-and-backstrap/when-to-draw-your-bow-on-deer" TargetMode="External"/><Relationship Id="rId1549" Type="http://schemas.openxmlformats.org/officeDocument/2006/relationships/hyperlink" Target="https://realtree.com/brow-tines-and-backstrap/2022-midwest-deer-hunting-forecast" TargetMode="External"/><Relationship Id="rId959" Type="http://schemas.openxmlformats.org/officeDocument/2006/relationships/hyperlink" Target="https://www.wideopenspaces.com/where-to-shoot-a-deer-for-the-best-odds-of-a-quick-kill/" TargetMode="External"/><Relationship Id="rId954" Type="http://schemas.openxmlformats.org/officeDocument/2006/relationships/hyperlink" Target="https://realtree.com/timber-2-table-wild-game-recipes/bourbon-buttermilk-fried-deer-tenderloin" TargetMode="External"/><Relationship Id="rId953" Type="http://schemas.openxmlformats.org/officeDocument/2006/relationships/hyperlink" Target="https://www.themeateater.com/recipes/cuts/loin" TargetMode="External"/><Relationship Id="rId952" Type="http://schemas.openxmlformats.org/officeDocument/2006/relationships/hyperlink" Target="https://www.wideopenspaces.com/deer-taxidermy-options/" TargetMode="External"/><Relationship Id="rId951" Type="http://schemas.openxmlformats.org/officeDocument/2006/relationships/hyperlink" Target="https://realtree.com/brow-tines-and-backstrap/how-long-should-deer-taxidermy-take" TargetMode="External"/><Relationship Id="rId958" Type="http://schemas.openxmlformats.org/officeDocument/2006/relationships/hyperlink" Target="https://realtree.com/deer-hunting/articles/the-best-shot-placement-on-deer" TargetMode="External"/><Relationship Id="rId957" Type="http://schemas.openxmlformats.org/officeDocument/2006/relationships/hyperlink" Target="https://www.themeateater.com/wired-to-hunt/whitetail-hunting/the-truth-about-frontal-shots-on-deer" TargetMode="External"/><Relationship Id="rId956" Type="http://schemas.openxmlformats.org/officeDocument/2006/relationships/hyperlink" Target="https://www.themeateater.com/watch/6252076018001/s2-e03-big-beautiful-bucks-colorado-mule-deer" TargetMode="External"/><Relationship Id="rId955" Type="http://schemas.openxmlformats.org/officeDocument/2006/relationships/hyperlink" Target="https://www.wideopenspaces.com/top-6-venison-tenderloin-recipes/" TargetMode="External"/><Relationship Id="rId950" Type="http://schemas.openxmlformats.org/officeDocument/2006/relationships/hyperlink" Target="https://www.themeateater.com/hunt/big-game/what-to-do-when-you-plan-on-getting-a-deer-mounted" TargetMode="External"/><Relationship Id="rId1540" Type="http://schemas.openxmlformats.org/officeDocument/2006/relationships/hyperlink" Target="https://realtree.com/deer-hunting-what-is-drone-deer-recovery" TargetMode="External"/><Relationship Id="rId1541" Type="http://schemas.openxmlformats.org/officeDocument/2006/relationships/hyperlink" Target="https://www.wideopenspaces.com/drone-big-buck-recovery/" TargetMode="External"/><Relationship Id="rId1542" Type="http://schemas.openxmlformats.org/officeDocument/2006/relationships/hyperlink" Target="https://realtree.com/brow-tines-and-backstrap/2022-southeast-deer-hunting-forecast" TargetMode="External"/><Relationship Id="rId2027" Type="http://schemas.openxmlformats.org/officeDocument/2006/relationships/hyperlink" Target="https://realtree.com/brow-tines-and-backstrap/how-to-make-a-homemade-deer-feeder" TargetMode="External"/><Relationship Id="rId2028" Type="http://schemas.openxmlformats.org/officeDocument/2006/relationships/hyperlink" Target="https://www.wideopenspaces.com/if-you-make-a-diy-deer-feeder-dont-do-this/" TargetMode="External"/><Relationship Id="rId2029" Type="http://schemas.openxmlformats.org/officeDocument/2006/relationships/hyperlink" Target="https://realtree.com/brow-tines-and-backstrap/how-long-do-white-tailed-deer-live" TargetMode="External"/><Relationship Id="rId590" Type="http://schemas.openxmlformats.org/officeDocument/2006/relationships/hyperlink" Target="https://realtree.com/timber-2-table-wild-game-recipes/venison-recipes" TargetMode="External"/><Relationship Id="rId107" Type="http://schemas.openxmlformats.org/officeDocument/2006/relationships/hyperlink" Target="https://realtree.com/deer-hunting/articles/15-tips-for-one-shot-kills" TargetMode="External"/><Relationship Id="rId106" Type="http://schemas.openxmlformats.org/officeDocument/2006/relationships/hyperlink" Target="https://www.themeateater.com/wired-to-hunt/whitetail-hunting/where-to-shoot-a-deer" TargetMode="External"/><Relationship Id="rId105" Type="http://schemas.openxmlformats.org/officeDocument/2006/relationships/hyperlink" Target="https://www.wideopenspaces.com/venison-jerky-recipes/" TargetMode="External"/><Relationship Id="rId589" Type="http://schemas.openxmlformats.org/officeDocument/2006/relationships/hyperlink" Target="https://www.themeateater.com/recipes/ingredients/venison" TargetMode="External"/><Relationship Id="rId104" Type="http://schemas.openxmlformats.org/officeDocument/2006/relationships/hyperlink" Target="https://realtree.com/timber-2-table-wild-game-recipes/magic-chef-realtree-venison-jerky-recipe" TargetMode="External"/><Relationship Id="rId588" Type="http://schemas.openxmlformats.org/officeDocument/2006/relationships/hyperlink" Target="https://realtree.com/timber-2-table-wild-game-recipes/easy-deer-camp-red-beans-and-rice-with-venison-and-sausage" TargetMode="External"/><Relationship Id="rId109" Type="http://schemas.openxmlformats.org/officeDocument/2006/relationships/hyperlink" Target="https://www.themeateater.com/wired-to-hunt/whitetail-hunting/3-grunt-call-vocalizations-every-whitetail-hunter-should-know" TargetMode="External"/><Relationship Id="rId1170" Type="http://schemas.openxmlformats.org/officeDocument/2006/relationships/hyperlink" Target="https://www.wideopenspaces.com/do-deer-eat-meat/" TargetMode="External"/><Relationship Id="rId108" Type="http://schemas.openxmlformats.org/officeDocument/2006/relationships/hyperlink" Target="https://www.wideopenspaces.com/where-to-shoot-a-deer-for-the-best-odds-of-a-quick-kill/" TargetMode="External"/><Relationship Id="rId1171" Type="http://schemas.openxmlformats.org/officeDocument/2006/relationships/hyperlink" Target="https://www.themeateater.com/conservation/habitat/bar-room-banter-top-10-states-for-deer-vehicle-collisions" TargetMode="External"/><Relationship Id="rId583" Type="http://schemas.openxmlformats.org/officeDocument/2006/relationships/hyperlink" Target="https://www.themeateater.com/conservation/wildlife-management/why-do-female-deer-sometimes-grow-antlers" TargetMode="External"/><Relationship Id="rId1172" Type="http://schemas.openxmlformats.org/officeDocument/2006/relationships/hyperlink" Target="https://www.themeateater.com/hunt/whitetail-deer/how-to-crap-in-the-woods-like-a-pro" TargetMode="External"/><Relationship Id="rId582" Type="http://schemas.openxmlformats.org/officeDocument/2006/relationships/hyperlink" Target="https://www.wideopenspaces.com/whitetail-wednesday-how-much-do-people-pay-for-shoulder-mounts-in-your-area/" TargetMode="External"/><Relationship Id="rId1173" Type="http://schemas.openxmlformats.org/officeDocument/2006/relationships/hyperlink" Target="https://realtree.com/brow-tines-and-backstrap/everything-you-ever-wanted-to-know-about-deer-poop" TargetMode="External"/><Relationship Id="rId2020" Type="http://schemas.openxmlformats.org/officeDocument/2006/relationships/hyperlink" Target="https://realtree.com/brow-tines-and-backstrap/when-to-draw-your-bow-on-deer" TargetMode="External"/><Relationship Id="rId581" Type="http://schemas.openxmlformats.org/officeDocument/2006/relationships/hyperlink" Target="https://realtree.com/brow-tines-and-backstrap/7-different-deer-taxidermy-options-and-their-costs" TargetMode="External"/><Relationship Id="rId1174" Type="http://schemas.openxmlformats.org/officeDocument/2006/relationships/hyperlink" Target="https://www.wideopenspaces.com/deer-poop-identification/" TargetMode="External"/><Relationship Id="rId2021" Type="http://schemas.openxmlformats.org/officeDocument/2006/relationships/hyperlink" Target="https://www.wideopenspaces.com/ohio-water-wildlife-die-after-ohio-train-derailment/" TargetMode="External"/><Relationship Id="rId580" Type="http://schemas.openxmlformats.org/officeDocument/2006/relationships/hyperlink" Target="https://www.themeateater.com/hunt/big-game/what-to-do-when-you-plan-on-getting-a-deer-mounted" TargetMode="External"/><Relationship Id="rId1175" Type="http://schemas.openxmlformats.org/officeDocument/2006/relationships/hyperlink" Target="https://www.themeateater.com/wired-to-hunt/whitetail-management/3-best-food-plot-shapes" TargetMode="External"/><Relationship Id="rId2022" Type="http://schemas.openxmlformats.org/officeDocument/2006/relationships/hyperlink" Target="https://realtree.com/the-realblog-with-stephanie-mallory/taxidermist-discovers-third-eye-when-preparing-deer-for-european" TargetMode="External"/><Relationship Id="rId103" Type="http://schemas.openxmlformats.org/officeDocument/2006/relationships/hyperlink" Target="https://www.themeateater.com/watch/6278033203001/how-to-make-venison-jerky-with-kevin-gillespie" TargetMode="External"/><Relationship Id="rId587" Type="http://schemas.openxmlformats.org/officeDocument/2006/relationships/hyperlink" Target="https://www.themeateater.com/cook/recipes/the-only-venison-breakfast-sausage-recipe-you-need" TargetMode="External"/><Relationship Id="rId1176" Type="http://schemas.openxmlformats.org/officeDocument/2006/relationships/hyperlink" Target="https://realtree.com/deer-hunting/articles/5-food-plots-for-procrastinators" TargetMode="External"/><Relationship Id="rId2023" Type="http://schemas.openxmlformats.org/officeDocument/2006/relationships/hyperlink" Target="https://realtree.com/the-realblog-with-stephanie-mallory/taxidermist-discovers-third-eye-when-preparing-deer-for-european" TargetMode="External"/><Relationship Id="rId102" Type="http://schemas.openxmlformats.org/officeDocument/2006/relationships/hyperlink" Target="https://realtree.com/brow-tines-and-backstrap/podcast-how-the-grunt-call-came-to-be" TargetMode="External"/><Relationship Id="rId586" Type="http://schemas.openxmlformats.org/officeDocument/2006/relationships/hyperlink" Target="https://www.wideopenspaces.com/new-deer-hunting-calibers/" TargetMode="External"/><Relationship Id="rId1177" Type="http://schemas.openxmlformats.org/officeDocument/2006/relationships/hyperlink" Target="https://www.wideopenspaces.com/9-food-plot-tips-will-bring-deer-droves/" TargetMode="External"/><Relationship Id="rId2024" Type="http://schemas.openxmlformats.org/officeDocument/2006/relationships/hyperlink" Target="https://www.wideopenspaces.com/buck-hidden-third-eye/" TargetMode="External"/><Relationship Id="rId101" Type="http://schemas.openxmlformats.org/officeDocument/2006/relationships/hyperlink" Target="https://www.themeateater.com/wired-to-hunt/whitetail-hunting/3-grunt-call-vocalizations-every-whitetail-hunter-should-know" TargetMode="External"/><Relationship Id="rId585" Type="http://schemas.openxmlformats.org/officeDocument/2006/relationships/hyperlink" Target="https://realtree.com/brow-tines-and-backstrap/why-you-should-use-an-ar-15-as-a-deer-rifle" TargetMode="External"/><Relationship Id="rId1178" Type="http://schemas.openxmlformats.org/officeDocument/2006/relationships/hyperlink" Target="https://www.themeateater.com/wired-to-hunt/whitetail-scouting/ask-meateater-how-high-do-you-hang-tree-stands" TargetMode="External"/><Relationship Id="rId2025" Type="http://schemas.openxmlformats.org/officeDocument/2006/relationships/hyperlink" Target="https://realtree.com/deer-hunting/articles/where-to-deer-hunt-in-february" TargetMode="External"/><Relationship Id="rId100" Type="http://schemas.openxmlformats.org/officeDocument/2006/relationships/hyperlink" Target="https://www.wideopenspaces.com/where-do-deer-sleep/" TargetMode="External"/><Relationship Id="rId584" Type="http://schemas.openxmlformats.org/officeDocument/2006/relationships/hyperlink" Target="https://www.themeateater.com/wired-to-hunt/whitetail-hunting-gear/5-best-whitetail-cartridges" TargetMode="External"/><Relationship Id="rId1179" Type="http://schemas.openxmlformats.org/officeDocument/2006/relationships/hyperlink" Target="https://www.wideopenspaces.com/let-these-old-tree-climbing-stands-take-you-back-in-time/" TargetMode="External"/><Relationship Id="rId2026" Type="http://schemas.openxmlformats.org/officeDocument/2006/relationships/hyperlink" Target="https://realtree.com/deer-hunting/articles/ultimate-access-deer-hunting-on-military-bases" TargetMode="External"/><Relationship Id="rId1169" Type="http://schemas.openxmlformats.org/officeDocument/2006/relationships/hyperlink" Target="https://www.themeateater.com/conservation/wildlife-management/coyotes-kill-deer-not-deer-herds" TargetMode="External"/><Relationship Id="rId2016" Type="http://schemas.openxmlformats.org/officeDocument/2006/relationships/hyperlink" Target="https://realtree.com/brow-tines-and-backstrap/8-things-you-can-use-to-bait-deer" TargetMode="External"/><Relationship Id="rId2017" Type="http://schemas.openxmlformats.org/officeDocument/2006/relationships/hyperlink" Target="https://www.wideopenspaces.com/peanut-butter-dispenser-draw-deer-to-you-when-nothing-else-will/" TargetMode="External"/><Relationship Id="rId2018" Type="http://schemas.openxmlformats.org/officeDocument/2006/relationships/hyperlink" Target="https://realtree.com/brow-tines-and-backstrap/everything-you-ever-wanted-to-know-about-deer-poop" TargetMode="External"/><Relationship Id="rId2019" Type="http://schemas.openxmlformats.org/officeDocument/2006/relationships/hyperlink" Target="https://realtree.com/brow-tines-and-backstrap/when-to-draw-your-bow-on-deer" TargetMode="External"/><Relationship Id="rId579" Type="http://schemas.openxmlformats.org/officeDocument/2006/relationships/hyperlink" Target="https://www.wideopenspaces.com/do-deer-decoys-work-these-are-a-few-situations-where-they-do-and-some-where-they-dont/" TargetMode="External"/><Relationship Id="rId578" Type="http://schemas.openxmlformats.org/officeDocument/2006/relationships/hyperlink" Target="https://realtree.com/deer-hunting/articles/10-pro-tips-for-deer-hunting-with-decoys" TargetMode="External"/><Relationship Id="rId577" Type="http://schemas.openxmlformats.org/officeDocument/2006/relationships/hyperlink" Target="https://www.themeateater.com/wired-to-hunt/whitetail-hunting/how-to-use-a-doe-decoy-during-the-rut" TargetMode="External"/><Relationship Id="rId1160" Type="http://schemas.openxmlformats.org/officeDocument/2006/relationships/hyperlink" Target="https://www.themeateater.com/wired-to-hunt/whitetail-management/10-natural-food-sources-every-deer-hunter-should-know" TargetMode="External"/><Relationship Id="rId572" Type="http://schemas.openxmlformats.org/officeDocument/2006/relationships/hyperlink" Target="https://www.themeateater.com/wired-to-hunt/whitetail-management/the-big-fat-cementum-aging-tooth-test-how-accurate-is-it-really" TargetMode="External"/><Relationship Id="rId1161" Type="http://schemas.openxmlformats.org/officeDocument/2006/relationships/hyperlink" Target="https://realtree.com/brow-tines-and-backstrap/10-feeding-habits-of-mature-deer" TargetMode="External"/><Relationship Id="rId571" Type="http://schemas.openxmlformats.org/officeDocument/2006/relationships/hyperlink" Target="https://www.wideopenspaces.com/deer-decoys-top-options/" TargetMode="External"/><Relationship Id="rId1162" Type="http://schemas.openxmlformats.org/officeDocument/2006/relationships/hyperlink" Target="https://www.wideopenspaces.com/what-do-deer-eat/" TargetMode="External"/><Relationship Id="rId570" Type="http://schemas.openxmlformats.org/officeDocument/2006/relationships/hyperlink" Target="https://realtree.com/deer-hunting/articles/how-to-decoy-a-buck" TargetMode="External"/><Relationship Id="rId1163" Type="http://schemas.openxmlformats.org/officeDocument/2006/relationships/hyperlink" Target="https://www.themeateater.com/wired-to-hunt/whitetail-scouting/how-to-set-up-a-ground-blind-that-wont-spook-deer" TargetMode="External"/><Relationship Id="rId2010" Type="http://schemas.openxmlformats.org/officeDocument/2006/relationships/hyperlink" Target="https://www.wideopenspaces.com/deer-hunting-in-illinois-does-a-boone-crockett-buck-await/" TargetMode="External"/><Relationship Id="rId1164" Type="http://schemas.openxmlformats.org/officeDocument/2006/relationships/hyperlink" Target="https://www.themeateater.com/wired-to-hunt/whitetail-hunting/the-debate-about-lunar-effects-on-whitetails" TargetMode="External"/><Relationship Id="rId2011" Type="http://schemas.openxmlformats.org/officeDocument/2006/relationships/hyperlink" Target="https://realtree.com/deer-hunting/articles/women-and-how-they-re-affecting-the-deer-hunting-tradition" TargetMode="External"/><Relationship Id="rId576" Type="http://schemas.openxmlformats.org/officeDocument/2006/relationships/hyperlink" Target="https://realtree.com/timber-2-table-wild-game-recipes/how-to-skin-a-deer-in-6-steps" TargetMode="External"/><Relationship Id="rId1165" Type="http://schemas.openxmlformats.org/officeDocument/2006/relationships/hyperlink" Target="https://realtree.com/deer-hunting/articles/the-best-times-to-deer-hunt-in-2022" TargetMode="External"/><Relationship Id="rId2012" Type="http://schemas.openxmlformats.org/officeDocument/2006/relationships/hyperlink" Target="https://www.wideopenspaces.com/missouri-deer-hunting-all-to-know-about-this-buck-buck-paradise/" TargetMode="External"/><Relationship Id="rId575" Type="http://schemas.openxmlformats.org/officeDocument/2006/relationships/hyperlink" Target="https://www.themeateater.com/wired-to-hunt/whitetail-hunting/where-to-shoot-a-deer" TargetMode="External"/><Relationship Id="rId1166" Type="http://schemas.openxmlformats.org/officeDocument/2006/relationships/hyperlink" Target="https://www.wideopenspaces.com/what-are-the-best-deer-hunting-times-throughout-the-day/" TargetMode="External"/><Relationship Id="rId2013" Type="http://schemas.openxmlformats.org/officeDocument/2006/relationships/hyperlink" Target="https://realtree.com/" TargetMode="External"/><Relationship Id="rId574" Type="http://schemas.openxmlformats.org/officeDocument/2006/relationships/hyperlink" Target="https://www.wideopenspaces.com/tell-age-deer-pics/" TargetMode="External"/><Relationship Id="rId1167" Type="http://schemas.openxmlformats.org/officeDocument/2006/relationships/hyperlink" Target="https://www.themeateater.com/hunt/whitetail-deer/is-this-50-point-whitetail-the-new-world-record" TargetMode="External"/><Relationship Id="rId2014" Type="http://schemas.openxmlformats.org/officeDocument/2006/relationships/hyperlink" Target="https://www.wideopenspaces.com/the-difference-between-a-bull-elk-and-a-red-stag/" TargetMode="External"/><Relationship Id="rId573" Type="http://schemas.openxmlformats.org/officeDocument/2006/relationships/hyperlink" Target="https://realtree.com/deer-hunting/articles/really-how-old-is-that-buck" TargetMode="External"/><Relationship Id="rId1168" Type="http://schemas.openxmlformats.org/officeDocument/2006/relationships/hyperlink" Target="https://www.wideopenspaces.com/ethics-check-is-high-fence-hunting-actually-a-brilliant-business-idea/" TargetMode="External"/><Relationship Id="rId2015" Type="http://schemas.openxmlformats.org/officeDocument/2006/relationships/hyperlink" Target="https://www.wideopenspaces.com/mn-deer-hunting-zones/" TargetMode="External"/><Relationship Id="rId2049" Type="http://schemas.openxmlformats.org/officeDocument/2006/relationships/hyperlink" Target="https://www.wideopenspaces.com/mn-deer-hunting-zones/" TargetMode="External"/><Relationship Id="rId129" Type="http://schemas.openxmlformats.org/officeDocument/2006/relationships/hyperlink" Target="https://www.themeateater.com/hunt/firearm-hunting/the-best-rifle-calibers-for-youth-hunters" TargetMode="External"/><Relationship Id="rId128" Type="http://schemas.openxmlformats.org/officeDocument/2006/relationships/hyperlink" Target="https://www.wideopenspaces.com/value-of-a-monster-buck/" TargetMode="External"/><Relationship Id="rId127" Type="http://schemas.openxmlformats.org/officeDocument/2006/relationships/hyperlink" Target="https://realtree.com/all/articles/watch-out-milo-here-he-comes" TargetMode="External"/><Relationship Id="rId126" Type="http://schemas.openxmlformats.org/officeDocument/2006/relationships/hyperlink" Target="https://www.themeateater.com/hunt/whitetail-deer/this-might-be-the-new-world-record-whitetail" TargetMode="External"/><Relationship Id="rId1190" Type="http://schemas.openxmlformats.org/officeDocument/2006/relationships/hyperlink" Target="https://www.wideopenspaces.com/deer-shed-antlers-pics/" TargetMode="External"/><Relationship Id="rId1191" Type="http://schemas.openxmlformats.org/officeDocument/2006/relationships/hyperlink" Target="https://www.themeateater.com/hunt/big-game/big-game-tags-understanding-license-draws" TargetMode="External"/><Relationship Id="rId1192" Type="http://schemas.openxmlformats.org/officeDocument/2006/relationships/hyperlink" Target="https://www.themeateater.com/wired-to-hunt/whitetail-management/10-natural-food-sources-every-deer-hunter-should-know" TargetMode="External"/><Relationship Id="rId1193" Type="http://schemas.openxmlformats.org/officeDocument/2006/relationships/hyperlink" Target="https://www.wideopenspaces.com/what-do-deer-eat/" TargetMode="External"/><Relationship Id="rId2040" Type="http://schemas.openxmlformats.org/officeDocument/2006/relationships/hyperlink" Target="https://realtree.com/brow-tines-and-backstrap/4-tips-for-bowhunting-from-ladder-stands" TargetMode="External"/><Relationship Id="rId121" Type="http://schemas.openxmlformats.org/officeDocument/2006/relationships/hyperlink" Target="https://www.wideopenspaces.com/salvage-gut-shot-deer/" TargetMode="External"/><Relationship Id="rId1194" Type="http://schemas.openxmlformats.org/officeDocument/2006/relationships/hyperlink" Target="https://www.themeateater.com/hunt/whitetail-deer/is-this-50-point-whitetail-the-new-world-record" TargetMode="External"/><Relationship Id="rId2041" Type="http://schemas.openxmlformats.org/officeDocument/2006/relationships/hyperlink" Target="https://www.wideopenspaces.com/6-of-the-best-ladder-treestands-you-can-buy/" TargetMode="External"/><Relationship Id="rId120" Type="http://schemas.openxmlformats.org/officeDocument/2006/relationships/hyperlink" Target="https://realtree.com/brow-tines-and-backstrap/it-s-hot-you-shot-a-deer-now-what" TargetMode="External"/><Relationship Id="rId1195" Type="http://schemas.openxmlformats.org/officeDocument/2006/relationships/hyperlink" Target="https://www.wideopenspaces.com/can-find-hidden-animals-round-2-deer-pics/" TargetMode="External"/><Relationship Id="rId2042" Type="http://schemas.openxmlformats.org/officeDocument/2006/relationships/hyperlink" Target="https://www.wideopenspaces.com/best-deer-feeders/" TargetMode="External"/><Relationship Id="rId1196" Type="http://schemas.openxmlformats.org/officeDocument/2006/relationships/hyperlink" Target="https://www.themeateater.com/cook/recipes/maple-syrup-venison-jerky-recipe" TargetMode="External"/><Relationship Id="rId2043" Type="http://schemas.openxmlformats.org/officeDocument/2006/relationships/hyperlink" Target="https://www.wideopenspaces.com/michigan-deer-reporting/" TargetMode="External"/><Relationship Id="rId1197" Type="http://schemas.openxmlformats.org/officeDocument/2006/relationships/hyperlink" Target="https://realtree.com/timber-2-table-wild-game-recipes/magic-chef-realtree-venison-jerky-recipe" TargetMode="External"/><Relationship Id="rId2044" Type="http://schemas.openxmlformats.org/officeDocument/2006/relationships/hyperlink" Target="https://www.wideopenspaces.com/minnesota-deer-hunting/" TargetMode="External"/><Relationship Id="rId125" Type="http://schemas.openxmlformats.org/officeDocument/2006/relationships/hyperlink" Target="https://www.wideopenspaces.com/7-steps-tanning-deer-hide-easier-think/" TargetMode="External"/><Relationship Id="rId1198" Type="http://schemas.openxmlformats.org/officeDocument/2006/relationships/hyperlink" Target="https://www.wideopenspaces.com/venison-jerky-recipes/" TargetMode="External"/><Relationship Id="rId2045" Type="http://schemas.openxmlformats.org/officeDocument/2006/relationships/hyperlink" Target="https://www.wideopenspaces.com/mn-deer-hunting-zones/" TargetMode="External"/><Relationship Id="rId124" Type="http://schemas.openxmlformats.org/officeDocument/2006/relationships/hyperlink" Target="https://www.themeateater.com/cook/butchering-and-processing/how-to-tan-a-deer-hide" TargetMode="External"/><Relationship Id="rId1199" Type="http://schemas.openxmlformats.org/officeDocument/2006/relationships/hyperlink" Target="https://www.themeateater.com/hunt/big-game/what-to-do-when-you-plan-on-getting-a-deer-mounted" TargetMode="External"/><Relationship Id="rId2046" Type="http://schemas.openxmlformats.org/officeDocument/2006/relationships/hyperlink" Target="https://www.wideopenspaces.com/when-does-deer-season-end-in-missouri/" TargetMode="External"/><Relationship Id="rId123" Type="http://schemas.openxmlformats.org/officeDocument/2006/relationships/hyperlink" Target="https://realtree.com/timber-2-table-articles/meat-hunter-s-rules-for-shooting-the-right-deer" TargetMode="External"/><Relationship Id="rId2047" Type="http://schemas.openxmlformats.org/officeDocument/2006/relationships/hyperlink" Target="https://www.wideopenspaces.com/missouri-deer-hunting-all-to-know-about-this-buck-buck-paradise/" TargetMode="External"/><Relationship Id="rId122" Type="http://schemas.openxmlformats.org/officeDocument/2006/relationships/hyperlink" Target="https://www.themeateater.com/wired-to-hunt/whitetail-hunting/where-to-shoot-a-deer" TargetMode="External"/><Relationship Id="rId2048" Type="http://schemas.openxmlformats.org/officeDocument/2006/relationships/hyperlink" Target="https://www.wideopenspaces.com/mn-deer-hunting-zones/" TargetMode="External"/><Relationship Id="rId2038" Type="http://schemas.openxmlformats.org/officeDocument/2006/relationships/hyperlink" Target="https://realtree.com/brow-tines-and-backstrap/iowa-law-expands-rifle-options-for-late-season-antlerless-hunts" TargetMode="External"/><Relationship Id="rId2039" Type="http://schemas.openxmlformats.org/officeDocument/2006/relationships/hyperlink" Target="https://realtree.com/brow-tines-and-backstrap/kentucky-proposes-massive-changes-to-deer-hunting-seasons-and-regulations" TargetMode="External"/><Relationship Id="rId118" Type="http://schemas.openxmlformats.org/officeDocument/2006/relationships/hyperlink" Target="https://www.themeateater.com/wired-to-hunt/whitetail-hunting/deer-vision-how-whitetails-see-color-light-and-movement" TargetMode="External"/><Relationship Id="rId117" Type="http://schemas.openxmlformats.org/officeDocument/2006/relationships/hyperlink" Target="https://www.themeateater.com/cook/recipes/venison-ribs" TargetMode="External"/><Relationship Id="rId116" Type="http://schemas.openxmlformats.org/officeDocument/2006/relationships/hyperlink" Target="https://www.wideopenspaces.com/treestand-vs-groundblind-when-and-where-you-should-use-either-one/" TargetMode="External"/><Relationship Id="rId115" Type="http://schemas.openxmlformats.org/officeDocument/2006/relationships/hyperlink" Target="https://realtree.com/bowhunting/articles/8-tips-for-bowhunting-deer-from-a-ground-blind" TargetMode="External"/><Relationship Id="rId599" Type="http://schemas.openxmlformats.org/officeDocument/2006/relationships/hyperlink" Target="https://realtree.com/deer-hunting/articles/8-major-differences-between-whitetails-and-mule-deer" TargetMode="External"/><Relationship Id="rId1180" Type="http://schemas.openxmlformats.org/officeDocument/2006/relationships/hyperlink" Target="https://www.themeateater.com/hunt/big-game/how-to-hang-and-skin-a-deer-in-the-field" TargetMode="External"/><Relationship Id="rId1181" Type="http://schemas.openxmlformats.org/officeDocument/2006/relationships/hyperlink" Target="https://realtree.com/brow-tines-and-backstrap/why-buck-tarsal-is-the-deadliest-scent-in-the-deer-woods" TargetMode="External"/><Relationship Id="rId119" Type="http://schemas.openxmlformats.org/officeDocument/2006/relationships/hyperlink" Target="https://www.themeateater.com/wired-to-hunt/whitetail-hunting/how-to-deal-with-a-gut-shot-deer" TargetMode="External"/><Relationship Id="rId1182" Type="http://schemas.openxmlformats.org/officeDocument/2006/relationships/hyperlink" Target="https://www.themeateater.com/wired-to-hunt/whitetail-management/whitetails-and-mulies-a-comparison" TargetMode="External"/><Relationship Id="rId110" Type="http://schemas.openxmlformats.org/officeDocument/2006/relationships/hyperlink" Target="https://realtree.com/brow-tines-and-backstrap/podcast-how-the-grunt-call-came-to-be" TargetMode="External"/><Relationship Id="rId594" Type="http://schemas.openxmlformats.org/officeDocument/2006/relationships/hyperlink" Target="https://www.themeateater.com/wired-to-hunt/whitetail-scouting/what-you-need-to-know-about-deer-tracks" TargetMode="External"/><Relationship Id="rId1183" Type="http://schemas.openxmlformats.org/officeDocument/2006/relationships/hyperlink" Target="https://realtree.com/deer-hunting/articles/habits-of-mature-whitetail-deer" TargetMode="External"/><Relationship Id="rId2030" Type="http://schemas.openxmlformats.org/officeDocument/2006/relationships/hyperlink" Target="https://www.wideopenspaces.com/lifespan-whitetail-deer/" TargetMode="External"/><Relationship Id="rId593" Type="http://schemas.openxmlformats.org/officeDocument/2006/relationships/hyperlink" Target="https://www.wideopenspaces.com/what-are-the-best-deer-hunting-times-throughout-the-day/" TargetMode="External"/><Relationship Id="rId1184" Type="http://schemas.openxmlformats.org/officeDocument/2006/relationships/hyperlink" Target="https://www.themeateater.com/wired-to-hunt/whitetail-hunting/how-mark-drury-predicts-buck-movement-based-on-wind" TargetMode="External"/><Relationship Id="rId2031" Type="http://schemas.openxmlformats.org/officeDocument/2006/relationships/hyperlink" Target="https://realtree.com/brow-tines-and-backstrap/why-windy-days-are-great-for-deer-hunting" TargetMode="External"/><Relationship Id="rId592" Type="http://schemas.openxmlformats.org/officeDocument/2006/relationships/hyperlink" Target="https://realtree.com/deer-hunting/articles/10-best-times-to-deer-hunt" TargetMode="External"/><Relationship Id="rId1185" Type="http://schemas.openxmlformats.org/officeDocument/2006/relationships/hyperlink" Target="https://realtree.com/brow-tines-and-backstrap/10-best-deer-hunting-apps-for-2019" TargetMode="External"/><Relationship Id="rId2032" Type="http://schemas.openxmlformats.org/officeDocument/2006/relationships/hyperlink" Target="https://realtree.com/deer-hunting/articles/how-to-score-a-buck-on-the-boone-and-crocket-scale" TargetMode="External"/><Relationship Id="rId591" Type="http://schemas.openxmlformats.org/officeDocument/2006/relationships/hyperlink" Target="https://www.themeateater.com/wired-to-hunt/whitetail-hunting/how-weather-impacts-late-season-deer-movement" TargetMode="External"/><Relationship Id="rId1186" Type="http://schemas.openxmlformats.org/officeDocument/2006/relationships/hyperlink" Target="https://www.themeateater.com/hunt/big-game/season-8-episode-3-gear-ghosts-of-the-chesapeake" TargetMode="External"/><Relationship Id="rId2033" Type="http://schemas.openxmlformats.org/officeDocument/2006/relationships/hyperlink" Target="https://www.wideopenspaces.com/typical-vs-non-typical-deer/" TargetMode="External"/><Relationship Id="rId114" Type="http://schemas.openxmlformats.org/officeDocument/2006/relationships/hyperlink" Target="https://www.themeateater.com/wired-to-hunt/whitetail-scouting/how-to-set-up-a-ground-blind-that-wont-spook-deer" TargetMode="External"/><Relationship Id="rId598" Type="http://schemas.openxmlformats.org/officeDocument/2006/relationships/hyperlink" Target="https://www.themeateater.com/hunt/elk/4-ways-elk-hunting-is-not-deer-hunting" TargetMode="External"/><Relationship Id="rId1187" Type="http://schemas.openxmlformats.org/officeDocument/2006/relationships/hyperlink" Target="https://www.wideopenspaces.com/maryland-sika-deer-hunting/" TargetMode="External"/><Relationship Id="rId2034" Type="http://schemas.openxmlformats.org/officeDocument/2006/relationships/hyperlink" Target="https://realtree.com/brow-tines-and-backstrap/when-to-draw-your-bow-on-deer" TargetMode="External"/><Relationship Id="rId113" Type="http://schemas.openxmlformats.org/officeDocument/2006/relationships/hyperlink" Target="https://www.wideopenspaces.com/top-10-places-hunt-whitetail-u-s-pics/" TargetMode="External"/><Relationship Id="rId597" Type="http://schemas.openxmlformats.org/officeDocument/2006/relationships/hyperlink" Target="https://www.themeateater.com/hunt/whitetail-deer/video-whitetail-buck-fights-angus-bull" TargetMode="External"/><Relationship Id="rId1188" Type="http://schemas.openxmlformats.org/officeDocument/2006/relationships/hyperlink" Target="https://www.themeateater.com/wired-to-hunt/whitetail-scouting/the-buck-that-never-shed-its-antlers" TargetMode="External"/><Relationship Id="rId2035" Type="http://schemas.openxmlformats.org/officeDocument/2006/relationships/hyperlink" Target="https://www.wideopenspaces.com/deer-hunting-in-illinois-does-a-boone-crockett-buck-await/" TargetMode="External"/><Relationship Id="rId112" Type="http://schemas.openxmlformats.org/officeDocument/2006/relationships/hyperlink" Target="https://realtree.com/brow-tines-and-backstrap/18-great-gun-hunting-states-for-deer-hunters" TargetMode="External"/><Relationship Id="rId596" Type="http://schemas.openxmlformats.org/officeDocument/2006/relationships/hyperlink" Target="https://realtree.com/realtree-edge" TargetMode="External"/><Relationship Id="rId1189" Type="http://schemas.openxmlformats.org/officeDocument/2006/relationships/hyperlink" Target="https://realtree.com/brow-tines-and-backstrap/why-are-some-bucks-shedding-antlers-early" TargetMode="External"/><Relationship Id="rId2036" Type="http://schemas.openxmlformats.org/officeDocument/2006/relationships/hyperlink" Target="https://www.wideopenspaces.com/indiana-hunting-license/" TargetMode="External"/><Relationship Id="rId111" Type="http://schemas.openxmlformats.org/officeDocument/2006/relationships/hyperlink" Target="https://www.themeateater.com/hunt/general/which-states-produce-the-best-deer-hunters" TargetMode="External"/><Relationship Id="rId595" Type="http://schemas.openxmlformats.org/officeDocument/2006/relationships/hyperlink" Target="https://www.themeateater.com/gear/gear-hunt/the-best-material-for-hunting-clothes" TargetMode="External"/><Relationship Id="rId2037" Type="http://schemas.openxmlformats.org/officeDocument/2006/relationships/hyperlink" Target="https://realtree.com/deer-hunting/articles/the-great-debate-firearms-hunting-seasons-during-the-rut" TargetMode="External"/><Relationship Id="rId1136" Type="http://schemas.openxmlformats.org/officeDocument/2006/relationships/hyperlink" Target="https://realtree.com/brow-tines-and-backstrap/why-bucks-shed-antlers-and-how-to-hunt-them" TargetMode="External"/><Relationship Id="rId1137" Type="http://schemas.openxmlformats.org/officeDocument/2006/relationships/hyperlink" Target="https://www.wideopenspaces.com/deer-shed-antlers-pics/" TargetMode="External"/><Relationship Id="rId1138" Type="http://schemas.openxmlformats.org/officeDocument/2006/relationships/hyperlink" Target="https://www.themeateater.com/wired-to-hunt/whitetail-scouting/fact-checker-can-you-identify-a-mature-buck-by-droppings" TargetMode="External"/><Relationship Id="rId1139" Type="http://schemas.openxmlformats.org/officeDocument/2006/relationships/hyperlink" Target="https://realtree.com/brow-tines-and-backstrap/everything-you-ever-wanted-to-know-about-deer-poop" TargetMode="External"/><Relationship Id="rId547" Type="http://schemas.openxmlformats.org/officeDocument/2006/relationships/hyperlink" Target="https://www.themeateater.com/wired-to-hunt/whitetail-scouting/do-rub-lines-matter-during-the-whitetail-rut" TargetMode="External"/><Relationship Id="rId546" Type="http://schemas.openxmlformats.org/officeDocument/2006/relationships/hyperlink" Target="https://www.wideopenspaces.com/deer-tracks-identification/" TargetMode="External"/><Relationship Id="rId545" Type="http://schemas.openxmlformats.org/officeDocument/2006/relationships/hyperlink" Target="https://www.themeateater.com/wired-to-hunt/whitetail-scouting/what-you-need-to-know-about-deer-tracks" TargetMode="External"/><Relationship Id="rId544" Type="http://schemas.openxmlformats.org/officeDocument/2006/relationships/hyperlink" Target="https://www.themeateater.com/wild-and-whole/wild-recipes/butter-basted-venison-steaks-recipe" TargetMode="External"/><Relationship Id="rId549" Type="http://schemas.openxmlformats.org/officeDocument/2006/relationships/hyperlink" Target="https://www.wideopenspaces.com/buck-rubs/" TargetMode="External"/><Relationship Id="rId548" Type="http://schemas.openxmlformats.org/officeDocument/2006/relationships/hyperlink" Target="https://realtree.com/brow-tines-and-backstrap/4-types-of-buck-rubs-you-need-to-know" TargetMode="External"/><Relationship Id="rId1130" Type="http://schemas.openxmlformats.org/officeDocument/2006/relationships/hyperlink" Target="https://realtree.com/deer-hunting/articles/deer-hunting-the-late-season" TargetMode="External"/><Relationship Id="rId1131" Type="http://schemas.openxmlformats.org/officeDocument/2006/relationships/hyperlink" Target="https://www.wideopenspaces.com/10-deer-hunting-videos-get-primed-season-opener/" TargetMode="External"/><Relationship Id="rId543" Type="http://schemas.openxmlformats.org/officeDocument/2006/relationships/hyperlink" Target="https://realtree.com/brow-tines-and-backstrap/choose-the-best-knife-for-deer-hunting" TargetMode="External"/><Relationship Id="rId1132" Type="http://schemas.openxmlformats.org/officeDocument/2006/relationships/hyperlink" Target="https://www.themeateater.com/cook/recipes/venison-smashburger-recipe" TargetMode="External"/><Relationship Id="rId542" Type="http://schemas.openxmlformats.org/officeDocument/2006/relationships/hyperlink" Target="https://www.themeateater.com/gear/general/best-hunting-knives" TargetMode="External"/><Relationship Id="rId1133" Type="http://schemas.openxmlformats.org/officeDocument/2006/relationships/hyperlink" Target="https://realtree.com/timber-2-table-wild-game-recipes/stuffed-venison-burgers" TargetMode="External"/><Relationship Id="rId541" Type="http://schemas.openxmlformats.org/officeDocument/2006/relationships/hyperlink" Target="https://www.wideopenspaces.com/5-awesome-deer-rifles-500/" TargetMode="External"/><Relationship Id="rId1134" Type="http://schemas.openxmlformats.org/officeDocument/2006/relationships/hyperlink" Target="https://www.wideopenspaces.com/top-6-venison-burger-recipes/" TargetMode="External"/><Relationship Id="rId540" Type="http://schemas.openxmlformats.org/officeDocument/2006/relationships/hyperlink" Target="https://realtree.com/brow-tines-and-backstrap/why-you-should-use-an-ar-15-as-a-deer-rifle" TargetMode="External"/><Relationship Id="rId1135" Type="http://schemas.openxmlformats.org/officeDocument/2006/relationships/hyperlink" Target="https://www.themeateater.com/wired-to-hunt/whitetail-management/why-midwest-whitetails-shedding-early" TargetMode="External"/><Relationship Id="rId1125" Type="http://schemas.openxmlformats.org/officeDocument/2006/relationships/hyperlink" Target="https://realtree.com/brow-tines-and-backstrap/how-long-should-deer-taxidermy-take" TargetMode="External"/><Relationship Id="rId1126" Type="http://schemas.openxmlformats.org/officeDocument/2006/relationships/hyperlink" Target="https://www.wideopenspaces.com/whitetailwednesday-25-unique-ideas-for-your-next-whitetail-mount/" TargetMode="External"/><Relationship Id="rId1127" Type="http://schemas.openxmlformats.org/officeDocument/2006/relationships/hyperlink" Target="https://www.themeateater.com/hunt/general/ask-meateater-how-do-you-make-a-skull-mount" TargetMode="External"/><Relationship Id="rId1128" Type="http://schemas.openxmlformats.org/officeDocument/2006/relationships/hyperlink" Target="https://www.wideopenspaces.com/how-to-clean-a-deer-skull/" TargetMode="External"/><Relationship Id="rId1129" Type="http://schemas.openxmlformats.org/officeDocument/2006/relationships/hyperlink" Target="https://www.themeateater.com/watch/6303966877001/ozark-whitetail-bowhunting" TargetMode="External"/><Relationship Id="rId536" Type="http://schemas.openxmlformats.org/officeDocument/2006/relationships/hyperlink" Target="https://www.themeateater.com/wired-to-hunt/whitetail-hunting/the-best-days-for-all-day-rut-hunts" TargetMode="External"/><Relationship Id="rId535" Type="http://schemas.openxmlformats.org/officeDocument/2006/relationships/hyperlink" Target="https://realtree.com/midwest-whitetail/articles/how-to-age-deer-after-tagging-them" TargetMode="External"/><Relationship Id="rId534" Type="http://schemas.openxmlformats.org/officeDocument/2006/relationships/hyperlink" Target="https://www.themeateater.com/wired-to-hunt/whitetail-management/how-to-age-a-whitetail-buck-on-the-hoof" TargetMode="External"/><Relationship Id="rId533" Type="http://schemas.openxmlformats.org/officeDocument/2006/relationships/hyperlink" Target="https://www.themeateater.com/wired-to-hunt/whitetail-hunting-gear/how-to-buy-your-first-deer-hunting-bow" TargetMode="External"/><Relationship Id="rId539" Type="http://schemas.openxmlformats.org/officeDocument/2006/relationships/hyperlink" Target="https://www.themeateater.com/hunt/firearm-hunting/5-best-rifles-for-new-hunters" TargetMode="External"/><Relationship Id="rId538" Type="http://schemas.openxmlformats.org/officeDocument/2006/relationships/hyperlink" Target="https://www.wideopenspaces.com/what-are-the-best-deer-hunting-times-throughout-the-day/" TargetMode="External"/><Relationship Id="rId537" Type="http://schemas.openxmlformats.org/officeDocument/2006/relationships/hyperlink" Target="https://realtree.com/deer-hunting/articles/the-best-times-to-deer-hunt-in-2022" TargetMode="External"/><Relationship Id="rId1120" Type="http://schemas.openxmlformats.org/officeDocument/2006/relationships/hyperlink" Target="https://realtree.com/brow-tines-and-backstrap/10-amazing-facts-about-velvet-antlers" TargetMode="External"/><Relationship Id="rId532" Type="http://schemas.openxmlformats.org/officeDocument/2006/relationships/hyperlink" Target="https://www.wideopenspaces.com/best-buck-calls/" TargetMode="External"/><Relationship Id="rId1121" Type="http://schemas.openxmlformats.org/officeDocument/2006/relationships/hyperlink" Target="https://www.themeateater.com/hunt/firearm-hunting/the-best-rifle-calibers-for-youth-hunters" TargetMode="External"/><Relationship Id="rId531" Type="http://schemas.openxmlformats.org/officeDocument/2006/relationships/hyperlink" Target="https://realtree.com/deer-hunting/articles/smack-talk-aggressive-deer-calling-strategies" TargetMode="External"/><Relationship Id="rId1122" Type="http://schemas.openxmlformats.org/officeDocument/2006/relationships/hyperlink" Target="https://realtree.com/big-game-hunting/articles/picking-the-best-rifle-and-caliber-for-pig-hunting" TargetMode="External"/><Relationship Id="rId530" Type="http://schemas.openxmlformats.org/officeDocument/2006/relationships/hyperlink" Target="https://www.themeateater.com/wired-to-hunt/whitetail-hunting/how-to-call-in-bucks-during-each-phase-of-the-season" TargetMode="External"/><Relationship Id="rId1123" Type="http://schemas.openxmlformats.org/officeDocument/2006/relationships/hyperlink" Target="https://www.wideopenspaces.com/5-awesome-deer-rifles-500/" TargetMode="External"/><Relationship Id="rId1124" Type="http://schemas.openxmlformats.org/officeDocument/2006/relationships/hyperlink" Target="https://www.themeateater.com/hunt/big-game/what-to-do-when-you-plan-on-getting-a-deer-mounted" TargetMode="External"/><Relationship Id="rId1158" Type="http://schemas.openxmlformats.org/officeDocument/2006/relationships/hyperlink" Target="https://www.themeateater.com/hunt/whitetail-deer/is-this-50-point-whitetail-the-new-world-record" TargetMode="External"/><Relationship Id="rId2005" Type="http://schemas.openxmlformats.org/officeDocument/2006/relationships/hyperlink" Target="https://www.wideopenspaces.com/michigan-muzzleloader-season/" TargetMode="External"/><Relationship Id="rId1159" Type="http://schemas.openxmlformats.org/officeDocument/2006/relationships/hyperlink" Target="https://realtree.com/deer-hunting/articles/serious-sleeper-states-with-big-whitetails" TargetMode="External"/><Relationship Id="rId2006" Type="http://schemas.openxmlformats.org/officeDocument/2006/relationships/hyperlink" Target="https://www.wideopenspaces.com/mn-deer-hunting-zones/" TargetMode="External"/><Relationship Id="rId2007" Type="http://schemas.openxmlformats.org/officeDocument/2006/relationships/hyperlink" Target="https://realtree.com/brow-tines-and-backstrap/2022-southeast-deer-hunting-forecast" TargetMode="External"/><Relationship Id="rId2008" Type="http://schemas.openxmlformats.org/officeDocument/2006/relationships/hyperlink" Target="https://www.wideopenspaces.com/tennessee-approves-3-day-archery-only-deer-season-for-august/" TargetMode="External"/><Relationship Id="rId2009" Type="http://schemas.openxmlformats.org/officeDocument/2006/relationships/hyperlink" Target="https://www.wideopenspaces.com/deer-sounds-making-sense-of-the-sounds-of-the-deer-woods/" TargetMode="External"/><Relationship Id="rId569" Type="http://schemas.openxmlformats.org/officeDocument/2006/relationships/hyperlink" Target="https://www.themeateater.com/wired-to-hunt/whitetail-hunting/how-to-use-a-doe-decoy-during-the-rut" TargetMode="External"/><Relationship Id="rId568" Type="http://schemas.openxmlformats.org/officeDocument/2006/relationships/hyperlink" Target="https://www.themeateater.com/wired-to-hunt/whitetail-management/the-predator-that-deer-fear-most" TargetMode="External"/><Relationship Id="rId567" Type="http://schemas.openxmlformats.org/officeDocument/2006/relationships/hyperlink" Target="https://www.wideopenspaces.com/check-illustrated-deer-meat-guide/" TargetMode="External"/><Relationship Id="rId566" Type="http://schemas.openxmlformats.org/officeDocument/2006/relationships/hyperlink" Target="https://realtree.com/timber-2-table-articles/5-reasons-to-butcher-your-own-deer-this-season" TargetMode="External"/><Relationship Id="rId561" Type="http://schemas.openxmlformats.org/officeDocument/2006/relationships/hyperlink" Target="https://www.themeateater.com/wired-to-hunt/whitetail-hunting-gear/5-best-whitetail-cartridges" TargetMode="External"/><Relationship Id="rId1150" Type="http://schemas.openxmlformats.org/officeDocument/2006/relationships/hyperlink" Target="https://www.wideopenspaces.com/tines-flying-two-mature-whitetails-fight-and-a-third-buck-surprises-both/" TargetMode="External"/><Relationship Id="rId560" Type="http://schemas.openxmlformats.org/officeDocument/2006/relationships/hyperlink" Target="https://www.wideopenspaces.com/an-easy-and-tasty-way-to-make-venison-sausage/" TargetMode="External"/><Relationship Id="rId1151" Type="http://schemas.openxmlformats.org/officeDocument/2006/relationships/hyperlink" Target="https://www.themeateater.com/wired-to-hunt/whitetail-hunting/how-well-do-deer-hear" TargetMode="External"/><Relationship Id="rId1152" Type="http://schemas.openxmlformats.org/officeDocument/2006/relationships/hyperlink" Target="https://www.wideopenspaces.com/deer-sounds-making-sense-of-the-sounds-of-the-deer-woods/" TargetMode="External"/><Relationship Id="rId1153" Type="http://schemas.openxmlformats.org/officeDocument/2006/relationships/hyperlink" Target="https://www.themeateater.com/cook/recipes/copycat-white-castle-venison-burgers" TargetMode="External"/><Relationship Id="rId2000" Type="http://schemas.openxmlformats.org/officeDocument/2006/relationships/hyperlink" Target="https://www.wideopenspaces.com/mn-deer-hunting-zones/" TargetMode="External"/><Relationship Id="rId565" Type="http://schemas.openxmlformats.org/officeDocument/2006/relationships/hyperlink" Target="https://www.themeateater.com/watch/6171359676001/how-to-cut-venison-steaks-with-ryan-callaghan" TargetMode="External"/><Relationship Id="rId1154" Type="http://schemas.openxmlformats.org/officeDocument/2006/relationships/hyperlink" Target="https://www.wideopenspaces.com/axis-venison-burgers/" TargetMode="External"/><Relationship Id="rId2001" Type="http://schemas.openxmlformats.org/officeDocument/2006/relationships/hyperlink" Target="https://www.wideopenspaces.com/the-2018-19-north-carolina-deer-season-harvest-numbers-arent-great-but-they-arent-horrible-either/" TargetMode="External"/><Relationship Id="rId564" Type="http://schemas.openxmlformats.org/officeDocument/2006/relationships/hyperlink" Target="https://www.themeateater.com/conservation/wildlife-management/why-do-female-deer-sometimes-grow-antlers" TargetMode="External"/><Relationship Id="rId1155" Type="http://schemas.openxmlformats.org/officeDocument/2006/relationships/hyperlink" Target="https://www.themeateater.com/wired-to-hunt/whitetail-management/how-to-plant-a-food-plot-on-a-budget" TargetMode="External"/><Relationship Id="rId2002" Type="http://schemas.openxmlformats.org/officeDocument/2006/relationships/hyperlink" Target="https://www.wideopenspaces.com/the-2018-19-north-carolina-deer-season-harvest-numbers-arent-great-but-they-arent-horrible-either/" TargetMode="External"/><Relationship Id="rId563" Type="http://schemas.openxmlformats.org/officeDocument/2006/relationships/hyperlink" Target="https://www.wideopenspaces.com/new-deer-hunting-calibers/" TargetMode="External"/><Relationship Id="rId1156" Type="http://schemas.openxmlformats.org/officeDocument/2006/relationships/hyperlink" Target="https://realtree.com/food-plots-and-land-management/galleries/how-to-plant-a-micro-kill-plot-for-deer" TargetMode="External"/><Relationship Id="rId2003" Type="http://schemas.openxmlformats.org/officeDocument/2006/relationships/hyperlink" Target="https://realtree.com/deer-hunting/articles/deer-hunting-the-late-season" TargetMode="External"/><Relationship Id="rId562" Type="http://schemas.openxmlformats.org/officeDocument/2006/relationships/hyperlink" Target="https://realtree.com/deer-hunting/articles/the-new-hunter-s-guide-to-buying-your-first-deer-rifle" TargetMode="External"/><Relationship Id="rId1157" Type="http://schemas.openxmlformats.org/officeDocument/2006/relationships/hyperlink" Target="https://www.themeateater.com/hunt/whitetail-deer/americas-worst-deer-hunting-law-could-change-next-week" TargetMode="External"/><Relationship Id="rId2004" Type="http://schemas.openxmlformats.org/officeDocument/2006/relationships/hyperlink" Target="https://www.wideopenspaces.com/tennessee-approves-3-day-archery-only-deer-season-for-august/" TargetMode="External"/><Relationship Id="rId1147" Type="http://schemas.openxmlformats.org/officeDocument/2006/relationships/hyperlink" Target="https://www.wideopenspaces.com/indiana-hunting-license/" TargetMode="External"/><Relationship Id="rId1148" Type="http://schemas.openxmlformats.org/officeDocument/2006/relationships/hyperlink" Target="https://www.themeateater.com/hunt/black-tailed-deer/a-guide-to-hunting-blacktail-deer" TargetMode="External"/><Relationship Id="rId1149" Type="http://schemas.openxmlformats.org/officeDocument/2006/relationships/hyperlink" Target="https://www.themeateater.com/watch/6211742820001/rutting-buck-fights-bull-angus" TargetMode="External"/><Relationship Id="rId558" Type="http://schemas.openxmlformats.org/officeDocument/2006/relationships/hyperlink" Target="https://www.themeateater.com/cook/recipes/the-only-venison-breakfast-sausage-recipe-you-need" TargetMode="External"/><Relationship Id="rId557" Type="http://schemas.openxmlformats.org/officeDocument/2006/relationships/hyperlink" Target="https://www.wideopenspaces.com/tell-age-deer-pics/" TargetMode="External"/><Relationship Id="rId556" Type="http://schemas.openxmlformats.org/officeDocument/2006/relationships/hyperlink" Target="https://realtree.com/brow-tines-and-backstrap/how-long-do-white-tailed-deer-live" TargetMode="External"/><Relationship Id="rId555" Type="http://schemas.openxmlformats.org/officeDocument/2006/relationships/hyperlink" Target="https://www.themeateater.com/wired-to-hunt/whitetail-management/how-to-age-a-whitetail-buck-on-the-hoof" TargetMode="External"/><Relationship Id="rId559" Type="http://schemas.openxmlformats.org/officeDocument/2006/relationships/hyperlink" Target="https://realtree.com/timber-2-table-wild-game-recipes/venison-and-pork-sweet-italian-sausage-links-recipe" TargetMode="External"/><Relationship Id="rId550" Type="http://schemas.openxmlformats.org/officeDocument/2006/relationships/hyperlink" Target="https://www.themeateater.com/hunt/general/ask-meateater-how-do-you-make-a-skull-mount" TargetMode="External"/><Relationship Id="rId1140" Type="http://schemas.openxmlformats.org/officeDocument/2006/relationships/hyperlink" Target="https://www.wideopenspaces.com/deer-poop-identification/" TargetMode="External"/><Relationship Id="rId1141" Type="http://schemas.openxmlformats.org/officeDocument/2006/relationships/hyperlink" Target="https://www.themeateater.com/recipes/cuts/backstrap" TargetMode="External"/><Relationship Id="rId1142" Type="http://schemas.openxmlformats.org/officeDocument/2006/relationships/hyperlink" Target="https://realtree.com/timber-2-table-wild-game-recipes/reverse-seared-smoked-venison-backstrap" TargetMode="External"/><Relationship Id="rId554" Type="http://schemas.openxmlformats.org/officeDocument/2006/relationships/hyperlink" Target="https://www.wideopenspaces.com/deer-vision-the-science/" TargetMode="External"/><Relationship Id="rId1143" Type="http://schemas.openxmlformats.org/officeDocument/2006/relationships/hyperlink" Target="https://www.themeateater.com/wired-to-hunt/whitetail-hunting/5-games-every-deer-camp-should-have" TargetMode="External"/><Relationship Id="rId553" Type="http://schemas.openxmlformats.org/officeDocument/2006/relationships/hyperlink" Target="https://realtree.com/all/articles/what-deer-really-see" TargetMode="External"/><Relationship Id="rId1144" Type="http://schemas.openxmlformats.org/officeDocument/2006/relationships/hyperlink" Target="https://www.wideopenspaces.com/5-of-the-best-hunting-video-games-ever-made/" TargetMode="External"/><Relationship Id="rId552" Type="http://schemas.openxmlformats.org/officeDocument/2006/relationships/hyperlink" Target="https://www.themeateater.com/wired-to-hunt/whitetail-hunting/deer-vision-how-whitetails-see-color-light-and-movement" TargetMode="External"/><Relationship Id="rId1145" Type="http://schemas.openxmlformats.org/officeDocument/2006/relationships/hyperlink" Target="https://www.themeateater.com/hunt/whitetail-deer/photos-this-buck-might-crush-the-indiana-state-record" TargetMode="External"/><Relationship Id="rId551" Type="http://schemas.openxmlformats.org/officeDocument/2006/relationships/hyperlink" Target="https://www.wideopenspaces.com/how-to-clean-a-deer-skull/" TargetMode="External"/><Relationship Id="rId1146" Type="http://schemas.openxmlformats.org/officeDocument/2006/relationships/hyperlink" Target="https://realtree.com/deer-hunting/articles/the-best-times-to-deer-hunt-in-2022" TargetMode="External"/><Relationship Id="rId2060" Type="http://schemas.openxmlformats.org/officeDocument/2006/relationships/hyperlink" Target="https://www.wideopenspaces.com/whitetailwednesday-should-we-shoot-albino-and-piebald-deer/" TargetMode="External"/><Relationship Id="rId2061" Type="http://schemas.openxmlformats.org/officeDocument/2006/relationships/hyperlink" Target="https://www.wideopenspaces.com/rabid-deer-confirm-north-carolina/" TargetMode="External"/><Relationship Id="rId2062" Type="http://schemas.openxmlformats.org/officeDocument/2006/relationships/hyperlink" Target="https://realtree.com/brow-tines-and-backstrap/2022-southeast-deer-hunting-forecast" TargetMode="External"/><Relationship Id="rId2063" Type="http://schemas.openxmlformats.org/officeDocument/2006/relationships/hyperlink" Target="https://www.wideopenspaces.com/see-through-hunting-blinds/" TargetMode="External"/><Relationship Id="rId2064" Type="http://schemas.openxmlformats.org/officeDocument/2006/relationships/hyperlink" Target="https://realtree.com/brow-tines-and-backstrap/2022-southeast-deer-hunting-forecast" TargetMode="External"/><Relationship Id="rId2065" Type="http://schemas.openxmlformats.org/officeDocument/2006/relationships/hyperlink" Target="https://www.wideopenspaces.com/tennessee-approves-3-day-archery-only-deer-season-for-august/" TargetMode="External"/><Relationship Id="rId2066" Type="http://schemas.openxmlformats.org/officeDocument/2006/relationships/hyperlink" Target="https://realtree.com/deer-hunting/articles/where-to-deer-hunt-in-february" TargetMode="External"/><Relationship Id="rId2067" Type="http://schemas.openxmlformats.org/officeDocument/2006/relationships/hyperlink" Target="https://www.wideopenspaces.com/when-does-deer-season-end-in-texas/" TargetMode="External"/><Relationship Id="rId2068" Type="http://schemas.openxmlformats.org/officeDocument/2006/relationships/hyperlink" Target="https://realtree.com/turkey-hunting/articles/tennessee-moves-to-later-turkey-season-2-bird-bag-limit-no-fanning-on-public" TargetMode="External"/><Relationship Id="rId2069" Type="http://schemas.openxmlformats.org/officeDocument/2006/relationships/hyperlink" Target="https://www.wideopenspaces.com/tennessee-approves-3-day-archery-only-deer-season-for-august/" TargetMode="External"/><Relationship Id="rId2050" Type="http://schemas.openxmlformats.org/officeDocument/2006/relationships/hyperlink" Target="https://realtree.com/" TargetMode="External"/><Relationship Id="rId2051" Type="http://schemas.openxmlformats.org/officeDocument/2006/relationships/hyperlink" Target="https://www.wideopenspaces.com/minnesota-deer-hunting/" TargetMode="External"/><Relationship Id="rId495" Type="http://schemas.openxmlformats.org/officeDocument/2006/relationships/hyperlink" Target="https://realtree.com/timber-2-table-wild-game-recipes/bavarian-style-slow-cooker-venison-and-sauerkraut-pot-roast" TargetMode="External"/><Relationship Id="rId2052" Type="http://schemas.openxmlformats.org/officeDocument/2006/relationships/hyperlink" Target="https://realtree.com/deer-hunting/articles/8-major-differences-between-whitetails-and-mule-deer" TargetMode="External"/><Relationship Id="rId494" Type="http://schemas.openxmlformats.org/officeDocument/2006/relationships/hyperlink" Target="https://www.themeateater.com/cook/recipes/freestyle-cooking-pickle-juice-venison-pot-roast-recipe" TargetMode="External"/><Relationship Id="rId2053" Type="http://schemas.openxmlformats.org/officeDocument/2006/relationships/hyperlink" Target="https://www.wideopenspaces.com/trouble-naming-your-hit-list-buck-65-buck-nicknames/" TargetMode="External"/><Relationship Id="rId493" Type="http://schemas.openxmlformats.org/officeDocument/2006/relationships/hyperlink" Target="https://www.wideopenspaces.com/hunting-deer-with-a-bow-past-archery-season/" TargetMode="External"/><Relationship Id="rId2054" Type="http://schemas.openxmlformats.org/officeDocument/2006/relationships/hyperlink" Target="https://realtree.com/deer-hunting/articles/the-best-times-to-deer-hunt-in-2022" TargetMode="External"/><Relationship Id="rId492" Type="http://schemas.openxmlformats.org/officeDocument/2006/relationships/hyperlink" Target="https://realtree.com/brow-tines-and-backstrap/how-to-build-a-self-bow-and-kill-a-deer-with-it" TargetMode="External"/><Relationship Id="rId2055" Type="http://schemas.openxmlformats.org/officeDocument/2006/relationships/hyperlink" Target="https://realtree.com/brow-tines-and-backstrap/2022-southeast-deer-hunting-forecast" TargetMode="External"/><Relationship Id="rId499" Type="http://schemas.openxmlformats.org/officeDocument/2006/relationships/hyperlink" Target="https://www.themeateater.com/cook/recipes/garlic-herb-venison-marinade-recipe" TargetMode="External"/><Relationship Id="rId2056" Type="http://schemas.openxmlformats.org/officeDocument/2006/relationships/hyperlink" Target="https://www.wideopenspaces.com/deer-hunting-in-ohio-what-you-should-know/" TargetMode="External"/><Relationship Id="rId498" Type="http://schemas.openxmlformats.org/officeDocument/2006/relationships/hyperlink" Target="https://realtree.com/deer-hunting/articles/don-t-get-killed-in-the-deer-woods" TargetMode="External"/><Relationship Id="rId2057" Type="http://schemas.openxmlformats.org/officeDocument/2006/relationships/hyperlink" Target="https://www.wideopenspaces.com/deer-hunting-in-ohio-what-you-should-know/" TargetMode="External"/><Relationship Id="rId497" Type="http://schemas.openxmlformats.org/officeDocument/2006/relationships/hyperlink" Target="https://www.themeateater.com/wired-to-hunt/whitetail-hunting/3-ways-to-get-your-deer-out-of-the-woods" TargetMode="External"/><Relationship Id="rId2058" Type="http://schemas.openxmlformats.org/officeDocument/2006/relationships/hyperlink" Target="https://www.wideopenspaces.com/pennsylvania-deer-hunting/" TargetMode="External"/><Relationship Id="rId496" Type="http://schemas.openxmlformats.org/officeDocument/2006/relationships/hyperlink" Target="https://www.wideopenspaces.com/the-best-crock-pot-venison-pot-roast-recipe-ever/" TargetMode="External"/><Relationship Id="rId2059" Type="http://schemas.openxmlformats.org/officeDocument/2006/relationships/hyperlink" Target="https://www.wideopenspaces.com/pennsylvania-deer-hunting/" TargetMode="External"/><Relationship Id="rId2070" Type="http://schemas.openxmlformats.org/officeDocument/2006/relationships/hyperlink" Target="https://www.wideopenspaces.com/5-luxury-hunting-blinds-you-might-be-able-to-afford/" TargetMode="External"/><Relationship Id="rId2071" Type="http://schemas.openxmlformats.org/officeDocument/2006/relationships/hyperlink" Target="https://realtree.com/brow-tines-and-backstrap/10-amazing-facts-about-velvet-antlers" TargetMode="External"/><Relationship Id="rId2072" Type="http://schemas.openxmlformats.org/officeDocument/2006/relationships/hyperlink" Target="https://www.wideopenspaces.com/blue-tongue-disease-in-deer/" TargetMode="External"/><Relationship Id="rId2073" Type="http://schemas.openxmlformats.org/officeDocument/2006/relationships/hyperlink" Target="https://www.wideopenspaces.com/missouri-deer-hunting-all-to-know-about-this-buck-buck-paradise/" TargetMode="External"/><Relationship Id="rId2074" Type="http://schemas.openxmlformats.org/officeDocument/2006/relationships/hyperlink" Target="https://www.wideopenspaces.com/rare-piebald-deer-herd/" TargetMode="External"/><Relationship Id="rId2075" Type="http://schemas.openxmlformats.org/officeDocument/2006/relationships/hyperlink" Target="https://realtree.com/brow-tines-and-backstrap/what-really-kills-whitetail-fawns" TargetMode="External"/><Relationship Id="rId2076" Type="http://schemas.openxmlformats.org/officeDocument/2006/relationships/hyperlink" Target="https://www.wideopenspaces.com/wisconsin-deer-hunting-everything-hunters-need-to-know/" TargetMode="External"/><Relationship Id="rId2077" Type="http://schemas.openxmlformats.org/officeDocument/2006/relationships/hyperlink" Target="https://www.wideopenspaces.com/missouri-youth-hunt-records-astounding-deer-kill-number/" TargetMode="External"/><Relationship Id="rId2078" Type="http://schemas.openxmlformats.org/officeDocument/2006/relationships/hyperlink" Target="https://www.wideopenspaces.com/missouri-youth-hunt-records-astounding-deer-kill-number/" TargetMode="External"/><Relationship Id="rId2079" Type="http://schemas.openxmlformats.org/officeDocument/2006/relationships/drawing" Target="../drawings/drawing2.xml"/><Relationship Id="rId1610" Type="http://schemas.openxmlformats.org/officeDocument/2006/relationships/hyperlink" Target="https://realtree.com/brow-tines-and-backstrap/7-different-deer-taxidermy-options-and-their-costs" TargetMode="External"/><Relationship Id="rId1611" Type="http://schemas.openxmlformats.org/officeDocument/2006/relationships/hyperlink" Target="https://realtree.com/brow-tines-and-backstrap/10-amazing-facts-about-velvet-antlers" TargetMode="External"/><Relationship Id="rId1612" Type="http://schemas.openxmlformats.org/officeDocument/2006/relationships/hyperlink" Target="https://www.wideopenspaces.com/deer-corn/" TargetMode="External"/><Relationship Id="rId1613" Type="http://schemas.openxmlformats.org/officeDocument/2006/relationships/hyperlink" Target="https://realtree.com/deer-hunting/articles/10-best-times-to-deer-hunt" TargetMode="External"/><Relationship Id="rId1614" Type="http://schemas.openxmlformats.org/officeDocument/2006/relationships/hyperlink" Target="https://www.wideopenspaces.com/when-does-deer-season-end-in-texas/" TargetMode="External"/><Relationship Id="rId1615" Type="http://schemas.openxmlformats.org/officeDocument/2006/relationships/hyperlink" Target="https://www.wideopenspaces.com/best-deer-feeders/" TargetMode="External"/><Relationship Id="rId1616" Type="http://schemas.openxmlformats.org/officeDocument/2006/relationships/hyperlink" Target="https://realtree.com/brow-tines-and-backstrap/debate-settled-deep-south-deer-are-the-toughest-to-hunt" TargetMode="External"/><Relationship Id="rId907" Type="http://schemas.openxmlformats.org/officeDocument/2006/relationships/hyperlink" Target="https://www.themeateater.com/listen/wired-to-hunt/ep-546-the-story-of-deer-survival-whitetail-anatom" TargetMode="External"/><Relationship Id="rId1617" Type="http://schemas.openxmlformats.org/officeDocument/2006/relationships/hyperlink" Target="https://www.wideopenspaces.com/whitetailwednesday-should-we-shoot-albino-and-piebald-deer/" TargetMode="External"/><Relationship Id="rId906" Type="http://schemas.openxmlformats.org/officeDocument/2006/relationships/hyperlink" Target="https://www.wideopenspaces.com/best-deer-hunting-rifles/" TargetMode="External"/><Relationship Id="rId1618" Type="http://schemas.openxmlformats.org/officeDocument/2006/relationships/hyperlink" Target="https://www.wideopenspaces.com/do-deer-eat-meat/" TargetMode="External"/><Relationship Id="rId905" Type="http://schemas.openxmlformats.org/officeDocument/2006/relationships/hyperlink" Target="https://realtree.com/deer-hunting/articles/the-new-hunter-s-guide-to-buying-your-first-deer-rifle" TargetMode="External"/><Relationship Id="rId1619" Type="http://schemas.openxmlformats.org/officeDocument/2006/relationships/hyperlink" Target="https://www.wideopenspaces.com/best-deer-feeders/" TargetMode="External"/><Relationship Id="rId904" Type="http://schemas.openxmlformats.org/officeDocument/2006/relationships/hyperlink" Target="https://www.themeateater.com/hunt/firearm-hunting/should-your-next-deer-rifle-be-an-ar-15" TargetMode="External"/><Relationship Id="rId909" Type="http://schemas.openxmlformats.org/officeDocument/2006/relationships/hyperlink" Target="https://www.wideopenspaces.com/the-great-deer-anatomy-explainer-and-what-you-need-to-know-as-a-hunter/" TargetMode="External"/><Relationship Id="rId908" Type="http://schemas.openxmlformats.org/officeDocument/2006/relationships/hyperlink" Target="https://realtree.com/deer-hunting/articles/the-best-shot-placement-on-deer" TargetMode="External"/><Relationship Id="rId903" Type="http://schemas.openxmlformats.org/officeDocument/2006/relationships/hyperlink" Target="https://www.themeateater.com/wired-to-hunt/whitetail-management/cranial-abscess-syndrome-the-false-cwd" TargetMode="External"/><Relationship Id="rId902" Type="http://schemas.openxmlformats.org/officeDocument/2006/relationships/hyperlink" Target="https://www.wideopenspaces.com/treestand-vs-groundblind-when-and-where-you-should-use-either-one/" TargetMode="External"/><Relationship Id="rId901" Type="http://schemas.openxmlformats.org/officeDocument/2006/relationships/hyperlink" Target="https://realtree.com/deer-hunting/articles/15-tips-for-deer-hunting-from-a-treestand" TargetMode="External"/><Relationship Id="rId900" Type="http://schemas.openxmlformats.org/officeDocument/2006/relationships/hyperlink" Target="https://www.themeateater.com/wired-to-hunt/whitetail-scouting/how-to-pick-the-perfect-tree-stand-location-in-summer" TargetMode="External"/><Relationship Id="rId1600" Type="http://schemas.openxmlformats.org/officeDocument/2006/relationships/hyperlink" Target="https://www.wideopenspaces.com/make-poor-mans-deer-feeder/" TargetMode="External"/><Relationship Id="rId1601" Type="http://schemas.openxmlformats.org/officeDocument/2006/relationships/hyperlink" Target="https://realtree.com/midwest-whitetail/articles/string-jumpers-how-to-aim-at-alert-deer" TargetMode="External"/><Relationship Id="rId1602" Type="http://schemas.openxmlformats.org/officeDocument/2006/relationships/hyperlink" Target="https://www.wideopenspaces.com/deer-tries-to-jump-high-fence-video/" TargetMode="External"/><Relationship Id="rId1603" Type="http://schemas.openxmlformats.org/officeDocument/2006/relationships/hyperlink" Target="https://www.wideopenspaces.com/whitetail-deer-gestation-period/" TargetMode="External"/><Relationship Id="rId1604" Type="http://schemas.openxmlformats.org/officeDocument/2006/relationships/hyperlink" Target="https://realtree.com/brow-tines-and-backstrap/iowa-law-expands-rifle-options-for-late-season-antlerless-hunts" TargetMode="External"/><Relationship Id="rId1605" Type="http://schemas.openxmlformats.org/officeDocument/2006/relationships/hyperlink" Target="https://www.wideopenspaces.com/komodo-dragon-hunts-kills-deer-brutal-footage/" TargetMode="External"/><Relationship Id="rId1606" Type="http://schemas.openxmlformats.org/officeDocument/2006/relationships/hyperlink" Target="https://www.wideopenspaces.com/trouble-naming-your-hit-list-buck-65-buck-nicknames/" TargetMode="External"/><Relationship Id="rId1607" Type="http://schemas.openxmlformats.org/officeDocument/2006/relationships/hyperlink" Target="https://www.wideopenspaces.com/trouble-naming-your-hit-list-buck-65-buck-nicknames/" TargetMode="External"/><Relationship Id="rId1608" Type="http://schemas.openxmlformats.org/officeDocument/2006/relationships/hyperlink" Target="https://www.wideopenspaces.com/deer-hunting-in-ohio-what-you-should-know/" TargetMode="External"/><Relationship Id="rId1609" Type="http://schemas.openxmlformats.org/officeDocument/2006/relationships/hyperlink" Target="https://realtree.com/deer-hunting/articles/15-tips-for-opening-day-of-gun-season" TargetMode="External"/><Relationship Id="rId1631" Type="http://schemas.openxmlformats.org/officeDocument/2006/relationships/hyperlink" Target="https://www.wideopenspaces.com/whitetailwednesday-15-hilarious-deer-hunting-memes-true/" TargetMode="External"/><Relationship Id="rId1632" Type="http://schemas.openxmlformats.org/officeDocument/2006/relationships/hyperlink" Target="https://oldforums.realtree.com/topic/102277-mineralsalt-blocks/" TargetMode="External"/><Relationship Id="rId1633" Type="http://schemas.openxmlformats.org/officeDocument/2006/relationships/hyperlink" Target="https://realtree.com/brow-tines-and-backstrap/20-crazy-good-deer-mounts-from-the-nwtf-convention" TargetMode="External"/><Relationship Id="rId1634" Type="http://schemas.openxmlformats.org/officeDocument/2006/relationships/hyperlink" Target="https://www.wideopenspaces.com/whitetailwednesday-25-unique-ideas-for-your-next-whitetail-mount/" TargetMode="External"/><Relationship Id="rId1635" Type="http://schemas.openxmlformats.org/officeDocument/2006/relationships/hyperlink" Target="https://www.wideopenspaces.com/mn-deer-hunting-zones/" TargetMode="External"/><Relationship Id="rId1636" Type="http://schemas.openxmlformats.org/officeDocument/2006/relationships/hyperlink" Target="https://www.wideopenspaces.com/mn-turkey-season/" TargetMode="External"/><Relationship Id="rId1637" Type="http://schemas.openxmlformats.org/officeDocument/2006/relationships/hyperlink" Target="https://realtree.com/the-realblog-with-stephanie-mallory/watch-live-cam-of-maine-deer-pantry" TargetMode="External"/><Relationship Id="rId1638" Type="http://schemas.openxmlformats.org/officeDocument/2006/relationships/hyperlink" Target="https://realtree.com/brow-tines-and-backstrap/debate-settled-deep-south-deer-are-the-toughest-to-hunt" TargetMode="External"/><Relationship Id="rId929" Type="http://schemas.openxmlformats.org/officeDocument/2006/relationships/hyperlink" Target="https://realtree.com/brow-tines-and-backstrap/everything-you-ever-wanted-to-know-about-deer-poop" TargetMode="External"/><Relationship Id="rId1639" Type="http://schemas.openxmlformats.org/officeDocument/2006/relationships/hyperlink" Target="https://www.wideopenspaces.com/alabama-hunting-license/" TargetMode="External"/><Relationship Id="rId928" Type="http://schemas.openxmlformats.org/officeDocument/2006/relationships/hyperlink" Target="https://www.themeateater.com/wired-to-hunt/whitetail-scouting/fact-checker-can-you-identify-a-mature-buck-by-droppings" TargetMode="External"/><Relationship Id="rId927" Type="http://schemas.openxmlformats.org/officeDocument/2006/relationships/hyperlink" Target="https://realtree.com/brow-tines-and-backstrap/why-windy-days-are-great-for-deer-hunting" TargetMode="External"/><Relationship Id="rId926" Type="http://schemas.openxmlformats.org/officeDocument/2006/relationships/hyperlink" Target="https://www.themeateater.com/wired-to-hunt/whitetail-hunting/how-to-kill-a-buck-in-high-wind" TargetMode="External"/><Relationship Id="rId921" Type="http://schemas.openxmlformats.org/officeDocument/2006/relationships/hyperlink" Target="https://www.themeateater.com/hunt/whitetail-deer/video-rutting-buck-makes-crazy-vocalizations" TargetMode="External"/><Relationship Id="rId920" Type="http://schemas.openxmlformats.org/officeDocument/2006/relationships/hyperlink" Target="https://www.themeateater.com/wired-to-hunt/whitetail-scouting/what-you-need-to-know-about-deer-tracks" TargetMode="External"/><Relationship Id="rId925" Type="http://schemas.openxmlformats.org/officeDocument/2006/relationships/hyperlink" Target="https://realtree.com/deer-hunting/articles/the-toughest-deer" TargetMode="External"/><Relationship Id="rId924" Type="http://schemas.openxmlformats.org/officeDocument/2006/relationships/hyperlink" Target="https://www.themeateater.com/watch/6174832058001/steven-rinella-tracks-coues-deer-in-arizona" TargetMode="External"/><Relationship Id="rId923" Type="http://schemas.openxmlformats.org/officeDocument/2006/relationships/hyperlink" Target="https://www.wideopenspaces.com/deer-sounds-making-sense-of-the-sounds-of-the-deer-woods/" TargetMode="External"/><Relationship Id="rId922" Type="http://schemas.openxmlformats.org/officeDocument/2006/relationships/hyperlink" Target="https://realtree.com/deer-hunting/articles/can-you-talk-deer" TargetMode="External"/><Relationship Id="rId1630" Type="http://schemas.openxmlformats.org/officeDocument/2006/relationships/hyperlink" Target="https://www.wideopenspaces.com/wisconsin-deer-hunting-everything-hunters-need-to-know/" TargetMode="External"/><Relationship Id="rId1620" Type="http://schemas.openxmlformats.org/officeDocument/2006/relationships/hyperlink" Target="https://www.wideopenspaces.com/deer-hunting-blind-spacious/" TargetMode="External"/><Relationship Id="rId1621" Type="http://schemas.openxmlformats.org/officeDocument/2006/relationships/hyperlink" Target="https://realtree.com/brow-tines-and-backstrap/how-to-make-a-homemade-deer-feeder" TargetMode="External"/><Relationship Id="rId1622" Type="http://schemas.openxmlformats.org/officeDocument/2006/relationships/hyperlink" Target="https://www.wideopenspaces.com/deer-corn/" TargetMode="External"/><Relationship Id="rId1623" Type="http://schemas.openxmlformats.org/officeDocument/2006/relationships/hyperlink" Target="https://realtree.com/the-realblog-with-stephanie-mallory/taxidermist-discovers-third-eye-when-preparing-deer-for-european" TargetMode="External"/><Relationship Id="rId1624" Type="http://schemas.openxmlformats.org/officeDocument/2006/relationships/hyperlink" Target="https://realtree.com/deer-hunting/articles/15-fascinating-facts-about-whitetail-biology-and-behavior" TargetMode="External"/><Relationship Id="rId1625" Type="http://schemas.openxmlformats.org/officeDocument/2006/relationships/hyperlink" Target="https://www.wideopenspaces.com/what-are-the-best-deer-hunting-times-throughout-the-day/" TargetMode="External"/><Relationship Id="rId1626" Type="http://schemas.openxmlformats.org/officeDocument/2006/relationships/hyperlink" Target="https://realtree.com/deer-hunting/articles/how-managing-for-older-bigger-bucks-helps-the-entire-deer-herd" TargetMode="External"/><Relationship Id="rId1627" Type="http://schemas.openxmlformats.org/officeDocument/2006/relationships/hyperlink" Target="https://realtree.com/deer-hunting/articles/the-best-times-to-deer-hunt-in-2022" TargetMode="External"/><Relationship Id="rId918" Type="http://schemas.openxmlformats.org/officeDocument/2006/relationships/hyperlink" Target="https://www.themeateater.com/cook/butchering-and-processing/how-much-fat-should-you-add-to-ground-venison" TargetMode="External"/><Relationship Id="rId1628" Type="http://schemas.openxmlformats.org/officeDocument/2006/relationships/hyperlink" Target="https://www.wideopenspaces.com/pennsylvania-deer-hunting/" TargetMode="External"/><Relationship Id="rId917" Type="http://schemas.openxmlformats.org/officeDocument/2006/relationships/hyperlink" Target="https://www.wideopenspaces.com/can-you-id-these-animals-by-their-poop/" TargetMode="External"/><Relationship Id="rId1629" Type="http://schemas.openxmlformats.org/officeDocument/2006/relationships/hyperlink" Target="https://realtree.com/brow-tines-and-backstrap/wisconsin-hunters-reject-changes-to-deer-season" TargetMode="External"/><Relationship Id="rId916" Type="http://schemas.openxmlformats.org/officeDocument/2006/relationships/hyperlink" Target="https://realtree.com/brow-tines-and-backstrap/everything-you-ever-wanted-to-know-about-deer-poop" TargetMode="External"/><Relationship Id="rId915" Type="http://schemas.openxmlformats.org/officeDocument/2006/relationships/hyperlink" Target="https://www.themeateater.com/wired-to-hunt/whitetail-scouting/fact-checker-can-you-identify-a-mature-buck-by-droppings" TargetMode="External"/><Relationship Id="rId919" Type="http://schemas.openxmlformats.org/officeDocument/2006/relationships/hyperlink" Target="https://realtree.com/deer-hunting/articles/12-reasons-why-your-venison-tastes-like-hell" TargetMode="External"/><Relationship Id="rId910" Type="http://schemas.openxmlformats.org/officeDocument/2006/relationships/hyperlink" Target="https://www.themeateater.com/wired-to-hunt/whitetail-hunting/why-december-deer-hunting-can-be-amazing-or-terrible" TargetMode="External"/><Relationship Id="rId914" Type="http://schemas.openxmlformats.org/officeDocument/2006/relationships/hyperlink" Target="https://www.wideopenspaces.com/5-biggest-whitetail-bucks-ever-found-dead/" TargetMode="External"/><Relationship Id="rId913" Type="http://schemas.openxmlformats.org/officeDocument/2006/relationships/hyperlink" Target="https://realtree.com/deer-hunting/articles/how-to-hunt-big-old-mature-bucks" TargetMode="External"/><Relationship Id="rId912" Type="http://schemas.openxmlformats.org/officeDocument/2006/relationships/hyperlink" Target="https://www.themeateater.com/wired-to-hunt/whitetail-hunting/how-to-track-a-buck-in-the-big-woods" TargetMode="External"/><Relationship Id="rId911" Type="http://schemas.openxmlformats.org/officeDocument/2006/relationships/hyperlink" Target="https://realtree.com/deer-hunting/articles/10-best-times-to-deer-hunt" TargetMode="External"/><Relationship Id="rId1213" Type="http://schemas.openxmlformats.org/officeDocument/2006/relationships/hyperlink" Target="https://www.wideopenspaces.com/venison-jerky-recipes/" TargetMode="External"/><Relationship Id="rId1697" Type="http://schemas.openxmlformats.org/officeDocument/2006/relationships/hyperlink" Target="https://realtree.com/food-plots-and-land-management/articles/do-cedar-trees-make-good-deer-habitat" TargetMode="External"/><Relationship Id="rId1214" Type="http://schemas.openxmlformats.org/officeDocument/2006/relationships/hyperlink" Target="https://www.themeateater.com/cook/recipes/guinness-venison-stew" TargetMode="External"/><Relationship Id="rId1698" Type="http://schemas.openxmlformats.org/officeDocument/2006/relationships/hyperlink" Target="https://www.wideopenspaces.com/16-horrible-hunting-tattoos/" TargetMode="External"/><Relationship Id="rId1215" Type="http://schemas.openxmlformats.org/officeDocument/2006/relationships/hyperlink" Target="https://www.wideopenspaces.com/searching-for-the-best-venison-recipe-what-30-minutes-googling-deer-meat-taught-me/" TargetMode="External"/><Relationship Id="rId1699" Type="http://schemas.openxmlformats.org/officeDocument/2006/relationships/hyperlink" Target="https://realtree.com/deer-hunting/articles/where-to-deer-hunt-in-february" TargetMode="External"/><Relationship Id="rId1216" Type="http://schemas.openxmlformats.org/officeDocument/2006/relationships/hyperlink" Target="https://www.themeateater.com/cook/butchering-and-processing/do-you-need-to-bleed-deer" TargetMode="External"/><Relationship Id="rId1217" Type="http://schemas.openxmlformats.org/officeDocument/2006/relationships/hyperlink" Target="https://www.themeateater.com/hunt/black-tailed-deer/a-guide-to-hunting-blacktail-deer" TargetMode="External"/><Relationship Id="rId1218" Type="http://schemas.openxmlformats.org/officeDocument/2006/relationships/hyperlink" Target="https://www.themeateater.com/hunt/big-game/ask-meateater-where-should-i-go-on-my-first-mule-deer-hunt" TargetMode="External"/><Relationship Id="rId1219" Type="http://schemas.openxmlformats.org/officeDocument/2006/relationships/hyperlink" Target="https://www.themeateater.com/wired-to-hunt/whitetail-hunting/how-to-mooch-deer-like-doug-duren" TargetMode="External"/><Relationship Id="rId866" Type="http://schemas.openxmlformats.org/officeDocument/2006/relationships/hyperlink" Target="https://www.wideopenspaces.com/venison-summer-sausage-recipe/" TargetMode="External"/><Relationship Id="rId865" Type="http://schemas.openxmlformats.org/officeDocument/2006/relationships/hyperlink" Target="https://realtree.com/timber-2-table-articles/jalape-o-pepper-jack-venison-summer-sausage-part-2" TargetMode="External"/><Relationship Id="rId864" Type="http://schemas.openxmlformats.org/officeDocument/2006/relationships/hyperlink" Target="https://www.themeateater.com/cook/recipes/summer-sausage-recipe" TargetMode="External"/><Relationship Id="rId863" Type="http://schemas.openxmlformats.org/officeDocument/2006/relationships/hyperlink" Target="https://www.themeateater.com/shows/meateater" TargetMode="External"/><Relationship Id="rId869" Type="http://schemas.openxmlformats.org/officeDocument/2006/relationships/hyperlink" Target="https://www.themeateater.com/listen/wired-to-hunt/ep-546-the-story-of-deer-survival-whitetail-anatom" TargetMode="External"/><Relationship Id="rId868" Type="http://schemas.openxmlformats.org/officeDocument/2006/relationships/hyperlink" Target="https://realtree.com/brow-tines-and-backstrap/7-different-deer-taxidermy-options-and-their-costs" TargetMode="External"/><Relationship Id="rId867" Type="http://schemas.openxmlformats.org/officeDocument/2006/relationships/hyperlink" Target="https://www.themeateater.com/hunt/whitetail-deer/fact-checker-do-outdoor-stores-pay-big-money-for-big-mounts" TargetMode="External"/><Relationship Id="rId1690" Type="http://schemas.openxmlformats.org/officeDocument/2006/relationships/hyperlink" Target="https://realtree.com/" TargetMode="External"/><Relationship Id="rId1691" Type="http://schemas.openxmlformats.org/officeDocument/2006/relationships/hyperlink" Target="https://www.wideopenspaces.com/deer-swimming-in-the-hudson-river-gets-rescued/" TargetMode="External"/><Relationship Id="rId1692" Type="http://schemas.openxmlformats.org/officeDocument/2006/relationships/hyperlink" Target="https://www.wideopenspaces.com/deer-hunting-in-ohio-what-you-should-know/" TargetMode="External"/><Relationship Id="rId862" Type="http://schemas.openxmlformats.org/officeDocument/2006/relationships/hyperlink" Target="https://www.wideopenspaces.com/venison-jerky-recipes/" TargetMode="External"/><Relationship Id="rId1693" Type="http://schemas.openxmlformats.org/officeDocument/2006/relationships/hyperlink" Target="https://realtree.com/brow-tines-and-backstrap/why-bucks-shed-antlers-and-how-to-hunt-them" TargetMode="External"/><Relationship Id="rId861" Type="http://schemas.openxmlformats.org/officeDocument/2006/relationships/hyperlink" Target="https://realtree.com/timber-2-table-wild-game-recipes/magic-chef-realtree-venison-jerky-recipe" TargetMode="External"/><Relationship Id="rId1210" Type="http://schemas.openxmlformats.org/officeDocument/2006/relationships/hyperlink" Target="https://www.themeateater.com/wired-to-hunt/whitetail-management/whitetails-and-mulies-a-comparison" TargetMode="External"/><Relationship Id="rId1694" Type="http://schemas.openxmlformats.org/officeDocument/2006/relationships/hyperlink" Target="https://www.wideopenspaces.com/deer-shed-antlers-pics/" TargetMode="External"/><Relationship Id="rId860" Type="http://schemas.openxmlformats.org/officeDocument/2006/relationships/hyperlink" Target="https://www.themeateater.com/watch/6278033203001/how-to-make-venison-jerky-with-kevin-gillespie" TargetMode="External"/><Relationship Id="rId1211" Type="http://schemas.openxmlformats.org/officeDocument/2006/relationships/hyperlink" Target="https://www.themeateater.com/cook/recipes/maple-syrup-venison-jerky-recipe" TargetMode="External"/><Relationship Id="rId1695" Type="http://schemas.openxmlformats.org/officeDocument/2006/relationships/hyperlink" Target="https://realtree.com/deer-hunting/articles/5-advanced-trail-camera-tactics" TargetMode="External"/><Relationship Id="rId1212" Type="http://schemas.openxmlformats.org/officeDocument/2006/relationships/hyperlink" Target="https://realtree.com/timber-2-table-wild-game-recipes/magic-chef-realtree-venison-jerky-recipe" TargetMode="External"/><Relationship Id="rId1696" Type="http://schemas.openxmlformats.org/officeDocument/2006/relationships/hyperlink" Target="https://realtree.com/deer-hunting/articles/busted-5-things-you-don-t-know-about-deer-senses" TargetMode="External"/><Relationship Id="rId1202" Type="http://schemas.openxmlformats.org/officeDocument/2006/relationships/hyperlink" Target="https://www.themeateater.com/wired-to-hunt/whitetail-management/how-to-plant-a-food-plot-on-a-budget" TargetMode="External"/><Relationship Id="rId1686" Type="http://schemas.openxmlformats.org/officeDocument/2006/relationships/hyperlink" Target="https://www.wideopenspaces.com/what-do-deer-elk-and-moose-do-in-the-winter/" TargetMode="External"/><Relationship Id="rId1203" Type="http://schemas.openxmlformats.org/officeDocument/2006/relationships/hyperlink" Target="https://realtree.com/food-plots-and-land-management/articles/mess-hall-mixtures-5-food-plot-combos-for-full-season" TargetMode="External"/><Relationship Id="rId1687" Type="http://schemas.openxmlformats.org/officeDocument/2006/relationships/hyperlink" Target="https://realtree.com/brow-tines-and-backstrap/10-feeding-habits-of-mature-deer" TargetMode="External"/><Relationship Id="rId1204" Type="http://schemas.openxmlformats.org/officeDocument/2006/relationships/hyperlink" Target="https://www.themeateater.com/watch/6175617016001/how-to-break-down-a-deer-s-hind-leg" TargetMode="External"/><Relationship Id="rId1688" Type="http://schemas.openxmlformats.org/officeDocument/2006/relationships/hyperlink" Target="https://www.wideopenspaces.com/what-do-deer-eat/" TargetMode="External"/><Relationship Id="rId1205" Type="http://schemas.openxmlformats.org/officeDocument/2006/relationships/hyperlink" Target="https://www.wideopenspaces.com/deer-hooves-what-theyre-made-from-and-indicators-of-health/" TargetMode="External"/><Relationship Id="rId1689" Type="http://schemas.openxmlformats.org/officeDocument/2006/relationships/hyperlink" Target="https://realtree.com/brow-tines-and-backstrap/how-long-do-white-tailed-deer-live" TargetMode="External"/><Relationship Id="rId1206" Type="http://schemas.openxmlformats.org/officeDocument/2006/relationships/hyperlink" Target="https://www.themeateater.com/cook/recipes/smoked-venison-jerky-recipe" TargetMode="External"/><Relationship Id="rId1207" Type="http://schemas.openxmlformats.org/officeDocument/2006/relationships/hyperlink" Target="https://realtree.com/timber-2-table-wild-game-recipes/magic-chef-realtree-venison-jerky-recipe" TargetMode="External"/><Relationship Id="rId1208" Type="http://schemas.openxmlformats.org/officeDocument/2006/relationships/hyperlink" Target="https://www.wideopenspaces.com/venison-jerky-recipes/" TargetMode="External"/><Relationship Id="rId1209" Type="http://schemas.openxmlformats.org/officeDocument/2006/relationships/hyperlink" Target="https://www.themeateater.com/wired-to-hunt/whitetail-hunting/3-grunt-call-vocalizations-every-whitetail-hunter-should-know" TargetMode="External"/><Relationship Id="rId855" Type="http://schemas.openxmlformats.org/officeDocument/2006/relationships/hyperlink" Target="https://realtree.com/brow-tines-and-backstrap/everything-you-ever-wanted-to-know-about-deer-poop" TargetMode="External"/><Relationship Id="rId854" Type="http://schemas.openxmlformats.org/officeDocument/2006/relationships/hyperlink" Target="https://www.themeateater.com/wired-to-hunt/whitetail-scouting/fact-checker-can-you-identify-a-mature-buck-by-droppings" TargetMode="External"/><Relationship Id="rId853" Type="http://schemas.openxmlformats.org/officeDocument/2006/relationships/hyperlink" Target="https://realtree.com/all/articles/the-sitka-adventure" TargetMode="External"/><Relationship Id="rId852" Type="http://schemas.openxmlformats.org/officeDocument/2006/relationships/hyperlink" Target="https://www.themeateater.com/shows/meateater/season-1/into-the-clouds-sitka-blacktail-deer" TargetMode="External"/><Relationship Id="rId859" Type="http://schemas.openxmlformats.org/officeDocument/2006/relationships/hyperlink" Target="https://www.wideopenspaces.com/european-skull-mount/" TargetMode="External"/><Relationship Id="rId858" Type="http://schemas.openxmlformats.org/officeDocument/2006/relationships/hyperlink" Target="https://realtree.com/brow-tines-and-backstrap/7-different-deer-taxidermy-options-and-their-costs" TargetMode="External"/><Relationship Id="rId857" Type="http://schemas.openxmlformats.org/officeDocument/2006/relationships/hyperlink" Target="https://www.themeateater.com/hunt/general/ask-meateater-how-do-you-make-a-skull-mount" TargetMode="External"/><Relationship Id="rId856" Type="http://schemas.openxmlformats.org/officeDocument/2006/relationships/hyperlink" Target="https://www.wideopenspaces.com/deer-poop-identification/" TargetMode="External"/><Relationship Id="rId1680" Type="http://schemas.openxmlformats.org/officeDocument/2006/relationships/hyperlink" Target="https://realtree.com/deer-hunting/articles/10-tips-for-great-deer-pictures" TargetMode="External"/><Relationship Id="rId1681" Type="http://schemas.openxmlformats.org/officeDocument/2006/relationships/hyperlink" Target="https://realtree.com/brow-tines-and-backstrap/whitetail-taxidermy-poses-for-your-next-deer-mount" TargetMode="External"/><Relationship Id="rId851" Type="http://schemas.openxmlformats.org/officeDocument/2006/relationships/hyperlink" Target="https://www.wideopenspaces.com/best-deer-hunting-rifles/" TargetMode="External"/><Relationship Id="rId1682" Type="http://schemas.openxmlformats.org/officeDocument/2006/relationships/hyperlink" Target="https://www.wideopenspaces.com/taxidermy-deer-mount-how-much/" TargetMode="External"/><Relationship Id="rId850" Type="http://schemas.openxmlformats.org/officeDocument/2006/relationships/hyperlink" Target="https://realtree.com/deer-hunting/articles/the-new-hunter-s-guide-to-buying-your-first-deer-rifle" TargetMode="External"/><Relationship Id="rId1683" Type="http://schemas.openxmlformats.org/officeDocument/2006/relationships/hyperlink" Target="https://realtree.com/deer-hunting/articles/deer-hunting-the-late-season" TargetMode="External"/><Relationship Id="rId1200" Type="http://schemas.openxmlformats.org/officeDocument/2006/relationships/hyperlink" Target="https://realtree.com/brow-tines-and-backstrap/7-different-deer-taxidermy-options-and-their-costs" TargetMode="External"/><Relationship Id="rId1684" Type="http://schemas.openxmlformats.org/officeDocument/2006/relationships/hyperlink" Target="https://www.wideopenspaces.com/tennessee-approves-3-day-archery-only-deer-season-for-august/" TargetMode="External"/><Relationship Id="rId1201" Type="http://schemas.openxmlformats.org/officeDocument/2006/relationships/hyperlink" Target="https://www.wideopenspaces.com/deer-taxidermy-options/" TargetMode="External"/><Relationship Id="rId1685" Type="http://schemas.openxmlformats.org/officeDocument/2006/relationships/hyperlink" Target="https://oldforums.realtree.com/topic/109585-anyone-hunting-western-tn/" TargetMode="External"/><Relationship Id="rId1235" Type="http://schemas.openxmlformats.org/officeDocument/2006/relationships/hyperlink" Target="https://www.themeateater.com/wired-to-hunt/whitetail-scouting/ask-wired-to-hunt-when-should-you-start-shed-hunting" TargetMode="External"/><Relationship Id="rId1236" Type="http://schemas.openxmlformats.org/officeDocument/2006/relationships/hyperlink" Target="https://realtree.com/brow-tines-and-backstrap/why-bucks-shed-antlers-and-how-to-hunt-them" TargetMode="External"/><Relationship Id="rId1237" Type="http://schemas.openxmlformats.org/officeDocument/2006/relationships/hyperlink" Target="https://www.wideopenspaces.com/deer-shed-antlers-pics/" TargetMode="External"/><Relationship Id="rId1238" Type="http://schemas.openxmlformats.org/officeDocument/2006/relationships/hyperlink" Target="https://www.themeateater.com/hunt/big-game/big-game-tags-the-over-the-counter-option" TargetMode="External"/><Relationship Id="rId1239" Type="http://schemas.openxmlformats.org/officeDocument/2006/relationships/hyperlink" Target="https://www.themeateater.com/shows/meateater" TargetMode="External"/><Relationship Id="rId409" Type="http://schemas.openxmlformats.org/officeDocument/2006/relationships/hyperlink" Target="https://www.themeateater.com/wired-to-hunt/whitetail-scouting/3-guaranteed-places-to-find-whitetail-sheds" TargetMode="External"/><Relationship Id="rId404" Type="http://schemas.openxmlformats.org/officeDocument/2006/relationships/hyperlink" Target="https://www.wideopenspaces.com/you-actually-dont-have-to-know-how-to-butcher-a-deer-completely/" TargetMode="External"/><Relationship Id="rId888" Type="http://schemas.openxmlformats.org/officeDocument/2006/relationships/hyperlink" Target="https://realtree.com/deer-hunting/articles/5-traits-of-a-good-blood-trailing-deer-dog" TargetMode="External"/><Relationship Id="rId403" Type="http://schemas.openxmlformats.org/officeDocument/2006/relationships/hyperlink" Target="https://realtree.com/timber-2-table-articles/5-reasons-to-butcher-your-own-deer-this-season" TargetMode="External"/><Relationship Id="rId887" Type="http://schemas.openxmlformats.org/officeDocument/2006/relationships/hyperlink" Target="https://www.themeateater.com/listen/wired-to-hunt/the-wired-to-hunt-podcast-episode-45-deer-dogs-wit" TargetMode="External"/><Relationship Id="rId402" Type="http://schemas.openxmlformats.org/officeDocument/2006/relationships/hyperlink" Target="https://www.themeateater.com/watch/6258237862001/s6-e06-cooking-special-butchering-a-whole-deer" TargetMode="External"/><Relationship Id="rId886" Type="http://schemas.openxmlformats.org/officeDocument/2006/relationships/hyperlink" Target="https://www.wideopenspaces.com/whitetailwednesday-25-unique-ideas-for-your-next-whitetail-mount/" TargetMode="External"/><Relationship Id="rId401" Type="http://schemas.openxmlformats.org/officeDocument/2006/relationships/hyperlink" Target="https://www.themeateater.com/conservation/wildlife-management/why-do-female-deer-sometimes-grow-antlers" TargetMode="External"/><Relationship Id="rId885" Type="http://schemas.openxmlformats.org/officeDocument/2006/relationships/hyperlink" Target="https://www.themeateater.com/hunt/general/ask-meateater-how-do-you-make-a-skull-mount" TargetMode="External"/><Relationship Id="rId408" Type="http://schemas.openxmlformats.org/officeDocument/2006/relationships/hyperlink" Target="https://www.themeateater.com/wired-to-hunt/whitetail-hunting/deer-vision-how-whitetails-see-color-light-and-movement" TargetMode="External"/><Relationship Id="rId407" Type="http://schemas.openxmlformats.org/officeDocument/2006/relationships/hyperlink" Target="https://www.wideopenspaces.com/how-to-find-and-aim-for-deer-vitals/" TargetMode="External"/><Relationship Id="rId406" Type="http://schemas.openxmlformats.org/officeDocument/2006/relationships/hyperlink" Target="https://realtree.com/deer-hunting/articles/the-best-shot-placement-on-deer" TargetMode="External"/><Relationship Id="rId405" Type="http://schemas.openxmlformats.org/officeDocument/2006/relationships/hyperlink" Target="https://www.themeateater.com/wired-to-hunt/whitetail-hunting/where-to-shoot-a-deer" TargetMode="External"/><Relationship Id="rId889" Type="http://schemas.openxmlformats.org/officeDocument/2006/relationships/hyperlink" Target="https://www.wideopenspaces.com/the-art-of-hunting-deer-with-dogs/" TargetMode="External"/><Relationship Id="rId880" Type="http://schemas.openxmlformats.org/officeDocument/2006/relationships/hyperlink" Target="https://www.themeateater.com/hunt/big-game/tips-and-trick-for-hunting-whitetail-deer" TargetMode="External"/><Relationship Id="rId1230" Type="http://schemas.openxmlformats.org/officeDocument/2006/relationships/hyperlink" Target="https://www.wideopenspaces.com/deer-poop-identification/" TargetMode="External"/><Relationship Id="rId400" Type="http://schemas.openxmlformats.org/officeDocument/2006/relationships/hyperlink" Target="https://www.wideopenspaces.com/how-to-clean-a-deer-heart/" TargetMode="External"/><Relationship Id="rId884" Type="http://schemas.openxmlformats.org/officeDocument/2006/relationships/hyperlink" Target="https://www.themeateater.com/conservation/wildlife-management/why-do-female-deer-sometimes-grow-antlers" TargetMode="External"/><Relationship Id="rId1231" Type="http://schemas.openxmlformats.org/officeDocument/2006/relationships/hyperlink" Target="https://www.themeateater.com/hunt/pronghorn-antelope/a-guide-to-hunting-pronghorn-antelope" TargetMode="External"/><Relationship Id="rId883" Type="http://schemas.openxmlformats.org/officeDocument/2006/relationships/hyperlink" Target="https://www.wideopenspaces.com/the-difference-between-a-bull-elk-and-a-red-stag/" TargetMode="External"/><Relationship Id="rId1232" Type="http://schemas.openxmlformats.org/officeDocument/2006/relationships/hyperlink" Target="https://www.themeateater.com/wired-to-hunt/whitetail-hunting/the-debate-about-lunar-effects-on-whitetails" TargetMode="External"/><Relationship Id="rId882" Type="http://schemas.openxmlformats.org/officeDocument/2006/relationships/hyperlink" Target="https://www.themeateater.com/hunt/elk/4-ways-elk-hunting-is-not-deer-hunting" TargetMode="External"/><Relationship Id="rId1233" Type="http://schemas.openxmlformats.org/officeDocument/2006/relationships/hyperlink" Target="https://realtree.com/deer-hunting/articles/10-best-times-to-deer-hunt" TargetMode="External"/><Relationship Id="rId881" Type="http://schemas.openxmlformats.org/officeDocument/2006/relationships/hyperlink" Target="https://realtree.com/deer-hunting" TargetMode="External"/><Relationship Id="rId1234" Type="http://schemas.openxmlformats.org/officeDocument/2006/relationships/hyperlink" Target="https://www.wideopenspaces.com/what-are-the-best-deer-hunting-times-throughout-the-day/" TargetMode="External"/><Relationship Id="rId1224" Type="http://schemas.openxmlformats.org/officeDocument/2006/relationships/hyperlink" Target="https://realtree.com/brow-tines-and-backstrap/15-steps-to-forge-your-own-deer-skinning-knife" TargetMode="External"/><Relationship Id="rId1225" Type="http://schemas.openxmlformats.org/officeDocument/2006/relationships/hyperlink" Target="https://www.themeateater.com/watch/6222000778001/s4-e12-big-buck-dreams-mule-deer-special" TargetMode="External"/><Relationship Id="rId1226" Type="http://schemas.openxmlformats.org/officeDocument/2006/relationships/hyperlink" Target="https://realtree.com/deer-hunting/articles/how-to-hunt-big-old-mature-bucks" TargetMode="External"/><Relationship Id="rId1227" Type="http://schemas.openxmlformats.org/officeDocument/2006/relationships/hyperlink" Target="https://www.wideopenspaces.com/5-biggest-whitetail-bucks-ever-found-dead/" TargetMode="External"/><Relationship Id="rId1228" Type="http://schemas.openxmlformats.org/officeDocument/2006/relationships/hyperlink" Target="https://www.themeateater.com/wired-to-hunt/whitetail-scouting/fact-checker-can-you-identify-a-mature-buck-by-droppings" TargetMode="External"/><Relationship Id="rId1229" Type="http://schemas.openxmlformats.org/officeDocument/2006/relationships/hyperlink" Target="https://realtree.com/brow-tines-and-backstrap/everything-you-ever-wanted-to-know-about-deer-poop" TargetMode="External"/><Relationship Id="rId877" Type="http://schemas.openxmlformats.org/officeDocument/2006/relationships/hyperlink" Target="https://www.themeateater.com/hunt/firearm-hunting/5-best-rifles-for-new-hunters" TargetMode="External"/><Relationship Id="rId876" Type="http://schemas.openxmlformats.org/officeDocument/2006/relationships/hyperlink" Target="https://www.wideopenspaces.com/wyoming-deer-hunting/" TargetMode="External"/><Relationship Id="rId875" Type="http://schemas.openxmlformats.org/officeDocument/2006/relationships/hyperlink" Target="https://www.themeateater.com/shows/meateater/season-9/wyoming-mule-deer-part-1" TargetMode="External"/><Relationship Id="rId874" Type="http://schemas.openxmlformats.org/officeDocument/2006/relationships/hyperlink" Target="https://www.themeateater.com/watch/6209664304001/how-to-shock-pouch-a-deer-with-clay-newcomb" TargetMode="External"/><Relationship Id="rId879" Type="http://schemas.openxmlformats.org/officeDocument/2006/relationships/hyperlink" Target="https://www.wideopenspaces.com/best-deer-hunting-rifles/" TargetMode="External"/><Relationship Id="rId878" Type="http://schemas.openxmlformats.org/officeDocument/2006/relationships/hyperlink" Target="https://realtree.com/deer-hunting/articles/the-new-hunter-s-guide-to-buying-your-first-deer-rifle" TargetMode="External"/><Relationship Id="rId873" Type="http://schemas.openxmlformats.org/officeDocument/2006/relationships/hyperlink" Target="https://www.themeateater.com/shows/sabertooth" TargetMode="External"/><Relationship Id="rId1220" Type="http://schemas.openxmlformats.org/officeDocument/2006/relationships/hyperlink" Target="https://www.wideopenspaces.com/what-is-a-deer-drive/" TargetMode="External"/><Relationship Id="rId872" Type="http://schemas.openxmlformats.org/officeDocument/2006/relationships/hyperlink" Target="https://www.wideopenspaces.com/kansas-deer-hunting/" TargetMode="External"/><Relationship Id="rId1221" Type="http://schemas.openxmlformats.org/officeDocument/2006/relationships/hyperlink" Target="https://www.themeateater.com/wired-to-hunt/whitetail-management/whitetails-and-mulies-a-comparison" TargetMode="External"/><Relationship Id="rId871" Type="http://schemas.openxmlformats.org/officeDocument/2006/relationships/hyperlink" Target="https://www.themeateater.com/hunt/big-game/big-game-tags-the-over-the-counter-option" TargetMode="External"/><Relationship Id="rId1222" Type="http://schemas.openxmlformats.org/officeDocument/2006/relationships/hyperlink" Target="https://realtree.com/deer-hunting/articles/8-major-differences-between-whitetails-and-mule-deer" TargetMode="External"/><Relationship Id="rId870" Type="http://schemas.openxmlformats.org/officeDocument/2006/relationships/hyperlink" Target="https://www.wideopenspaces.com/the-great-deer-anatomy-explainer-and-what-you-need-to-know-as-a-hunter/" TargetMode="External"/><Relationship Id="rId1223" Type="http://schemas.openxmlformats.org/officeDocument/2006/relationships/hyperlink" Target="https://www.themeateater.com/gear/general/best-hunting-knives" TargetMode="External"/><Relationship Id="rId1653" Type="http://schemas.openxmlformats.org/officeDocument/2006/relationships/hyperlink" Target="https://www.wideopenspaces.com/taxidermy-deer-mount-how-much/" TargetMode="External"/><Relationship Id="rId1654" Type="http://schemas.openxmlformats.org/officeDocument/2006/relationships/hyperlink" Target="https://www.wideopenspaces.com/whitetail-deer-gestation-period/" TargetMode="External"/><Relationship Id="rId1655" Type="http://schemas.openxmlformats.org/officeDocument/2006/relationships/hyperlink" Target="https://www.wideopenspaces.com/whitetail-deer-gestation-period/" TargetMode="External"/><Relationship Id="rId1656" Type="http://schemas.openxmlformats.org/officeDocument/2006/relationships/hyperlink" Target="https://www.wideopenspaces.com/whitetail-deer-gestation-period/" TargetMode="External"/><Relationship Id="rId1657" Type="http://schemas.openxmlformats.org/officeDocument/2006/relationships/hyperlink" Target="https://www.wideopenspaces.com/whitetail-deer-gestation-period/" TargetMode="External"/><Relationship Id="rId1658" Type="http://schemas.openxmlformats.org/officeDocument/2006/relationships/hyperlink" Target="https://www.wideopenspaces.com/3-hunting-shows-binge-watch-stuck-indoors-snowstorm/" TargetMode="External"/><Relationship Id="rId1659" Type="http://schemas.openxmlformats.org/officeDocument/2006/relationships/hyperlink" Target="https://realtree.com/the-realblog-with-stephanie-mallory/crooked-head-deer-defies-odds-for-survival" TargetMode="External"/><Relationship Id="rId829" Type="http://schemas.openxmlformats.org/officeDocument/2006/relationships/hyperlink" Target="https://www.themeateater.com/hunt/whitetail-deer/fact-checker-do-outdoor-stores-pay-big-money-for-big-mounts" TargetMode="External"/><Relationship Id="rId828" Type="http://schemas.openxmlformats.org/officeDocument/2006/relationships/hyperlink" Target="https://www.wideopenspaces.com/whitetail-wednesday-how-much-do-people-pay-for-shoulder-mounts-in-your-area/" TargetMode="External"/><Relationship Id="rId827" Type="http://schemas.openxmlformats.org/officeDocument/2006/relationships/hyperlink" Target="https://realtree.com/brow-tines-and-backstrap/20-crazy-good-deer-mounts-from-the-nwtf-convention" TargetMode="External"/><Relationship Id="rId822" Type="http://schemas.openxmlformats.org/officeDocument/2006/relationships/hyperlink" Target="https://www.themeateater.com/conservation/wildlife-management/spring-bear-hunting-season-shut-down-again-in-washington-state" TargetMode="External"/><Relationship Id="rId821" Type="http://schemas.openxmlformats.org/officeDocument/2006/relationships/hyperlink" Target="https://realtree.com/brow-tines-and-backstrap/everything-you-ever-wanted-to-know-about-deer-poop" TargetMode="External"/><Relationship Id="rId820" Type="http://schemas.openxmlformats.org/officeDocument/2006/relationships/hyperlink" Target="https://www.themeateater.com/wired-to-hunt/whitetail-scouting/fact-checker-can-you-identify-a-mature-buck-by-droppings" TargetMode="External"/><Relationship Id="rId826" Type="http://schemas.openxmlformats.org/officeDocument/2006/relationships/hyperlink" Target="https://www.themeateater.com/hunt/whitetail-deer/fact-checker-do-outdoor-stores-pay-big-money-for-big-mounts" TargetMode="External"/><Relationship Id="rId825" Type="http://schemas.openxmlformats.org/officeDocument/2006/relationships/hyperlink" Target="https://www.themeateater.com/shows/meateater" TargetMode="External"/><Relationship Id="rId824" Type="http://schemas.openxmlformats.org/officeDocument/2006/relationships/hyperlink" Target="https://www.wideopenspaces.com/the-best-diy-hunting-blinds-you-can-possibly-make-this-soon-before-the-season/" TargetMode="External"/><Relationship Id="rId823" Type="http://schemas.openxmlformats.org/officeDocument/2006/relationships/hyperlink" Target="https://www.themeateater.com/hunt/whitetail-deer/photos-how-to-build-a-deer-blind-from-pallets" TargetMode="External"/><Relationship Id="rId1650" Type="http://schemas.openxmlformats.org/officeDocument/2006/relationships/hyperlink" Target="https://www.wideopenspaces.com/what-do-deer-eat/" TargetMode="External"/><Relationship Id="rId1651" Type="http://schemas.openxmlformats.org/officeDocument/2006/relationships/hyperlink" Target="https://realtree.com/food-plots-and-land-management/articles/food-plot-seed-how-to-plant-sunflowers" TargetMode="External"/><Relationship Id="rId1652" Type="http://schemas.openxmlformats.org/officeDocument/2006/relationships/hyperlink" Target="https://realtree.com/brow-tines-and-backstrap/whitetail-taxidermy-poses-for-your-next-deer-mount" TargetMode="External"/><Relationship Id="rId1642" Type="http://schemas.openxmlformats.org/officeDocument/2006/relationships/hyperlink" Target="https://www.wideopenspaces.com/when-does-deer-season-end-in-georgia/" TargetMode="External"/><Relationship Id="rId1643" Type="http://schemas.openxmlformats.org/officeDocument/2006/relationships/hyperlink" Target="https://www.wideopenspaces.com/indiana-hunting-license/" TargetMode="External"/><Relationship Id="rId1644" Type="http://schemas.openxmlformats.org/officeDocument/2006/relationships/hyperlink" Target="https://www.wideopenspaces.com/the-great-big-oklahoma-deer-hunting-guide/" TargetMode="External"/><Relationship Id="rId1645" Type="http://schemas.openxmlformats.org/officeDocument/2006/relationships/hyperlink" Target="https://realtree.com/brow-tines-and-backstrap/2022-southeast-deer-hunting-forecast" TargetMode="External"/><Relationship Id="rId1646" Type="http://schemas.openxmlformats.org/officeDocument/2006/relationships/hyperlink" Target="https://realtree.com/deer-hunting/articles/deer-hunting-the-late-season" TargetMode="External"/><Relationship Id="rId1647" Type="http://schemas.openxmlformats.org/officeDocument/2006/relationships/hyperlink" Target="https://realtree.com/brow-tines-and-backstrap/15-steps-to-forge-your-own-deer-skinning-knife" TargetMode="External"/><Relationship Id="rId1648" Type="http://schemas.openxmlformats.org/officeDocument/2006/relationships/hyperlink" Target="https://realtree.com/brow-tines-and-backstrap/how-long-do-white-tailed-deer-live" TargetMode="External"/><Relationship Id="rId1649" Type="http://schemas.openxmlformats.org/officeDocument/2006/relationships/hyperlink" Target="https://www.wideopenspaces.com/lifespan-whitetail-deer/" TargetMode="External"/><Relationship Id="rId819" Type="http://schemas.openxmlformats.org/officeDocument/2006/relationships/hyperlink" Target="https://www.wideopenspaces.com/5-deer-attractants-drive-whitetail-bucks-crazy-pics/" TargetMode="External"/><Relationship Id="rId818" Type="http://schemas.openxmlformats.org/officeDocument/2006/relationships/hyperlink" Target="https://realtree.com/brow-tines-and-backstrap/8-things-you-can-use-to-bait-deer" TargetMode="External"/><Relationship Id="rId817" Type="http://schemas.openxmlformats.org/officeDocument/2006/relationships/hyperlink" Target="https://www.themeateater.com/wired-to-hunt/whitetail-scouting/best-food-sources-to-deer-hunt-in-october" TargetMode="External"/><Relationship Id="rId816" Type="http://schemas.openxmlformats.org/officeDocument/2006/relationships/hyperlink" Target="https://www.wideopenspaces.com/biggest-mule-deer-kills-pics/" TargetMode="External"/><Relationship Id="rId811" Type="http://schemas.openxmlformats.org/officeDocument/2006/relationships/hyperlink" Target="https://www.themeateater.com/cook/recipes/venison-tenderloin-with-italian-salsa-verde-recipe" TargetMode="External"/><Relationship Id="rId810" Type="http://schemas.openxmlformats.org/officeDocument/2006/relationships/hyperlink" Target="https://realtree.com/deer-hunting/articles/habits-of-mature-whitetail-deer" TargetMode="External"/><Relationship Id="rId815" Type="http://schemas.openxmlformats.org/officeDocument/2006/relationships/hyperlink" Target="https://realtree.com/big-game-hunting/articles/the-top-states-for-record-mule-deer-in-the-last-10-years" TargetMode="External"/><Relationship Id="rId814" Type="http://schemas.openxmlformats.org/officeDocument/2006/relationships/hyperlink" Target="https://www.themeateater.com/conservation/wildlife-management/the-letterman-buck" TargetMode="External"/><Relationship Id="rId813" Type="http://schemas.openxmlformats.org/officeDocument/2006/relationships/hyperlink" Target="https://www.wideopenspaces.com/top-6-venison-tenderloin-recipes/" TargetMode="External"/><Relationship Id="rId812" Type="http://schemas.openxmlformats.org/officeDocument/2006/relationships/hyperlink" Target="https://realtree.com/timber-2-table-wild-game-recipes/bourbon-buttermilk-fried-deer-tenderloin" TargetMode="External"/><Relationship Id="rId1640" Type="http://schemas.openxmlformats.org/officeDocument/2006/relationships/hyperlink" Target="https://realtree.com/brow-tines-and-backstrap/2022-southeast-deer-hunting-forecast" TargetMode="External"/><Relationship Id="rId1641" Type="http://schemas.openxmlformats.org/officeDocument/2006/relationships/hyperlink" Target="https://realtree.com/brow-tines-and-backstrap/2022-southeast-deer-hunting-forecast" TargetMode="External"/><Relationship Id="rId1675" Type="http://schemas.openxmlformats.org/officeDocument/2006/relationships/hyperlink" Target="https://www.wideopenspaces.com/when-does-deer-season-end-in-missouri/" TargetMode="External"/><Relationship Id="rId1676" Type="http://schemas.openxmlformats.org/officeDocument/2006/relationships/hyperlink" Target="https://realtree.com/deer-hunting/articles/states-that-haven-t-produced-a-non-typical-booner-in-the-last-10-years" TargetMode="External"/><Relationship Id="rId1677" Type="http://schemas.openxmlformats.org/officeDocument/2006/relationships/hyperlink" Target="https://www.wideopenspaces.com/typical-vs-non-typical-deer/" TargetMode="External"/><Relationship Id="rId1678" Type="http://schemas.openxmlformats.org/officeDocument/2006/relationships/hyperlink" Target="https://www.wideopenspaces.com/deer-hunting-in-ohio-what-you-should-know/" TargetMode="External"/><Relationship Id="rId1679" Type="http://schemas.openxmlformats.org/officeDocument/2006/relationships/hyperlink" Target="https://www.wideopenspaces.com/dip-deer-skull-spray-paint-diy-video/" TargetMode="External"/><Relationship Id="rId849" Type="http://schemas.openxmlformats.org/officeDocument/2006/relationships/hyperlink" Target="https://www.themeateater.com/hunt/firearm-hunting/5-gun-accessories-every-deer-hunter-should-own" TargetMode="External"/><Relationship Id="rId844" Type="http://schemas.openxmlformats.org/officeDocument/2006/relationships/hyperlink" Target="https://realtree.com/food-plots-and-land-management/articles/food-plot-seed-how-to-plant-soybeans" TargetMode="External"/><Relationship Id="rId843" Type="http://schemas.openxmlformats.org/officeDocument/2006/relationships/hyperlink" Target="https://www.themeateater.com/wired-to-hunt/whitetail-management/will-deer-eat-yellow-soybeans" TargetMode="External"/><Relationship Id="rId842" Type="http://schemas.openxmlformats.org/officeDocument/2006/relationships/hyperlink" Target="https://www.wideopenspaces.com/whitetail-wednesday-how-much-do-people-pay-for-shoulder-mounts-in-your-area/" TargetMode="External"/><Relationship Id="rId841" Type="http://schemas.openxmlformats.org/officeDocument/2006/relationships/hyperlink" Target="https://realtree.com/brow-tines-and-backstrap/how-long-should-deer-taxidermy-take" TargetMode="External"/><Relationship Id="rId848" Type="http://schemas.openxmlformats.org/officeDocument/2006/relationships/hyperlink" Target="https://www.wideopenspaces.com/venison-backstrap-recipes/" TargetMode="External"/><Relationship Id="rId847" Type="http://schemas.openxmlformats.org/officeDocument/2006/relationships/hyperlink" Target="https://www.themeateater.com/recipes/cuts/backstrap" TargetMode="External"/><Relationship Id="rId846" Type="http://schemas.openxmlformats.org/officeDocument/2006/relationships/hyperlink" Target="https://realtree.com/deer-hunting/articles/deer-aging-criteria-is-that-buck-mature" TargetMode="External"/><Relationship Id="rId845" Type="http://schemas.openxmlformats.org/officeDocument/2006/relationships/hyperlink" Target="https://www.themeateater.com/wired-to-hunt/whitetail-management/you-wont-believe-how-far-this-buck-traveled" TargetMode="External"/><Relationship Id="rId1670" Type="http://schemas.openxmlformats.org/officeDocument/2006/relationships/hyperlink" Target="https://realtree.com/brow-tines-and-backstrap/is-it-safe-to-leave-treestands-out-all-year" TargetMode="External"/><Relationship Id="rId840" Type="http://schemas.openxmlformats.org/officeDocument/2006/relationships/hyperlink" Target="https://www.themeateater.com/hunt/big-game/what-to-do-when-you-plan-on-getting-a-deer-mounted" TargetMode="External"/><Relationship Id="rId1671" Type="http://schemas.openxmlformats.org/officeDocument/2006/relationships/hyperlink" Target="https://realtree.com/deer-hunting/articles/talk-to-the-tail-understanding-whitetail-body-language" TargetMode="External"/><Relationship Id="rId1672" Type="http://schemas.openxmlformats.org/officeDocument/2006/relationships/hyperlink" Target="https://www.wideopenspaces.com/mn-deer-hunting-zones/" TargetMode="External"/><Relationship Id="rId1673" Type="http://schemas.openxmlformats.org/officeDocument/2006/relationships/hyperlink" Target="https://www.wideopenspaces.com/mn-deer-hunting-zones/" TargetMode="External"/><Relationship Id="rId1674" Type="http://schemas.openxmlformats.org/officeDocument/2006/relationships/hyperlink" Target="https://realtree.com/brow-tines-and-backstrap/2022-midwest-deer-hunting-forecast" TargetMode="External"/><Relationship Id="rId1664" Type="http://schemas.openxmlformats.org/officeDocument/2006/relationships/hyperlink" Target="https://www.wideopenspaces.com/deer-tries-to-jump-high-fence-video/" TargetMode="External"/><Relationship Id="rId1665" Type="http://schemas.openxmlformats.org/officeDocument/2006/relationships/hyperlink" Target="https://www.wideopenspaces.com/deer-hunting-in-illinois-does-a-boone-crockett-buck-await/" TargetMode="External"/><Relationship Id="rId1666" Type="http://schemas.openxmlformats.org/officeDocument/2006/relationships/hyperlink" Target="https://realtree.com/brow-tines-and-backstrap/2022-midwest-deer-hunting-forecast" TargetMode="External"/><Relationship Id="rId1667" Type="http://schemas.openxmlformats.org/officeDocument/2006/relationships/hyperlink" Target="https://www.wideopenspaces.com/indiana-hunting-license/" TargetMode="External"/><Relationship Id="rId1668" Type="http://schemas.openxmlformats.org/officeDocument/2006/relationships/hyperlink" Target="https://www.wideopenspaces.com/5-luxury-hunting-blinds-you-might-be-able-to-afford/" TargetMode="External"/><Relationship Id="rId1669" Type="http://schemas.openxmlformats.org/officeDocument/2006/relationships/hyperlink" Target="https://www.wideopenspaces.com/kansas-deer-hunting/" TargetMode="External"/><Relationship Id="rId839" Type="http://schemas.openxmlformats.org/officeDocument/2006/relationships/hyperlink" Target="https://realtree.com/deer-hunting/articles/how-to-can-deer-meat" TargetMode="External"/><Relationship Id="rId838" Type="http://schemas.openxmlformats.org/officeDocument/2006/relationships/hyperlink" Target="https://www.themeateater.com/cook/butchering-and-processing/how-much-fat-should-you-add-to-ground-venison" TargetMode="External"/><Relationship Id="rId833" Type="http://schemas.openxmlformats.org/officeDocument/2006/relationships/hyperlink" Target="https://www.wideopenspaces.com/deer-hunting-blind-spacious/" TargetMode="External"/><Relationship Id="rId832" Type="http://schemas.openxmlformats.org/officeDocument/2006/relationships/hyperlink" Target="https://www.themeateater.com/hunt/whitetail-deer/photos-how-to-build-a-deer-blind-from-pallets" TargetMode="External"/><Relationship Id="rId831" Type="http://schemas.openxmlformats.org/officeDocument/2006/relationships/hyperlink" Target="https://www.wideopenspaces.com/whitetailwednesday-25-unique-ideas-for-your-next-whitetail-mount/" TargetMode="External"/><Relationship Id="rId830" Type="http://schemas.openxmlformats.org/officeDocument/2006/relationships/hyperlink" Target="https://realtree.com/brow-tines-and-backstrap/20-crazy-good-deer-mounts-from-the-nwtf-convention" TargetMode="External"/><Relationship Id="rId837" Type="http://schemas.openxmlformats.org/officeDocument/2006/relationships/hyperlink" Target="https://www.themeateater.com/hunt/big-game/ask-meateater-where-should-i-go-on-my-first-mule-deer-hunt" TargetMode="External"/><Relationship Id="rId836" Type="http://schemas.openxmlformats.org/officeDocument/2006/relationships/hyperlink" Target="https://www.wideopenspaces.com/5-ground-venison-recipes-that-will-become-your-new-go-to/" TargetMode="External"/><Relationship Id="rId835" Type="http://schemas.openxmlformats.org/officeDocument/2006/relationships/hyperlink" Target="https://realtree.com/timber-2-table-wild-game-recipes/ground-venison-and-rice-bake" TargetMode="External"/><Relationship Id="rId834" Type="http://schemas.openxmlformats.org/officeDocument/2006/relationships/hyperlink" Target="https://www.themeateater.com/recipes/cuts/ground" TargetMode="External"/><Relationship Id="rId1660" Type="http://schemas.openxmlformats.org/officeDocument/2006/relationships/hyperlink" Target="https://realtree.com/deer-hunting/articles/how-managing-for-older-bigger-bucks-helps-the-entire-deer-herd" TargetMode="External"/><Relationship Id="rId1661" Type="http://schemas.openxmlformats.org/officeDocument/2006/relationships/hyperlink" Target="https://realtree.com/brow-tines-and-backstrap/how-to-make-a-homemade-deer-feeder" TargetMode="External"/><Relationship Id="rId1662" Type="http://schemas.openxmlformats.org/officeDocument/2006/relationships/hyperlink" Target="https://www.wideopenspaces.com/make-poor-mans-deer-feeder/" TargetMode="External"/><Relationship Id="rId1663" Type="http://schemas.openxmlformats.org/officeDocument/2006/relationships/hyperlink" Target="https://realtree.com/midwest-whitetail/articles/string-jumpers-how-to-aim-at-alert-deer" TargetMode="External"/><Relationship Id="rId469" Type="http://schemas.openxmlformats.org/officeDocument/2006/relationships/hyperlink" Target="https://www.themeateater.com/hunt/whitetail-deer/this-might-be-the-new-world-record-whitetail" TargetMode="External"/><Relationship Id="rId468" Type="http://schemas.openxmlformats.org/officeDocument/2006/relationships/hyperlink" Target="https://www.wideopenspaces.com/smoked-venison-recipes/" TargetMode="External"/><Relationship Id="rId467" Type="http://schemas.openxmlformats.org/officeDocument/2006/relationships/hyperlink" Target="https://realtree.com/timber-2-table-wild-game-recipes/smoked-venison-neck-roast" TargetMode="External"/><Relationship Id="rId1290" Type="http://schemas.openxmlformats.org/officeDocument/2006/relationships/hyperlink" Target="https://www.themeateater.com/wired-to-hunt/whitetail-hunting/rut-fresh-report-11-10-2022" TargetMode="External"/><Relationship Id="rId1291" Type="http://schemas.openxmlformats.org/officeDocument/2006/relationships/hyperlink" Target="https://realtree.com/brow-tines-and-backstrap/2022-southeast-deer-hunting-forecast" TargetMode="External"/><Relationship Id="rId1292" Type="http://schemas.openxmlformats.org/officeDocument/2006/relationships/hyperlink" Target="https://www.wideopenspaces.com/when-does-deer-season-end-in-georgia/" TargetMode="External"/><Relationship Id="rId462" Type="http://schemas.openxmlformats.org/officeDocument/2006/relationships/hyperlink" Target="https://realtree.com/deer-hunting/articles/the-best-times-to-deer-hunt-in-2022" TargetMode="External"/><Relationship Id="rId1293" Type="http://schemas.openxmlformats.org/officeDocument/2006/relationships/hyperlink" Target="https://www.themeateater.com/wired-to-hunt/whitetail-management/how-to-age-a-whitetail-buck-on-the-hoof" TargetMode="External"/><Relationship Id="rId461" Type="http://schemas.openxmlformats.org/officeDocument/2006/relationships/hyperlink" Target="https://www.themeateater.com/wired-to-hunt/whitetail-hunting/the-debate-about-lunar-effects-on-whitetails" TargetMode="External"/><Relationship Id="rId1294" Type="http://schemas.openxmlformats.org/officeDocument/2006/relationships/hyperlink" Target="https://realtree.com/deer-hunting/articles/how-managing-for-older-bigger-bucks-helps-the-entire-deer-herd" TargetMode="External"/><Relationship Id="rId460" Type="http://schemas.openxmlformats.org/officeDocument/2006/relationships/hyperlink" Target="https://realtree.com/brow-tines-and-backstrap/why-buck-tarsal-is-the-deadliest-scent-in-the-deer-woods" TargetMode="External"/><Relationship Id="rId1295" Type="http://schemas.openxmlformats.org/officeDocument/2006/relationships/hyperlink" Target="https://www.themeateater.com/wired-to-hunt/whitetail-scouting/the-buck-that-never-shed-its-antlers" TargetMode="External"/><Relationship Id="rId1296" Type="http://schemas.openxmlformats.org/officeDocument/2006/relationships/hyperlink" Target="https://realtree.com/brow-tines-and-backstrap/why-bucks-shed-antlers-and-how-to-hunt-them" TargetMode="External"/><Relationship Id="rId466" Type="http://schemas.openxmlformats.org/officeDocument/2006/relationships/hyperlink" Target="https://www.themeateater.com/cook/recipes/texas-style-barbecue-venison-roast-recipe" TargetMode="External"/><Relationship Id="rId1297" Type="http://schemas.openxmlformats.org/officeDocument/2006/relationships/hyperlink" Target="https://www.wideopenspaces.com/deer-shed-antlers-pics/" TargetMode="External"/><Relationship Id="rId465" Type="http://schemas.openxmlformats.org/officeDocument/2006/relationships/hyperlink" Target="https://www.wideopenspaces.com/top-5-venison-marinades/" TargetMode="External"/><Relationship Id="rId1298" Type="http://schemas.openxmlformats.org/officeDocument/2006/relationships/hyperlink" Target="https://www.themeateater.com/wired-to-hunt/whitetail-scouting/fact-checker-can-you-identify-a-mature-buck-by-droppings" TargetMode="External"/><Relationship Id="rId464" Type="http://schemas.openxmlformats.org/officeDocument/2006/relationships/hyperlink" Target="https://realtree.com/timber-2-table-wild-game-recipes/bourbon-buttermilk-fried-deer-tenderloin" TargetMode="External"/><Relationship Id="rId1299" Type="http://schemas.openxmlformats.org/officeDocument/2006/relationships/hyperlink" Target="https://realtree.com/brow-tines-and-backstrap/everything-you-ever-wanted-to-know-about-deer-poop" TargetMode="External"/><Relationship Id="rId463" Type="http://schemas.openxmlformats.org/officeDocument/2006/relationships/hyperlink" Target="https://www.themeateater.com/cook/recipes/garlic-herb-venison-marinade-recipe" TargetMode="External"/><Relationship Id="rId459" Type="http://schemas.openxmlformats.org/officeDocument/2006/relationships/hyperlink" Target="https://www.themeateater.com/wired-to-hunt/whitetail-management/what-you-need-to-know-about-whitetail-buck-glands" TargetMode="External"/><Relationship Id="rId458" Type="http://schemas.openxmlformats.org/officeDocument/2006/relationships/hyperlink" Target="https://www.themeateater.com/watch/6252076018001/s2-e03-big-beautiful-bucks-colorado-mule-deer" TargetMode="External"/><Relationship Id="rId457" Type="http://schemas.openxmlformats.org/officeDocument/2006/relationships/hyperlink" Target="https://www.wideopenspaces.com/5-biggest-whitetail-bucks-ever-found-dead/" TargetMode="External"/><Relationship Id="rId456" Type="http://schemas.openxmlformats.org/officeDocument/2006/relationships/hyperlink" Target="https://realtree.com/deer-hunting/articles/heads-of-state-all-about-state-record-bucks" TargetMode="External"/><Relationship Id="rId1280" Type="http://schemas.openxmlformats.org/officeDocument/2006/relationships/hyperlink" Target="https://realtree.com/brow-tines-and-backstrap/how-long-should-deer-taxidermy-take" TargetMode="External"/><Relationship Id="rId1281" Type="http://schemas.openxmlformats.org/officeDocument/2006/relationships/hyperlink" Target="https://www.wideopenspaces.com/deer-taxidermy-options/" TargetMode="External"/><Relationship Id="rId451" Type="http://schemas.openxmlformats.org/officeDocument/2006/relationships/hyperlink" Target="https://www.wideopenspaces.com/whitetail-wednesday-how-much-do-people-pay-for-shoulder-mounts-in-your-area/" TargetMode="External"/><Relationship Id="rId1282" Type="http://schemas.openxmlformats.org/officeDocument/2006/relationships/hyperlink" Target="https://www.themeateater.com/wired-to-hunt/whitetail-hunting/where-to-shoot-a-deer" TargetMode="External"/><Relationship Id="rId450" Type="http://schemas.openxmlformats.org/officeDocument/2006/relationships/hyperlink" Target="https://realtree.com/brow-tines-and-backstrap/20-crazy-good-deer-mounts-from-the-nwtf-convention" TargetMode="External"/><Relationship Id="rId1283" Type="http://schemas.openxmlformats.org/officeDocument/2006/relationships/hyperlink" Target="https://realtree.com/deer-hunting/articles/the-best-shot-placement-on-deer" TargetMode="External"/><Relationship Id="rId1284" Type="http://schemas.openxmlformats.org/officeDocument/2006/relationships/hyperlink" Target="https://www.themeateater.com/hunt/whitetail-deer/photos-this-buck-might-crush-the-indiana-state-record" TargetMode="External"/><Relationship Id="rId1285" Type="http://schemas.openxmlformats.org/officeDocument/2006/relationships/hyperlink" Target="https://realtree.com/brow-tines-and-backstrap/how-indiana-became-the-best-big-buck-state-in-the-nation" TargetMode="External"/><Relationship Id="rId455" Type="http://schemas.openxmlformats.org/officeDocument/2006/relationships/hyperlink" Target="https://www.themeateater.com/hunt/whitetail-deer/this-might-be-the-new-world-record-whitetail" TargetMode="External"/><Relationship Id="rId1286" Type="http://schemas.openxmlformats.org/officeDocument/2006/relationships/hyperlink" Target="https://www.themeateater.com/wired-to-hunt/whitetail-management/you-wont-believe-how-far-this-buck-traveled" TargetMode="External"/><Relationship Id="rId454" Type="http://schemas.openxmlformats.org/officeDocument/2006/relationships/hyperlink" Target="https://www.wideopenspaces.com/the-importance-of-deer-scrapes/" TargetMode="External"/><Relationship Id="rId1287" Type="http://schemas.openxmlformats.org/officeDocument/2006/relationships/hyperlink" Target="https://realtree.com/deer-hunting/articles/10-things-you-didn-t-know-about-velvet-bucks" TargetMode="External"/><Relationship Id="rId453" Type="http://schemas.openxmlformats.org/officeDocument/2006/relationships/hyperlink" Target="https://realtree.com/brow-tines-and-backstrap/what-to-know-about-scrapes" TargetMode="External"/><Relationship Id="rId1288" Type="http://schemas.openxmlformats.org/officeDocument/2006/relationships/hyperlink" Target="https://www.themeateater.com/shows/meateater" TargetMode="External"/><Relationship Id="rId452" Type="http://schemas.openxmlformats.org/officeDocument/2006/relationships/hyperlink" Target="https://www.themeateater.com/wired-to-hunt/whitetail-hunting/how-to-kill-a-buck-hunting-scrapes" TargetMode="External"/><Relationship Id="rId1289" Type="http://schemas.openxmlformats.org/officeDocument/2006/relationships/hyperlink" Target="https://realtree.com/deer-hunting/articles/the-best-times-to-deer-hunt-in-2022" TargetMode="External"/><Relationship Id="rId491" Type="http://schemas.openxmlformats.org/officeDocument/2006/relationships/hyperlink" Target="https://www.themeateater.com/wired-to-hunt/whitetail-hunting-gear/how-to-buy-your-first-deer-hunting-bow" TargetMode="External"/><Relationship Id="rId490" Type="http://schemas.openxmlformats.org/officeDocument/2006/relationships/hyperlink" Target="https://www.wideopenspaces.com/best-deer-hunting-rifles/" TargetMode="External"/><Relationship Id="rId489" Type="http://schemas.openxmlformats.org/officeDocument/2006/relationships/hyperlink" Target="https://realtree.com/brow-tines-and-backstrap/5-factors-to-consider-when-buying-a-deer-hunting-rifle" TargetMode="External"/><Relationship Id="rId484" Type="http://schemas.openxmlformats.org/officeDocument/2006/relationships/hyperlink" Target="https://www.wideopenspaces.com/how-to-do-a-european-mount-in-4-easy-steps/" TargetMode="External"/><Relationship Id="rId483" Type="http://schemas.openxmlformats.org/officeDocument/2006/relationships/hyperlink" Target="https://realtree.com/brow-tines-and-backstrap/7-different-deer-taxidermy-options-and-their-costs" TargetMode="External"/><Relationship Id="rId482" Type="http://schemas.openxmlformats.org/officeDocument/2006/relationships/hyperlink" Target="https://www.themeateater.com/hunt/general/ask-meateater-how-do-you-make-a-skull-mount" TargetMode="External"/><Relationship Id="rId481" Type="http://schemas.openxmlformats.org/officeDocument/2006/relationships/hyperlink" Target="https://www.themeateater.com/wired-to-hunt/whitetail-hunting/how-to-call-in-bucks-during-each-phase-of-the-season" TargetMode="External"/><Relationship Id="rId488" Type="http://schemas.openxmlformats.org/officeDocument/2006/relationships/hyperlink" Target="https://www.themeateater.com/hunt/firearm-hunting/5-best-rifles-for-new-hunters" TargetMode="External"/><Relationship Id="rId487" Type="http://schemas.openxmlformats.org/officeDocument/2006/relationships/hyperlink" Target="https://www.wideopenspaces.com/whitetailwednesday-25-unique-ideas-for-your-next-whitetail-mount/" TargetMode="External"/><Relationship Id="rId486" Type="http://schemas.openxmlformats.org/officeDocument/2006/relationships/hyperlink" Target="https://realtree.com/brow-tines-and-backstrap/20-crazy-good-deer-mounts-from-the-nwtf-convention" TargetMode="External"/><Relationship Id="rId485" Type="http://schemas.openxmlformats.org/officeDocument/2006/relationships/hyperlink" Target="https://www.themeateater.com/hunt/whitetail-deer/fact-checker-do-outdoor-stores-pay-big-money-for-big-mounts" TargetMode="External"/><Relationship Id="rId480" Type="http://schemas.openxmlformats.org/officeDocument/2006/relationships/hyperlink" Target="https://www.wideopenspaces.com/venison-summer-sausage-recipe/" TargetMode="External"/><Relationship Id="rId479" Type="http://schemas.openxmlformats.org/officeDocument/2006/relationships/hyperlink" Target="https://realtree.com/timber-2-table-articles/jalape-o-pepper-jack-venison-summer-sausage-part-2" TargetMode="External"/><Relationship Id="rId478" Type="http://schemas.openxmlformats.org/officeDocument/2006/relationships/hyperlink" Target="https://www.themeateater.com/cook/recipes/summer-sausage-recipe" TargetMode="External"/><Relationship Id="rId473" Type="http://schemas.openxmlformats.org/officeDocument/2006/relationships/hyperlink" Target="https://realtree.com/brow-tines-and-backstrap/8-bedding-habits-of-mature-deer" TargetMode="External"/><Relationship Id="rId472" Type="http://schemas.openxmlformats.org/officeDocument/2006/relationships/hyperlink" Target="https://www.themeateater.com/wired-to-hunt/whitetail-scouting/where-do-deer-sleep" TargetMode="External"/><Relationship Id="rId471" Type="http://schemas.openxmlformats.org/officeDocument/2006/relationships/hyperlink" Target="https://www.wideopenspaces.com/5-biggest-whitetail-bucks-ever-found-dead/" TargetMode="External"/><Relationship Id="rId470" Type="http://schemas.openxmlformats.org/officeDocument/2006/relationships/hyperlink" Target="https://realtree.com/deer-hunting/articles/heads-of-state-all-about-state-record-bucks" TargetMode="External"/><Relationship Id="rId477" Type="http://schemas.openxmlformats.org/officeDocument/2006/relationships/hyperlink" Target="https://www.wideopenspaces.com/how-to-find-and-aim-for-deer-vitals/" TargetMode="External"/><Relationship Id="rId476" Type="http://schemas.openxmlformats.org/officeDocument/2006/relationships/hyperlink" Target="https://realtree.com/deer-hunting/articles/the-best-shot-placement-on-deer" TargetMode="External"/><Relationship Id="rId475" Type="http://schemas.openxmlformats.org/officeDocument/2006/relationships/hyperlink" Target="https://www.themeateater.com/wired-to-hunt/whitetail-hunting/where-to-shoot-a-deer" TargetMode="External"/><Relationship Id="rId474" Type="http://schemas.openxmlformats.org/officeDocument/2006/relationships/hyperlink" Target="https://www.wideopenspaces.com/where-do-deer-sleep/" TargetMode="External"/><Relationship Id="rId1257" Type="http://schemas.openxmlformats.org/officeDocument/2006/relationships/hyperlink" Target="https://www.wideopenspaces.com/deer-sounds-making-sense-of-the-sounds-of-the-deer-woods/" TargetMode="External"/><Relationship Id="rId1258" Type="http://schemas.openxmlformats.org/officeDocument/2006/relationships/hyperlink" Target="https://www.themeateater.com/hunt/mule-deer/is-this-the-new-texas-state-record-mule-deer" TargetMode="External"/><Relationship Id="rId1259" Type="http://schemas.openxmlformats.org/officeDocument/2006/relationships/hyperlink" Target="https://realtree.com/deer-hunting/articles/heads-of-state-all-about-state-record-bucks" TargetMode="External"/><Relationship Id="rId426" Type="http://schemas.openxmlformats.org/officeDocument/2006/relationships/hyperlink" Target="https://www.themeateater.com/shows/meateater/season-9/south-texas-nilgai" TargetMode="External"/><Relationship Id="rId425" Type="http://schemas.openxmlformats.org/officeDocument/2006/relationships/hyperlink" Target="https://realtree.com/deer-hunting/articles/the-best-shot-placement-on-deer" TargetMode="External"/><Relationship Id="rId424" Type="http://schemas.openxmlformats.org/officeDocument/2006/relationships/hyperlink" Target="https://www.themeateater.com/wired-to-hunt/whitetail-hunting/where-to-shoot-a-deer" TargetMode="External"/><Relationship Id="rId423" Type="http://schemas.openxmlformats.org/officeDocument/2006/relationships/hyperlink" Target="https://www.wideopenspaces.com/best-deer-hunting-caliber-for-women/" TargetMode="External"/><Relationship Id="rId429" Type="http://schemas.openxmlformats.org/officeDocument/2006/relationships/hyperlink" Target="https://www.themeateater.com/watch/6175620095001/how-to-field-dress-a-deer-with-steven-rinella" TargetMode="External"/><Relationship Id="rId428" Type="http://schemas.openxmlformats.org/officeDocument/2006/relationships/hyperlink" Target="https://www.themeateater.com/hunt/firearm-hunting/5-gun-accessories-every-deer-hunter-should-own" TargetMode="External"/><Relationship Id="rId427" Type="http://schemas.openxmlformats.org/officeDocument/2006/relationships/hyperlink" Target="https://www.wideopenspaces.com/nilgai-species-profile-hunting-the-blue-bull/" TargetMode="External"/><Relationship Id="rId1250" Type="http://schemas.openxmlformats.org/officeDocument/2006/relationships/hyperlink" Target="https://www.themeateater.com/wired-to-hunt/whitetail-scouting/how-to-set-up-a-ground-blind-that-wont-spook-deer" TargetMode="External"/><Relationship Id="rId1251" Type="http://schemas.openxmlformats.org/officeDocument/2006/relationships/hyperlink" Target="https://realtree.com/all/articles/staying-grounded" TargetMode="External"/><Relationship Id="rId1252" Type="http://schemas.openxmlformats.org/officeDocument/2006/relationships/hyperlink" Target="https://www.themeateater.com/wired-to-hunt/whitetail-management/how-to-plant-a-food-plot-on-a-budget" TargetMode="External"/><Relationship Id="rId422" Type="http://schemas.openxmlformats.org/officeDocument/2006/relationships/hyperlink" Target="https://realtree.com/deer-hunting/articles/the-5-best-bullet-styles-for-deer-hunting" TargetMode="External"/><Relationship Id="rId1253" Type="http://schemas.openxmlformats.org/officeDocument/2006/relationships/hyperlink" Target="https://realtree.com/brow-tines-and-backstrap/micro-food-plots-for-bow-season" TargetMode="External"/><Relationship Id="rId421" Type="http://schemas.openxmlformats.org/officeDocument/2006/relationships/hyperlink" Target="https://www.themeateater.com/wired-to-hunt/whitetail-hunting-gear/5-best-whitetail-cartridges" TargetMode="External"/><Relationship Id="rId1254" Type="http://schemas.openxmlformats.org/officeDocument/2006/relationships/hyperlink" Target="https://www.themeateater.com/wired-to-hunt/whitetail-scouting/what-you-need-to-know-about-deer-tracks" TargetMode="External"/><Relationship Id="rId420" Type="http://schemas.openxmlformats.org/officeDocument/2006/relationships/hyperlink" Target="https://www.wideopenspaces.com/venison-jerky-recipe/" TargetMode="External"/><Relationship Id="rId1255" Type="http://schemas.openxmlformats.org/officeDocument/2006/relationships/hyperlink" Target="https://www.wideopenspaces.com/deer-hooves-what-theyre-made-from-and-indicators-of-health/" TargetMode="External"/><Relationship Id="rId1256" Type="http://schemas.openxmlformats.org/officeDocument/2006/relationships/hyperlink" Target="https://www.themeateater.com/wired-to-hunt/whitetail-hunting/how-well-do-deer-hear" TargetMode="External"/><Relationship Id="rId1246" Type="http://schemas.openxmlformats.org/officeDocument/2006/relationships/hyperlink" Target="https://realtree.com/brow-tines-and-backstrap/everything-you-ever-wanted-to-know-about-deer-poop" TargetMode="External"/><Relationship Id="rId1247" Type="http://schemas.openxmlformats.org/officeDocument/2006/relationships/hyperlink" Target="https://www.wideopenspaces.com/deer-poop-identification/" TargetMode="External"/><Relationship Id="rId1248" Type="http://schemas.openxmlformats.org/officeDocument/2006/relationships/hyperlink" Target="https://www.themeateater.com/conservation/wildlife-management/video-game-warden-shoots-familys-pet-deer" TargetMode="External"/><Relationship Id="rId1249" Type="http://schemas.openxmlformats.org/officeDocument/2006/relationships/hyperlink" Target="https://www.wideopenspaces.com/deer-as-pets/" TargetMode="External"/><Relationship Id="rId415" Type="http://schemas.openxmlformats.org/officeDocument/2006/relationships/hyperlink" Target="https://www.themeateater.com/watch/6175573953001/meateater-s-seared-venison-heart-with-whiskey-butter" TargetMode="External"/><Relationship Id="rId899" Type="http://schemas.openxmlformats.org/officeDocument/2006/relationships/hyperlink" Target="https://www.wideopenspaces.com/venison-backstrap-recipes/" TargetMode="External"/><Relationship Id="rId414" Type="http://schemas.openxmlformats.org/officeDocument/2006/relationships/hyperlink" Target="https://www.wideopenspaces.com/deer-hunting-blind-spacious/" TargetMode="External"/><Relationship Id="rId898" Type="http://schemas.openxmlformats.org/officeDocument/2006/relationships/hyperlink" Target="https://realtree.com/timber-2-table-wild-game-recipes/reverse-seared-smoked-venison-backstrap" TargetMode="External"/><Relationship Id="rId413" Type="http://schemas.openxmlformats.org/officeDocument/2006/relationships/hyperlink" Target="https://realtree.com/brow-tines-and-backstrap/how-to-build-a-shooting-house-on-a-budget" TargetMode="External"/><Relationship Id="rId897" Type="http://schemas.openxmlformats.org/officeDocument/2006/relationships/hyperlink" Target="https://www.themeateater.com/recipes/cuts/backstrap" TargetMode="External"/><Relationship Id="rId412" Type="http://schemas.openxmlformats.org/officeDocument/2006/relationships/hyperlink" Target="https://www.themeateater.com/hunt/whitetail-deer/photos-how-to-build-a-deer-blind-from-pallets" TargetMode="External"/><Relationship Id="rId896" Type="http://schemas.openxmlformats.org/officeDocument/2006/relationships/hyperlink" Target="https://www.themeateater.com/wired-to-hunt/whitetail-hunting/should-you-deer-hunt-in-the-rain" TargetMode="External"/><Relationship Id="rId419" Type="http://schemas.openxmlformats.org/officeDocument/2006/relationships/hyperlink" Target="https://realtree.com/timber-2-table-wild-game-recipes/magic-chef-realtree-venison-jerky-recipe" TargetMode="External"/><Relationship Id="rId418" Type="http://schemas.openxmlformats.org/officeDocument/2006/relationships/hyperlink" Target="https://www.themeateater.com/watch/6278033203001/how-to-make-venison-jerky-with-kevin-gillespie" TargetMode="External"/><Relationship Id="rId417" Type="http://schemas.openxmlformats.org/officeDocument/2006/relationships/hyperlink" Target="https://www.themeateater.com/wired-to-hunt/whitetail-scouting/how-to-identify-a-big-buck-track-in-snow" TargetMode="External"/><Relationship Id="rId416" Type="http://schemas.openxmlformats.org/officeDocument/2006/relationships/hyperlink" Target="https://realtree.com/timber-2-table-wild-game-recipes/pan-fried-venison-heart-with-black-pepper-buttermilk-gravy" TargetMode="External"/><Relationship Id="rId891" Type="http://schemas.openxmlformats.org/officeDocument/2006/relationships/hyperlink" Target="https://realtree.com/brow-tines-and-backstrap/how-long-should-deer-taxidermy-take" TargetMode="External"/><Relationship Id="rId890" Type="http://schemas.openxmlformats.org/officeDocument/2006/relationships/hyperlink" Target="https://www.themeateater.com/hunt/whitetail-deer/fact-checker-do-outdoor-stores-pay-big-money-for-big-mounts" TargetMode="External"/><Relationship Id="rId1240" Type="http://schemas.openxmlformats.org/officeDocument/2006/relationships/hyperlink" Target="https://www.wideopenspaces.com/this-13-foot-1100-pound-alligator-needs-a-whole-wall-for-the-mount/" TargetMode="External"/><Relationship Id="rId1241" Type="http://schemas.openxmlformats.org/officeDocument/2006/relationships/hyperlink" Target="https://www.themeateater.com/hunt/black-bear/a-guide-to-hunting-black-bear" TargetMode="External"/><Relationship Id="rId411" Type="http://schemas.openxmlformats.org/officeDocument/2006/relationships/hyperlink" Target="https://www.wideopenspaces.com/deer-shed-antlers-pics/" TargetMode="External"/><Relationship Id="rId895" Type="http://schemas.openxmlformats.org/officeDocument/2006/relationships/hyperlink" Target="https://www.themeateater.com/conservation/wildlife-management/why-do-female-deer-sometimes-grow-antlers" TargetMode="External"/><Relationship Id="rId1242" Type="http://schemas.openxmlformats.org/officeDocument/2006/relationships/hyperlink" Target="https://www.themeateater.com/gear/gear-hunt/hunting-slug-guns" TargetMode="External"/><Relationship Id="rId410" Type="http://schemas.openxmlformats.org/officeDocument/2006/relationships/hyperlink" Target="https://realtree.com/brow-tines-and-backstrap/why-bucks-shed-antlers-and-how-to-hunt-them" TargetMode="External"/><Relationship Id="rId894" Type="http://schemas.openxmlformats.org/officeDocument/2006/relationships/hyperlink" Target="https://realtree.com/brow-tines-and-backstrap/where-do-the-little-bucks-go" TargetMode="External"/><Relationship Id="rId1243" Type="http://schemas.openxmlformats.org/officeDocument/2006/relationships/hyperlink" Target="https://realtree.com/deer-hunting/articles/deer-hunting-with-a-slug-gun" TargetMode="External"/><Relationship Id="rId893" Type="http://schemas.openxmlformats.org/officeDocument/2006/relationships/hyperlink" Target="https://www.themeateater.com/hunt/big-game/ask-meateater-whats-wrong-with-shooting-young-bucks" TargetMode="External"/><Relationship Id="rId1244" Type="http://schemas.openxmlformats.org/officeDocument/2006/relationships/hyperlink" Target="https://www.wideopenspaces.com/the-legalities-trends-and-efficacy-of-deer-hunting-with-shotguns/" TargetMode="External"/><Relationship Id="rId892" Type="http://schemas.openxmlformats.org/officeDocument/2006/relationships/hyperlink" Target="https://www.wideopenspaces.com/deer-taxidermy-options/" TargetMode="External"/><Relationship Id="rId1245" Type="http://schemas.openxmlformats.org/officeDocument/2006/relationships/hyperlink" Target="https://www.themeateater.com/wired-to-hunt/whitetail-scouting/fact-checker-can-you-identify-a-mature-buck-by-droppings" TargetMode="External"/><Relationship Id="rId1279" Type="http://schemas.openxmlformats.org/officeDocument/2006/relationships/hyperlink" Target="https://www.themeateater.com/hunt/big-game/what-to-do-when-you-plan-on-getting-a-deer-mounted" TargetMode="External"/><Relationship Id="rId448" Type="http://schemas.openxmlformats.org/officeDocument/2006/relationships/hyperlink" Target="https://www.wideopenspaces.com/7-steps-tanning-deer-hide-easier-think/" TargetMode="External"/><Relationship Id="rId447" Type="http://schemas.openxmlformats.org/officeDocument/2006/relationships/hyperlink" Target="https://www.themeateater.com/cook/butchering-and-processing/how-to-tan-a-deer-hide" TargetMode="External"/><Relationship Id="rId446" Type="http://schemas.openxmlformats.org/officeDocument/2006/relationships/hyperlink" Target="https://www.themeateater.com/wired-to-hunt/whitetail-hunting/how-to-call-in-bucks-during-each-phase-of-the-season" TargetMode="External"/><Relationship Id="rId445" Type="http://schemas.openxmlformats.org/officeDocument/2006/relationships/hyperlink" Target="https://realtree.com/deer-hunting/articles/8-major-differences-between-whitetails-and-mule-deer" TargetMode="External"/><Relationship Id="rId449" Type="http://schemas.openxmlformats.org/officeDocument/2006/relationships/hyperlink" Target="https://www.themeateater.com/hunt/big-game/what-to-do-when-you-plan-on-getting-a-deer-mounted" TargetMode="External"/><Relationship Id="rId1270" Type="http://schemas.openxmlformats.org/officeDocument/2006/relationships/hyperlink" Target="https://www.wideopenspaces.com/canned-venison-how-to-preserve-your-wild-game-meat-the-old-fashioned-way/" TargetMode="External"/><Relationship Id="rId440" Type="http://schemas.openxmlformats.org/officeDocument/2006/relationships/hyperlink" Target="https://www.themeateater.com/cook/cooking-techniques/5-venison-cuts-you-need-to-know" TargetMode="External"/><Relationship Id="rId1271" Type="http://schemas.openxmlformats.org/officeDocument/2006/relationships/hyperlink" Target="https://www.themeateater.com/shows/meateater" TargetMode="External"/><Relationship Id="rId1272" Type="http://schemas.openxmlformats.org/officeDocument/2006/relationships/hyperlink" Target="https://www.wideopenspaces.com/when-does-deer-season-end-in-texas/" TargetMode="External"/><Relationship Id="rId1273" Type="http://schemas.openxmlformats.org/officeDocument/2006/relationships/hyperlink" Target="https://www.themeateater.com/recipes/cuts/backstrap" TargetMode="External"/><Relationship Id="rId1274" Type="http://schemas.openxmlformats.org/officeDocument/2006/relationships/hyperlink" Target="https://realtree.com/timber-2-table-wild-game-recipes/deer-camp-deep-fried-backstrap-recipe" TargetMode="External"/><Relationship Id="rId444" Type="http://schemas.openxmlformats.org/officeDocument/2006/relationships/hyperlink" Target="https://www.themeateater.com/wired-to-hunt/whitetail-management/whitetails-and-mulies-a-comparison" TargetMode="External"/><Relationship Id="rId1275" Type="http://schemas.openxmlformats.org/officeDocument/2006/relationships/hyperlink" Target="https://www.wideopenspaces.com/mouthwatering-stuffed-venison-backstrap/" TargetMode="External"/><Relationship Id="rId443" Type="http://schemas.openxmlformats.org/officeDocument/2006/relationships/hyperlink" Target="https://realtree.com/big-game-hunting/articles/plan-your-public-mule-deer-hunt-now" TargetMode="External"/><Relationship Id="rId1276" Type="http://schemas.openxmlformats.org/officeDocument/2006/relationships/hyperlink" Target="https://www.themeateater.com/conservation/wildlife-management/does-hunting-make-animals-evolve-smaller-antlers-and-horns" TargetMode="External"/><Relationship Id="rId442" Type="http://schemas.openxmlformats.org/officeDocument/2006/relationships/hyperlink" Target="https://www.themeateater.com/hunt/big-game/ask-meateater-where-should-i-go-on-my-first-mule-deer-hunt" TargetMode="External"/><Relationship Id="rId1277" Type="http://schemas.openxmlformats.org/officeDocument/2006/relationships/hyperlink" Target="https://www.themeateater.com/shows/meateater/season-1/into-the-clouds-sitka-blacktail-deer" TargetMode="External"/><Relationship Id="rId441" Type="http://schemas.openxmlformats.org/officeDocument/2006/relationships/hyperlink" Target="https://realtree.com/deer-hunting/articles/12-reasons-why-your-venison-tastes-like-hell" TargetMode="External"/><Relationship Id="rId1278" Type="http://schemas.openxmlformats.org/officeDocument/2006/relationships/hyperlink" Target="https://realtree.com/all/articles/the-sitka-adventure" TargetMode="External"/><Relationship Id="rId1268" Type="http://schemas.openxmlformats.org/officeDocument/2006/relationships/hyperlink" Target="https://www.themeateater.com/cook/butchering-and-processing/how-much-fat-should-you-add-to-ground-venison" TargetMode="External"/><Relationship Id="rId1269" Type="http://schemas.openxmlformats.org/officeDocument/2006/relationships/hyperlink" Target="https://realtree.com/deer-hunting/articles/how-to-can-deer-meat" TargetMode="External"/><Relationship Id="rId437" Type="http://schemas.openxmlformats.org/officeDocument/2006/relationships/hyperlink" Target="https://www.wideopenspaces.com/biggest-mule-deer-kills-pics/" TargetMode="External"/><Relationship Id="rId436" Type="http://schemas.openxmlformats.org/officeDocument/2006/relationships/hyperlink" Target="https://realtree.com/big-game-hunting/articles/5-things-to-know-about-big-mule-deer" TargetMode="External"/><Relationship Id="rId435" Type="http://schemas.openxmlformats.org/officeDocument/2006/relationships/hyperlink" Target="https://www.themeateater.com/watch/6222000778001/s4-e12-big-buck-dreams-mule-deer-special" TargetMode="External"/><Relationship Id="rId434" Type="http://schemas.openxmlformats.org/officeDocument/2006/relationships/hyperlink" Target="https://www.wideopenspaces.com/deer-vision-the-science/" TargetMode="External"/><Relationship Id="rId439" Type="http://schemas.openxmlformats.org/officeDocument/2006/relationships/hyperlink" Target="https://realtree.com/deer-hunting/articles/the-best-times-to-deer-hunt-in-2022" TargetMode="External"/><Relationship Id="rId438" Type="http://schemas.openxmlformats.org/officeDocument/2006/relationships/hyperlink" Target="https://www.themeateater.com/wired-to-hunt/whitetail-hunting/rut-fresh-report-10-27-2022" TargetMode="External"/><Relationship Id="rId1260" Type="http://schemas.openxmlformats.org/officeDocument/2006/relationships/hyperlink" Target="https://www.wideopenspaces.com/5-biggest-whitetail-bucks-ever-found-dead/" TargetMode="External"/><Relationship Id="rId1261" Type="http://schemas.openxmlformats.org/officeDocument/2006/relationships/hyperlink" Target="https://www.themeateater.com/cook/recipes/smoked-venison-jerky-recipe" TargetMode="External"/><Relationship Id="rId1262" Type="http://schemas.openxmlformats.org/officeDocument/2006/relationships/hyperlink" Target="https://realtree.com/timber-2-table-wild-game-recipes/magic-chef-realtree-venison-jerky-recipe" TargetMode="External"/><Relationship Id="rId1263" Type="http://schemas.openxmlformats.org/officeDocument/2006/relationships/hyperlink" Target="https://www.wideopenspaces.com/venison-jerky-recipes/" TargetMode="External"/><Relationship Id="rId433" Type="http://schemas.openxmlformats.org/officeDocument/2006/relationships/hyperlink" Target="https://realtree.com/deer-hunting/articles/busted-5-things-you-don-t-know-about-deer-senses" TargetMode="External"/><Relationship Id="rId1264" Type="http://schemas.openxmlformats.org/officeDocument/2006/relationships/hyperlink" Target="https://www.themeateater.com/cook/butchering-and-processing/how-much-fat-should-you-add-to-ground-venison" TargetMode="External"/><Relationship Id="rId432" Type="http://schemas.openxmlformats.org/officeDocument/2006/relationships/hyperlink" Target="https://www.themeateater.com/wired-to-hunt/whitetail-hunting/deer-vision-how-whitetails-see-color-light-and-movement" TargetMode="External"/><Relationship Id="rId1265" Type="http://schemas.openxmlformats.org/officeDocument/2006/relationships/hyperlink" Target="https://realtree.com/deer-hunting/articles/12-reasons-why-your-venison-tastes-like-hell" TargetMode="External"/><Relationship Id="rId431" Type="http://schemas.openxmlformats.org/officeDocument/2006/relationships/hyperlink" Target="https://www.wideopenspaces.com/how-to-clean-a-deer-skull/" TargetMode="External"/><Relationship Id="rId1266" Type="http://schemas.openxmlformats.org/officeDocument/2006/relationships/hyperlink" Target="https://www.themeateater.com/wired-to-hunt/whitetail-hunting/how-to-train-your-dog-to-blood-trail-deer" TargetMode="External"/><Relationship Id="rId430" Type="http://schemas.openxmlformats.org/officeDocument/2006/relationships/hyperlink" Target="https://realtree.com/deer-hunting/articles/7-serious-field-dressing-mistakes" TargetMode="External"/><Relationship Id="rId1267" Type="http://schemas.openxmlformats.org/officeDocument/2006/relationships/hyperlink" Target="https://realtree.com/deer-hunting/articles/5-traits-of-a-good-blood-trailing-deer-do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meateater.com/wired-to-hunt/whitetail-hunting-gear/5-best-whitetail-cartridges" TargetMode="External"/><Relationship Id="rId391" Type="http://schemas.openxmlformats.org/officeDocument/2006/relationships/hyperlink" Target="https://www.wideopenspaces.com/venison-cuts-ranked/" TargetMode="External"/><Relationship Id="rId390" Type="http://schemas.openxmlformats.org/officeDocument/2006/relationships/hyperlink" Target="https://www.themeateater.com/cook/cooking-techniques/5-venison-cuts-you-need-to-know" TargetMode="External"/><Relationship Id="rId1" Type="http://schemas.openxmlformats.org/officeDocument/2006/relationships/hyperlink" Target="https://www.themeateater.com/hunt/whitetail-deer/how-to-gut-a-deer" TargetMode="External"/><Relationship Id="rId2" Type="http://schemas.openxmlformats.org/officeDocument/2006/relationships/hyperlink" Target="https://realtree.com/timber-2-table-wild-game-recipes/how-to-gut-a-deer-in-6-steps" TargetMode="External"/><Relationship Id="rId3" Type="http://schemas.openxmlformats.org/officeDocument/2006/relationships/hyperlink" Target="https://www.wideopenspaces.com/salvage-gut-shot-deer/" TargetMode="External"/><Relationship Id="rId4" Type="http://schemas.openxmlformats.org/officeDocument/2006/relationships/hyperlink" Target="https://www.themeateater.com/cook/butchering-and-processing/how-to-tan-a-deer-hide" TargetMode="External"/><Relationship Id="rId9" Type="http://schemas.openxmlformats.org/officeDocument/2006/relationships/hyperlink" Target="https://www.themeateater.com/wired-to-hunt/whitetail-hunting-gear/this-cartridge-doesnt-get-enough-love-from-deer-hunters" TargetMode="External"/><Relationship Id="rId385" Type="http://schemas.openxmlformats.org/officeDocument/2006/relationships/hyperlink" Target="https://www.themeateater.com/wired-to-hunt/whitetail-hunting/what-you-need-to-know-about-blood-trailing-whitetail" TargetMode="External"/><Relationship Id="rId384" Type="http://schemas.openxmlformats.org/officeDocument/2006/relationships/hyperlink" Target="https://www.wideopenspaces.com/5-biggest-whitetail-bucks-ever-found-dead/" TargetMode="External"/><Relationship Id="rId383" Type="http://schemas.openxmlformats.org/officeDocument/2006/relationships/hyperlink" Target="https://realtree.com/deer-hunting/articles/heads-of-state-all-about-state-record-bucks" TargetMode="External"/><Relationship Id="rId382" Type="http://schemas.openxmlformats.org/officeDocument/2006/relationships/hyperlink" Target="https://www.themeateater.com/hunt/whitetail-deer/is-this-50-point-whitetail-the-new-world-record" TargetMode="External"/><Relationship Id="rId5" Type="http://schemas.openxmlformats.org/officeDocument/2006/relationships/hyperlink" Target="https://www.wideopenspaces.com/7-steps-tanning-deer-hide-easier-think/" TargetMode="External"/><Relationship Id="rId389" Type="http://schemas.openxmlformats.org/officeDocument/2006/relationships/hyperlink" Target="https://www.wideopenspaces.com/top-5-venison-chili-recipe/" TargetMode="External"/><Relationship Id="rId6" Type="http://schemas.openxmlformats.org/officeDocument/2006/relationships/hyperlink" Target="https://www.themeateater.com/wired-to-hunt/whitetail-hunting-gear/this-cartridge-doesnt-get-enough-love-from-deer-hunters" TargetMode="External"/><Relationship Id="rId388" Type="http://schemas.openxmlformats.org/officeDocument/2006/relationships/hyperlink" Target="https://realtree.com/timber-2-table-wild-game-recipes/contest-winning-venison-chili-recipe" TargetMode="External"/><Relationship Id="rId7" Type="http://schemas.openxmlformats.org/officeDocument/2006/relationships/hyperlink" Target="https://www.themeateater.com/hunt/big-game/tips-and-trick-for-hunting-whitetail-deer" TargetMode="External"/><Relationship Id="rId387" Type="http://schemas.openxmlformats.org/officeDocument/2006/relationships/hyperlink" Target="https://www.themeateater.com/watch/6175334134001/cooking-game-venison-chili" TargetMode="External"/><Relationship Id="rId8" Type="http://schemas.openxmlformats.org/officeDocument/2006/relationships/hyperlink" Target="https://realtree.com/deer-hunting" TargetMode="External"/><Relationship Id="rId386" Type="http://schemas.openxmlformats.org/officeDocument/2006/relationships/hyperlink" Target="https://realtree.com/brow-tines-and-backstrap/20-tips-for-blood-trailing-deer" TargetMode="External"/><Relationship Id="rId381" Type="http://schemas.openxmlformats.org/officeDocument/2006/relationships/hyperlink" Target="https://realtree.com/timber-2-table-articles/5-reasons-to-butcher-your-own-deer-this-season" TargetMode="External"/><Relationship Id="rId380" Type="http://schemas.openxmlformats.org/officeDocument/2006/relationships/hyperlink" Target="https://www.themeateater.com/watch/6275506601001/how-to-butcher-your-own-deer-steve-s-way" TargetMode="External"/><Relationship Id="rId379" Type="http://schemas.openxmlformats.org/officeDocument/2006/relationships/hyperlink" Target="https://www.wideopenspaces.com/hilarious-romantic-take-on-how-to-prepare-deer-heart/" TargetMode="External"/><Relationship Id="rId374" Type="http://schemas.openxmlformats.org/officeDocument/2006/relationships/hyperlink" Target="https://www.wideopenspaces.com/salvage-gut-shot-deer/" TargetMode="External"/><Relationship Id="rId373" Type="http://schemas.openxmlformats.org/officeDocument/2006/relationships/hyperlink" Target="https://realtree.com/brow-tines-and-backstrap/it-s-hot-you-shot-a-deer-now-what" TargetMode="External"/><Relationship Id="rId372" Type="http://schemas.openxmlformats.org/officeDocument/2006/relationships/hyperlink" Target="https://www.themeateater.com/wired-to-hunt/whitetail-hunting/how-long-should-you-wait-to-blood-trail-a-deer" TargetMode="External"/><Relationship Id="rId371" Type="http://schemas.openxmlformats.org/officeDocument/2006/relationships/hyperlink" Target="https://realtree.com/big-game-hunting/articles/the-top-states-for-record-mule-deer-in-the-last-10-years" TargetMode="External"/><Relationship Id="rId378" Type="http://schemas.openxmlformats.org/officeDocument/2006/relationships/hyperlink" Target="https://realtree.com/timber-2-table-wild-game-recipes/pan-fried-venison-heart-with-black-pepper-buttermilk-gravy" TargetMode="External"/><Relationship Id="rId377" Type="http://schemas.openxmlformats.org/officeDocument/2006/relationships/hyperlink" Target="https://www.themeateater.com/watch/6175573953001/meateater-s-seared-venison-heart-with-whiskey-butter" TargetMode="External"/><Relationship Id="rId376" Type="http://schemas.openxmlformats.org/officeDocument/2006/relationships/hyperlink" Target="https://www.wideopenspaces.com/venison-cuts-ranked/" TargetMode="External"/><Relationship Id="rId375" Type="http://schemas.openxmlformats.org/officeDocument/2006/relationships/hyperlink" Target="https://www.themeateater.com/cook/cooking-techniques/5-venison-cuts-you-need-to-know" TargetMode="External"/><Relationship Id="rId396" Type="http://schemas.openxmlformats.org/officeDocument/2006/relationships/hyperlink" Target="https://realtree.com/deer-hunting/articles/the-5-best-bullet-styles-for-deer-hunting" TargetMode="External"/><Relationship Id="rId395" Type="http://schemas.openxmlformats.org/officeDocument/2006/relationships/hyperlink" Target="https://www.themeateater.com/wired-to-hunt/whitetail-hunting-gear/5-best-whitetail-cartridges" TargetMode="External"/><Relationship Id="rId394" Type="http://schemas.openxmlformats.org/officeDocument/2006/relationships/hyperlink" Target="https://www.wideopenspaces.com/best-deer-hunting-caliber-for-women/" TargetMode="External"/><Relationship Id="rId393" Type="http://schemas.openxmlformats.org/officeDocument/2006/relationships/hyperlink" Target="https://realtree.com/deer-hunting/articles/the-5-best-bullet-styles-for-deer-hunting" TargetMode="External"/><Relationship Id="rId399" Type="http://schemas.openxmlformats.org/officeDocument/2006/relationships/hyperlink" Target="https://realtree.com/timber-2-table-wild-game-recipes/pan-fried-venison-heart-with-black-pepper-buttermilk-gravy" TargetMode="External"/><Relationship Id="rId398" Type="http://schemas.openxmlformats.org/officeDocument/2006/relationships/hyperlink" Target="https://www.themeateater.com/watch/6175573953001/meateater-s-seared-venison-heart-with-whiskey-butter" TargetMode="External"/><Relationship Id="rId397" Type="http://schemas.openxmlformats.org/officeDocument/2006/relationships/hyperlink" Target="https://www.wideopenspaces.com/best-deer-hunting-caliber-for-women/" TargetMode="External"/><Relationship Id="rId1730" Type="http://schemas.openxmlformats.org/officeDocument/2006/relationships/hyperlink" Target="https://www.wideopenspaces.com/deer-tries-to-jump-high-fence-video/" TargetMode="External"/><Relationship Id="rId1731" Type="http://schemas.openxmlformats.org/officeDocument/2006/relationships/hyperlink" Target="https://www.wideopenspaces.com/dip-deer-skull-spray-paint-diy-video/" TargetMode="External"/><Relationship Id="rId1732" Type="http://schemas.openxmlformats.org/officeDocument/2006/relationships/hyperlink" Target="https://realtree.com/brow-tines-and-backstrap/iowa-law-expands-rifle-options-for-late-season-antlerless-hunts" TargetMode="External"/><Relationship Id="rId1733" Type="http://schemas.openxmlformats.org/officeDocument/2006/relationships/hyperlink" Target="https://www.wideopenspaces.com/deer-hunting-in-illinois-does-a-boone-crockett-buck-await/" TargetMode="External"/><Relationship Id="rId1734" Type="http://schemas.openxmlformats.org/officeDocument/2006/relationships/hyperlink" Target="https://realtree.com/brow-tines-and-backstrap/2022-northeast-deer-hunting-forecast" TargetMode="External"/><Relationship Id="rId1735" Type="http://schemas.openxmlformats.org/officeDocument/2006/relationships/hyperlink" Target="https://www.wideopenspaces.com/heres-michigans-early-antlerless-deer-season-explained-quickly-easily/" TargetMode="External"/><Relationship Id="rId1736" Type="http://schemas.openxmlformats.org/officeDocument/2006/relationships/hyperlink" Target="https://www.wideopenspaces.com/michigan-deer-license-sales/" TargetMode="External"/><Relationship Id="rId1737" Type="http://schemas.openxmlformats.org/officeDocument/2006/relationships/hyperlink" Target="https://www.wideopenspaces.com/missouri-deer-hunting-all-to-know-about-this-buck-buck-paradise/" TargetMode="External"/><Relationship Id="rId1738" Type="http://schemas.openxmlformats.org/officeDocument/2006/relationships/hyperlink" Target="https://www.wideopenspaces.com/mn-deer-hunting-zones/" TargetMode="External"/><Relationship Id="rId1739" Type="http://schemas.openxmlformats.org/officeDocument/2006/relationships/hyperlink" Target="https://www.wideopenspaces.com/mn-deer-hunting-zones/" TargetMode="External"/><Relationship Id="rId1720" Type="http://schemas.openxmlformats.org/officeDocument/2006/relationships/hyperlink" Target="https://realtree.com/brow-tines-and-backstrap/2022-southeast-deer-hunting-forecast" TargetMode="External"/><Relationship Id="rId1721" Type="http://schemas.openxmlformats.org/officeDocument/2006/relationships/hyperlink" Target="https://www.wideopenspaces.com/deer-hunting-in-ohio-what-you-should-know/" TargetMode="External"/><Relationship Id="rId1722" Type="http://schemas.openxmlformats.org/officeDocument/2006/relationships/hyperlink" Target="https://www.wideopenspaces.com/pennsylvania-deer-hunting/" TargetMode="External"/><Relationship Id="rId1723" Type="http://schemas.openxmlformats.org/officeDocument/2006/relationships/hyperlink" Target="https://www.wideopenspaces.com/invasion-axis-deer/" TargetMode="External"/><Relationship Id="rId1724" Type="http://schemas.openxmlformats.org/officeDocument/2006/relationships/hyperlink" Target="https://realtree.com/deer-hunting/articles/15-fascinating-facts-about-whitetail-biology-and-behavior" TargetMode="External"/><Relationship Id="rId1725" Type="http://schemas.openxmlformats.org/officeDocument/2006/relationships/hyperlink" Target="https://realtree.com/deer-hunting/articles/where-to-deer-hunt-in-february" TargetMode="External"/><Relationship Id="rId1726" Type="http://schemas.openxmlformats.org/officeDocument/2006/relationships/hyperlink" Target="https://realtree.com/brow-tines-and-backstrap/2022-southeast-deer-hunting-forecast" TargetMode="External"/><Relationship Id="rId1727" Type="http://schemas.openxmlformats.org/officeDocument/2006/relationships/hyperlink" Target="https://www.wideopenspaces.com/georgia-deer-hunting/" TargetMode="External"/><Relationship Id="rId1728" Type="http://schemas.openxmlformats.org/officeDocument/2006/relationships/hyperlink" Target="https://www.wideopenspaces.com/hairless-buck/" TargetMode="External"/><Relationship Id="rId1729" Type="http://schemas.openxmlformats.org/officeDocument/2006/relationships/hyperlink" Target="https://realtree.com/midwest-whitetail/articles/string-jumpers-how-to-aim-at-alert-deer" TargetMode="External"/><Relationship Id="rId1752" Type="http://schemas.openxmlformats.org/officeDocument/2006/relationships/hyperlink" Target="https://realtree.com/the-realblog-with-stephanie-mallory/watch-live-cam-of-maine-deer-pantry" TargetMode="External"/><Relationship Id="rId1753" Type="http://schemas.openxmlformats.org/officeDocument/2006/relationships/hyperlink" Target="https://www.wideopenspaces.com/buck-loses-an-antler-while-sparring-at-feeder/" TargetMode="External"/><Relationship Id="rId1754" Type="http://schemas.openxmlformats.org/officeDocument/2006/relationships/hyperlink" Target="https://realtree.com/timber-2-table-wild-game-recipes/easy-canned-venison" TargetMode="External"/><Relationship Id="rId1755" Type="http://schemas.openxmlformats.org/officeDocument/2006/relationships/hyperlink" Target="https://www.wideopenspaces.com/canned-venison-how-to-preserve-your-wild-game-meat-the-old-fashioned-way/" TargetMode="External"/><Relationship Id="rId1756" Type="http://schemas.openxmlformats.org/officeDocument/2006/relationships/hyperlink" Target="https://realtree.com/brow-tines-and-backstrap/how-to-use-a-trail-camera" TargetMode="External"/><Relationship Id="rId1757" Type="http://schemas.openxmlformats.org/officeDocument/2006/relationships/hyperlink" Target="https://realtree.com/turkey-blog-with-steve-hickoff/video-territorial-deer-attack-on-backyard-turkey-flock" TargetMode="External"/><Relationship Id="rId1758" Type="http://schemas.openxmlformats.org/officeDocument/2006/relationships/hyperlink" Target="https://realtree.com/deer-hunting/articles/ghost-busters-what-to-do-when-your-buck-disappears" TargetMode="External"/><Relationship Id="rId1759" Type="http://schemas.openxmlformats.org/officeDocument/2006/relationships/hyperlink" Target="https://realtree.com/timber-2-table-articles/5-things-your-deer-processor-hates" TargetMode="External"/><Relationship Id="rId808" Type="http://schemas.openxmlformats.org/officeDocument/2006/relationships/hyperlink" Target="https://www.wideopenspaces.com/oak-trees-deer/" TargetMode="External"/><Relationship Id="rId807" Type="http://schemas.openxmlformats.org/officeDocument/2006/relationships/hyperlink" Target="https://realtree.com/deer-hunting/articles/everything-you-need-to-know-about-acorns" TargetMode="External"/><Relationship Id="rId806" Type="http://schemas.openxmlformats.org/officeDocument/2006/relationships/hyperlink" Target="https://www.themeateater.com/wired-to-hunt/whitetail-scouting/how-to-whitetail-hunt-around-acorns" TargetMode="External"/><Relationship Id="rId805" Type="http://schemas.openxmlformats.org/officeDocument/2006/relationships/hyperlink" Target="https://www.themeateater.com/hunt/elk/4-ways-elk-hunting-is-not-deer-hunting" TargetMode="External"/><Relationship Id="rId809" Type="http://schemas.openxmlformats.org/officeDocument/2006/relationships/hyperlink" Target="https://www.themeateater.com/wired-to-hunt/whitetail-management/you-wont-believe-how-far-this-buck-traveled" TargetMode="External"/><Relationship Id="rId800" Type="http://schemas.openxmlformats.org/officeDocument/2006/relationships/hyperlink" Target="https://www.wideopenspaces.com/how-to-clean-a-deer-skull/" TargetMode="External"/><Relationship Id="rId804" Type="http://schemas.openxmlformats.org/officeDocument/2006/relationships/hyperlink" Target="https://www.wideopenspaces.com/the-difference-between-a-bull-elk-and-a-red-stag/" TargetMode="External"/><Relationship Id="rId803" Type="http://schemas.openxmlformats.org/officeDocument/2006/relationships/hyperlink" Target="https://www.themeateater.com/hunt/elk/4-ways-elk-hunting-is-not-deer-hunting" TargetMode="External"/><Relationship Id="rId802" Type="http://schemas.openxmlformats.org/officeDocument/2006/relationships/hyperlink" Target="https://www.themeateater.com/hunt/elk/4-ways-elk-hunting-is-not-deer-hunting" TargetMode="External"/><Relationship Id="rId801" Type="http://schemas.openxmlformats.org/officeDocument/2006/relationships/hyperlink" Target="https://www.themeateater.com/hunt/whitetail-deer/video-deer-carcass-completely-decomposes-in-5-days" TargetMode="External"/><Relationship Id="rId1750" Type="http://schemas.openxmlformats.org/officeDocument/2006/relationships/hyperlink" Target="https://www.wideopenspaces.com/wisconsin-deer-hunting-everything-hunters-need-to-know/" TargetMode="External"/><Relationship Id="rId1751" Type="http://schemas.openxmlformats.org/officeDocument/2006/relationships/hyperlink" Target="https://www.wideopenspaces.com/invasion-axis-deer/" TargetMode="External"/><Relationship Id="rId1741" Type="http://schemas.openxmlformats.org/officeDocument/2006/relationships/hyperlink" Target="https://realtree.com/brow-tines-and-backstrap/2022-northeast-deer-hunting-forecast" TargetMode="External"/><Relationship Id="rId1742" Type="http://schemas.openxmlformats.org/officeDocument/2006/relationships/hyperlink" Target="https://www.wideopenspaces.com/19-deer-hunting-jokes/" TargetMode="External"/><Relationship Id="rId1743" Type="http://schemas.openxmlformats.org/officeDocument/2006/relationships/hyperlink" Target="https://www.wideopenspaces.com/reindeer-meat/" TargetMode="External"/><Relationship Id="rId1744" Type="http://schemas.openxmlformats.org/officeDocument/2006/relationships/hyperlink" Target="https://realtree.com/brow-tines-and-backstrap/2022-southeast-deer-hunting-forecast" TargetMode="External"/><Relationship Id="rId1745" Type="http://schemas.openxmlformats.org/officeDocument/2006/relationships/hyperlink" Target="https://www.wideopenspaces.com/best-heated-socks/" TargetMode="External"/><Relationship Id="rId1746" Type="http://schemas.openxmlformats.org/officeDocument/2006/relationships/hyperlink" Target="https://www.wideopenspaces.com/when-does-deer-season-end-in-texas/" TargetMode="External"/><Relationship Id="rId1747" Type="http://schemas.openxmlformats.org/officeDocument/2006/relationships/hyperlink" Target="https://www.wideopenspaces.com/when-does-deer-season-end-in-texas/" TargetMode="External"/><Relationship Id="rId1748" Type="http://schemas.openxmlformats.org/officeDocument/2006/relationships/hyperlink" Target="https://realtree.com/brow-tines-and-backstrap/wisconsin-hunters-reject-changes-to-deer-season" TargetMode="External"/><Relationship Id="rId1749" Type="http://schemas.openxmlformats.org/officeDocument/2006/relationships/hyperlink" Target="https://realtree.com/brow-tines-and-backstrap/wisconsin-hunters-reject-changes-to-deer-season" TargetMode="External"/><Relationship Id="rId1740" Type="http://schemas.openxmlformats.org/officeDocument/2006/relationships/hyperlink" Target="https://www.wideopenspaces.com/minnesota-deer-hunting/" TargetMode="External"/><Relationship Id="rId1710" Type="http://schemas.openxmlformats.org/officeDocument/2006/relationships/hyperlink" Target="https://www.wideopenspaces.com/indiana-hunting-license/" TargetMode="External"/><Relationship Id="rId1711" Type="http://schemas.openxmlformats.org/officeDocument/2006/relationships/hyperlink" Target="https://realtree.com/deer-hunting/articles/the-meaning-of-deer-hunting-hunting-truth-in-life" TargetMode="External"/><Relationship Id="rId1712" Type="http://schemas.openxmlformats.org/officeDocument/2006/relationships/hyperlink" Target="https://realtree.com/brow-tines-and-backstrap/7-different-deer-taxidermy-options-and-their-costs" TargetMode="External"/><Relationship Id="rId1713" Type="http://schemas.openxmlformats.org/officeDocument/2006/relationships/hyperlink" Target="https://realtree.com/brow-tines-and-backstrap/2022-southeast-deer-hunting-forecast" TargetMode="External"/><Relationship Id="rId1714" Type="http://schemas.openxmlformats.org/officeDocument/2006/relationships/hyperlink" Target="https://www.wideopenspaces.com/alabama-hunting-license/" TargetMode="External"/><Relationship Id="rId1715" Type="http://schemas.openxmlformats.org/officeDocument/2006/relationships/hyperlink" Target="https://realtree.com/deer-hunting/articles/where-to-deer-hunt-in-february" TargetMode="External"/><Relationship Id="rId1716" Type="http://schemas.openxmlformats.org/officeDocument/2006/relationships/hyperlink" Target="https://www.wideopenspaces.com/hunt-deer-january-february/" TargetMode="External"/><Relationship Id="rId1717" Type="http://schemas.openxmlformats.org/officeDocument/2006/relationships/hyperlink" Target="https://www.wideopenspaces.com/when-does-deer-season-end-in-georgia/" TargetMode="External"/><Relationship Id="rId1718" Type="http://schemas.openxmlformats.org/officeDocument/2006/relationships/hyperlink" Target="https://www.wideopenspaces.com/deer-hunting-in-illinois-does-a-boone-crockett-buck-await/" TargetMode="External"/><Relationship Id="rId1719" Type="http://schemas.openxmlformats.org/officeDocument/2006/relationships/hyperlink" Target="https://www.wideopenspaces.com/when-does-deer-season-end-in-texas/" TargetMode="External"/><Relationship Id="rId1700" Type="http://schemas.openxmlformats.org/officeDocument/2006/relationships/hyperlink" Target="https://www.wideopenspaces.com/whitetailwednesday-15-hilarious-deer-hunting-memes-true/" TargetMode="External"/><Relationship Id="rId1701" Type="http://schemas.openxmlformats.org/officeDocument/2006/relationships/hyperlink" Target="https://www.wideopenspaces.com/whitetailwednesday-15-hilarious-deer-hunting-memes-true/" TargetMode="External"/><Relationship Id="rId1702" Type="http://schemas.openxmlformats.org/officeDocument/2006/relationships/hyperlink" Target="https://www.wideopenspaces.com/5-of-the-best-public-places-to-hunt-in-ohio/" TargetMode="External"/><Relationship Id="rId1703" Type="http://schemas.openxmlformats.org/officeDocument/2006/relationships/hyperlink" Target="https://www.wideopenspaces.com/michigan-deer-combo-license-explained/" TargetMode="External"/><Relationship Id="rId1704" Type="http://schemas.openxmlformats.org/officeDocument/2006/relationships/hyperlink" Target="https://www.wideopenspaces.com/mn-deer-hunting-zones/" TargetMode="External"/><Relationship Id="rId1705" Type="http://schemas.openxmlformats.org/officeDocument/2006/relationships/hyperlink" Target="https://realtree.com/the-realblog-with-stephanie-mallory/top-10-hunting-tattoos-for-2017" TargetMode="External"/><Relationship Id="rId1706" Type="http://schemas.openxmlformats.org/officeDocument/2006/relationships/hyperlink" Target="https://www.wideopenspaces.com/20-great-hunting-tattoos-youll-want-to-get/" TargetMode="External"/><Relationship Id="rId1707" Type="http://schemas.openxmlformats.org/officeDocument/2006/relationships/hyperlink" Target="https://realtree.com/deer-hunting/articles/10-tips-for-great-deer-pictures" TargetMode="External"/><Relationship Id="rId1708" Type="http://schemas.openxmlformats.org/officeDocument/2006/relationships/hyperlink" Target="https://www.wideopenspaces.com/19-deer-hunting-jokes/" TargetMode="External"/><Relationship Id="rId1709" Type="http://schemas.openxmlformats.org/officeDocument/2006/relationships/hyperlink" Target="https://www.wideopenspaces.com/finding-land-to-hunt-in-texas-isnt-as-hard-as-you-might-think/" TargetMode="External"/><Relationship Id="rId40" Type="http://schemas.openxmlformats.org/officeDocument/2006/relationships/hyperlink" Target="https://www.themeateater.com/cook/butchering-and-processing/how-to-tan-a-deer-hide" TargetMode="External"/><Relationship Id="rId1334" Type="http://schemas.openxmlformats.org/officeDocument/2006/relationships/hyperlink" Target="https://realtree.com/deer-hunting" TargetMode="External"/><Relationship Id="rId1335" Type="http://schemas.openxmlformats.org/officeDocument/2006/relationships/hyperlink" Target="https://www.themeateater.com/cook/recipes/venison-steak-and-eggs-recipe" TargetMode="External"/><Relationship Id="rId42" Type="http://schemas.openxmlformats.org/officeDocument/2006/relationships/hyperlink" Target="https://www.themeateater.com/wired-to-hunt/whitetail-hunting/deer-vision-how-whitetails-see-color-light-and-movement" TargetMode="External"/><Relationship Id="rId1336" Type="http://schemas.openxmlformats.org/officeDocument/2006/relationships/hyperlink" Target="https://www.themeateater.com/wired-to-hunt/whitetail-scouting/ask-meateater-how-high-do-you-hang-tree-stands" TargetMode="External"/><Relationship Id="rId41" Type="http://schemas.openxmlformats.org/officeDocument/2006/relationships/hyperlink" Target="https://www.wideopenspaces.com/7-steps-tanning-deer-hide-easier-think/" TargetMode="External"/><Relationship Id="rId1337" Type="http://schemas.openxmlformats.org/officeDocument/2006/relationships/hyperlink" Target="https://realtree.com/brow-tines-and-backstrap/the-case-for-climbing-stands" TargetMode="External"/><Relationship Id="rId44" Type="http://schemas.openxmlformats.org/officeDocument/2006/relationships/hyperlink" Target="https://www.wideopenspaces.com/are-deer-actually-color-blind/" TargetMode="External"/><Relationship Id="rId1338" Type="http://schemas.openxmlformats.org/officeDocument/2006/relationships/hyperlink" Target="https://www.themeateater.com/wired-to-hunt/whitetail-hunting-gear/the-single-best-way-to-get-bucks-on-trail-cam-without-bait" TargetMode="External"/><Relationship Id="rId43" Type="http://schemas.openxmlformats.org/officeDocument/2006/relationships/hyperlink" Target="https://realtree.com/all/articles/what-deer-really-see" TargetMode="External"/><Relationship Id="rId1339" Type="http://schemas.openxmlformats.org/officeDocument/2006/relationships/hyperlink" Target="https://realtree.com/brow-tines-and-backstrap/8-things-you-can-use-to-bait-deer" TargetMode="External"/><Relationship Id="rId46" Type="http://schemas.openxmlformats.org/officeDocument/2006/relationships/hyperlink" Target="https://www.themeateater.com/wired-to-hunt/whitetail-hunting-gear/this-cartridge-doesnt-get-enough-love-from-deer-hunters" TargetMode="External"/><Relationship Id="rId45" Type="http://schemas.openxmlformats.org/officeDocument/2006/relationships/hyperlink" Target="https://www.themeateater.com/hunt/firearm-hunting/can-an-air-rifle-bring-down-a-whitetail" TargetMode="External"/><Relationship Id="rId745" Type="http://schemas.openxmlformats.org/officeDocument/2006/relationships/hyperlink" Target="https://www.themeateater.com/hunt/big-game/what-to-do-when-you-plan-on-getting-a-deer-mounted" TargetMode="External"/><Relationship Id="rId744" Type="http://schemas.openxmlformats.org/officeDocument/2006/relationships/hyperlink" Target="https://www.themeateater.com/wired-to-hunt/whitetail-hunting-gear/5-mistakes-deer-hunters-make-with-trail-cameras" TargetMode="External"/><Relationship Id="rId743" Type="http://schemas.openxmlformats.org/officeDocument/2006/relationships/hyperlink" Target="https://www.themeateater.com/hunt/big-game/ask-meateater-where-should-i-go-on-my-first-mule-deer-hunt" TargetMode="External"/><Relationship Id="rId742" Type="http://schemas.openxmlformats.org/officeDocument/2006/relationships/hyperlink" Target="https://www.wideopenspaces.com/best-deer-hunting-rifles/" TargetMode="External"/><Relationship Id="rId749" Type="http://schemas.openxmlformats.org/officeDocument/2006/relationships/hyperlink" Target="https://realtree.com/timber-2-table-wild-game-recipes/stovetop-venison-roast" TargetMode="External"/><Relationship Id="rId748" Type="http://schemas.openxmlformats.org/officeDocument/2006/relationships/hyperlink" Target="https://www.themeateater.com/cook/recipes/shredded-venison-roast" TargetMode="External"/><Relationship Id="rId747" Type="http://schemas.openxmlformats.org/officeDocument/2006/relationships/hyperlink" Target="https://www.wideopenspaces.com/deer-taxidermy-options/" TargetMode="External"/><Relationship Id="rId746" Type="http://schemas.openxmlformats.org/officeDocument/2006/relationships/hyperlink" Target="https://realtree.com/brow-tines-and-backstrap/how-long-should-deer-taxidermy-take" TargetMode="External"/><Relationship Id="rId48" Type="http://schemas.openxmlformats.org/officeDocument/2006/relationships/hyperlink" Target="https://www.themeateater.com/wired-to-hunt/whitetail-hunting/where-to-shoot-a-deer" TargetMode="External"/><Relationship Id="rId47" Type="http://schemas.openxmlformats.org/officeDocument/2006/relationships/hyperlink" Target="https://realtree.com/brow-tines-and-backstrap/why-you-should-use-an-ar-15-as-a-deer-rifle" TargetMode="External"/><Relationship Id="rId49" Type="http://schemas.openxmlformats.org/officeDocument/2006/relationships/hyperlink" Target="https://realtree.com/deer-hunting/articles/the-best-shot-placement-on-deer" TargetMode="External"/><Relationship Id="rId741" Type="http://schemas.openxmlformats.org/officeDocument/2006/relationships/hyperlink" Target="https://www.themeateater.com/hunt/firearm-hunting/should-your-next-deer-rifle-be-an-ar-15" TargetMode="External"/><Relationship Id="rId1330" Type="http://schemas.openxmlformats.org/officeDocument/2006/relationships/hyperlink" Target="https://www.themeateater.com/conservation/wildlife-management/nebraska-introduces-controversial-july-elk-season" TargetMode="External"/><Relationship Id="rId740" Type="http://schemas.openxmlformats.org/officeDocument/2006/relationships/hyperlink" Target="https://www.wideopenspaces.com/vampire-deer-exist/" TargetMode="External"/><Relationship Id="rId1331" Type="http://schemas.openxmlformats.org/officeDocument/2006/relationships/hyperlink" Target="https://realtree.com/brow-tines-and-backstrap/2022-midwest-deer-hunting-forecast" TargetMode="External"/><Relationship Id="rId1332" Type="http://schemas.openxmlformats.org/officeDocument/2006/relationships/hyperlink" Target="https://www.wideopenspaces.com/nebraska-turkey-hunting/" TargetMode="External"/><Relationship Id="rId1333" Type="http://schemas.openxmlformats.org/officeDocument/2006/relationships/hyperlink" Target="https://www.themeateater.com/wired-to-hunt/whitetail-hunting-gear/how-to-buy-your-first-deer-hunting-bow" TargetMode="External"/><Relationship Id="rId1323" Type="http://schemas.openxmlformats.org/officeDocument/2006/relationships/hyperlink" Target="https://www.wideopenspaces.com/deer-shed-antlers-pics/" TargetMode="External"/><Relationship Id="rId1324" Type="http://schemas.openxmlformats.org/officeDocument/2006/relationships/hyperlink" Target="https://www.themeateater.com/watch/6209664304001/how-to-shock-pouch-a-deer-with-clay-newcomb" TargetMode="External"/><Relationship Id="rId31" Type="http://schemas.openxmlformats.org/officeDocument/2006/relationships/hyperlink" Target="https://www.themeateater.com/hunt/big-game/ask-meateater-where-should-i-go-on-my-first-mule-deer-hunt" TargetMode="External"/><Relationship Id="rId1325" Type="http://schemas.openxmlformats.org/officeDocument/2006/relationships/hyperlink" Target="https://www.wideopenspaces.com/deer-bone-marrow/" TargetMode="External"/><Relationship Id="rId30" Type="http://schemas.openxmlformats.org/officeDocument/2006/relationships/hyperlink" Target="https://www.wideopenspaces.com/are-deer-actually-color-blind/" TargetMode="External"/><Relationship Id="rId1326" Type="http://schemas.openxmlformats.org/officeDocument/2006/relationships/hyperlink" Target="https://www.themeateater.com/wired-to-hunt/whitetail-hunting/5-habits-that-will-make-you-a-better-deer-hunter" TargetMode="External"/><Relationship Id="rId33" Type="http://schemas.openxmlformats.org/officeDocument/2006/relationships/hyperlink" Target="https://www.themeateater.com/conservation/wildlife-management/coyotes-kill-deer-not-deer-herds" TargetMode="External"/><Relationship Id="rId1327" Type="http://schemas.openxmlformats.org/officeDocument/2006/relationships/hyperlink" Target="https://realtree.com/deer-hunting/articles/25-tips-for-new-deer-hunters" TargetMode="External"/><Relationship Id="rId32" Type="http://schemas.openxmlformats.org/officeDocument/2006/relationships/hyperlink" Target="https://realtree.com/big-game-hunting/articles/plan-your-public-mule-deer-hunt-now" TargetMode="External"/><Relationship Id="rId1328" Type="http://schemas.openxmlformats.org/officeDocument/2006/relationships/hyperlink" Target="https://www.themeateater.com/hunt/elk/4-ways-elk-hunting-is-not-deer-hunting" TargetMode="External"/><Relationship Id="rId35" Type="http://schemas.openxmlformats.org/officeDocument/2006/relationships/hyperlink" Target="https://www.themeateater.com/watch/6175620095001/how-to-field-dress-a-deer-with-steven-rinella" TargetMode="External"/><Relationship Id="rId1329" Type="http://schemas.openxmlformats.org/officeDocument/2006/relationships/hyperlink" Target="https://www.wideopenspaces.com/the-difference-between-a-bull-elk-and-a-red-stag/" TargetMode="External"/><Relationship Id="rId34" Type="http://schemas.openxmlformats.org/officeDocument/2006/relationships/hyperlink" Target="https://www.wideopenspaces.com/coyote-vs-deer/" TargetMode="External"/><Relationship Id="rId739" Type="http://schemas.openxmlformats.org/officeDocument/2006/relationships/hyperlink" Target="https://www.themeateater.com/wired-to-hunt/whitetail-management/why-some-whitetails-grow-fangs" TargetMode="External"/><Relationship Id="rId734" Type="http://schemas.openxmlformats.org/officeDocument/2006/relationships/hyperlink" Target="https://www.wideopenspaces.com/how-to-find-the-right-deer-bleat-call-for-hunting/" TargetMode="External"/><Relationship Id="rId733" Type="http://schemas.openxmlformats.org/officeDocument/2006/relationships/hyperlink" Target="https://www.themeateater.com/wired-to-hunt/whitetail-hunting/how-to-call-in-a-doe" TargetMode="External"/><Relationship Id="rId732" Type="http://schemas.openxmlformats.org/officeDocument/2006/relationships/hyperlink" Target="https://www.wideopenspaces.com/heres-a-video-showing-how-much-meat-you-should-expect-from-a-whitetail-deer/" TargetMode="External"/><Relationship Id="rId731" Type="http://schemas.openxmlformats.org/officeDocument/2006/relationships/hyperlink" Target="https://realtree.com/timber-2-table-articles/meat-hunter-s-rules-for-shooting-the-right-deer" TargetMode="External"/><Relationship Id="rId738" Type="http://schemas.openxmlformats.org/officeDocument/2006/relationships/hyperlink" Target="https://www.wideopenspaces.com/deer-hunting-blind-spacious/" TargetMode="External"/><Relationship Id="rId737" Type="http://schemas.openxmlformats.org/officeDocument/2006/relationships/hyperlink" Target="https://www.themeateater.com/hunt/whitetail-deer/photos-how-to-build-a-deer-blind-from-pallets" TargetMode="External"/><Relationship Id="rId736" Type="http://schemas.openxmlformats.org/officeDocument/2006/relationships/hyperlink" Target="https://realtree.com/deer-hunting/articles/how-to-score-a-buck-on-the-boone-and-crocket-scale" TargetMode="External"/><Relationship Id="rId735" Type="http://schemas.openxmlformats.org/officeDocument/2006/relationships/hyperlink" Target="https://www.themeateater.com/watch/5989788983001/meateater-glossary-pinch-point" TargetMode="External"/><Relationship Id="rId37" Type="http://schemas.openxmlformats.org/officeDocument/2006/relationships/hyperlink" Target="https://www.wideopenspaces.com/field-dressing-deer-with-gloves/" TargetMode="External"/><Relationship Id="rId36" Type="http://schemas.openxmlformats.org/officeDocument/2006/relationships/hyperlink" Target="https://realtree.com/deer-hunting/articles/7-serious-field-dressing-mistakes" TargetMode="External"/><Relationship Id="rId39" Type="http://schemas.openxmlformats.org/officeDocument/2006/relationships/hyperlink" Target="https://www.wideopenspaces.com/antlered-doe/" TargetMode="External"/><Relationship Id="rId38" Type="http://schemas.openxmlformats.org/officeDocument/2006/relationships/hyperlink" Target="https://www.themeateater.com/conservation/wildlife-management/why-do-female-deer-sometimes-grow-antlers" TargetMode="External"/><Relationship Id="rId730" Type="http://schemas.openxmlformats.org/officeDocument/2006/relationships/hyperlink" Target="https://www.themeateater.com/cook/butchering-and-processing/how-much-fat-should-you-add-to-ground-venison" TargetMode="External"/><Relationship Id="rId1320" Type="http://schemas.openxmlformats.org/officeDocument/2006/relationships/hyperlink" Target="https://www.themeateater.com/shows/meateater" TargetMode="External"/><Relationship Id="rId1321" Type="http://schemas.openxmlformats.org/officeDocument/2006/relationships/hyperlink" Target="https://www.themeateater.com/wired-to-hunt/whitetail-management/why-midwest-whitetails-shedding-early" TargetMode="External"/><Relationship Id="rId1322" Type="http://schemas.openxmlformats.org/officeDocument/2006/relationships/hyperlink" Target="https://realtree.com/brow-tines-and-backstrap/why-are-some-bucks-shedding-antlers-early" TargetMode="External"/><Relationship Id="rId1356" Type="http://schemas.openxmlformats.org/officeDocument/2006/relationships/hyperlink" Target="https://www.themeateater.com/wired-to-hunt/whitetail-management/10-natural-food-sources-every-deer-hunter-should-know" TargetMode="External"/><Relationship Id="rId1357" Type="http://schemas.openxmlformats.org/officeDocument/2006/relationships/hyperlink" Target="https://realtree.com/the-realblog-with-stephanie-mallory/did-you-know-deer-eat-meat" TargetMode="External"/><Relationship Id="rId20" Type="http://schemas.openxmlformats.org/officeDocument/2006/relationships/hyperlink" Target="https://realtree.com/brow-tines-and-backstrap/why-you-should-use-an-ar-15-as-a-deer-rifle" TargetMode="External"/><Relationship Id="rId1358" Type="http://schemas.openxmlformats.org/officeDocument/2006/relationships/hyperlink" Target="https://www.wideopenspaces.com/what-do-deer-eat/" TargetMode="External"/><Relationship Id="rId1359" Type="http://schemas.openxmlformats.org/officeDocument/2006/relationships/hyperlink" Target="https://www.themeateater.com/wired-to-hunt/whitetail-hunting/how-well-do-deer-hear" TargetMode="External"/><Relationship Id="rId22" Type="http://schemas.openxmlformats.org/officeDocument/2006/relationships/hyperlink" Target="https://realtree.com/deer-hunting/articles/the-best-shot-placement-on-deer" TargetMode="External"/><Relationship Id="rId21" Type="http://schemas.openxmlformats.org/officeDocument/2006/relationships/hyperlink" Target="https://www.themeateater.com/wired-to-hunt/whitetail-hunting/where-to-shoot-a-deer" TargetMode="External"/><Relationship Id="rId24" Type="http://schemas.openxmlformats.org/officeDocument/2006/relationships/hyperlink" Target="https://www.themeateater.com/hunt/whitetail-deer/american-deer-camps-a-dying-tradition" TargetMode="External"/><Relationship Id="rId23" Type="http://schemas.openxmlformats.org/officeDocument/2006/relationships/hyperlink" Target="https://www.wideopenspaces.com/where-to-shoot-a-deer-for-the-best-odds-of-a-quick-kill/" TargetMode="External"/><Relationship Id="rId767" Type="http://schemas.openxmlformats.org/officeDocument/2006/relationships/hyperlink" Target="https://www.themeateater.com/wired-to-hunt/whitetail-hunting-gear/how-to-pick-a-good-deer-taxidermist" TargetMode="External"/><Relationship Id="rId766" Type="http://schemas.openxmlformats.org/officeDocument/2006/relationships/hyperlink" Target="https://www.wideopenspaces.com/make-your-own-wooden-hang-on-deer-stand-this-guy-did/" TargetMode="External"/><Relationship Id="rId765" Type="http://schemas.openxmlformats.org/officeDocument/2006/relationships/hyperlink" Target="https://realtree.com/brow-tines-and-backstrap/is-it-safe-to-leave-treestands-out-all-year" TargetMode="External"/><Relationship Id="rId764" Type="http://schemas.openxmlformats.org/officeDocument/2006/relationships/hyperlink" Target="https://www.themeateater.com/wired-to-hunt/whitetail-hunting-gear/youre-hanging-your-tree-stands-wrong" TargetMode="External"/><Relationship Id="rId769" Type="http://schemas.openxmlformats.org/officeDocument/2006/relationships/hyperlink" Target="https://www.wideopenspaces.com/taxidermy-deer-mount-how-much/" TargetMode="External"/><Relationship Id="rId768" Type="http://schemas.openxmlformats.org/officeDocument/2006/relationships/hyperlink" Target="https://realtree.com/brow-tines-and-backstrap/how-long-should-deer-taxidermy-take" TargetMode="External"/><Relationship Id="rId26" Type="http://schemas.openxmlformats.org/officeDocument/2006/relationships/hyperlink" Target="https://www.themeateater.com/cook/recipes/the-only-venison-breakfast-sausage-recipe-you-need" TargetMode="External"/><Relationship Id="rId25" Type="http://schemas.openxmlformats.org/officeDocument/2006/relationships/hyperlink" Target="https://realtree.com/deer-hunting/articles/10-rules-for-deer-camp" TargetMode="External"/><Relationship Id="rId28" Type="http://schemas.openxmlformats.org/officeDocument/2006/relationships/hyperlink" Target="https://www.themeateater.com/wired-to-hunt/whitetail-hunting/deer-vision-how-whitetails-see-color-light-and-movement" TargetMode="External"/><Relationship Id="rId1350" Type="http://schemas.openxmlformats.org/officeDocument/2006/relationships/hyperlink" Target="https://realtree.com/brow-tines-and-backstrap/how-long-should-deer-taxidermy-take" TargetMode="External"/><Relationship Id="rId27" Type="http://schemas.openxmlformats.org/officeDocument/2006/relationships/hyperlink" Target="https://realtree.com/timber-2-table-wild-game-recipes/venison-and-pork-sweet-italian-sausage-links-recipe" TargetMode="External"/><Relationship Id="rId1351" Type="http://schemas.openxmlformats.org/officeDocument/2006/relationships/hyperlink" Target="https://www.wideopenspaces.com/whitetail-wednesday-how-much-do-people-pay-for-shoulder-mounts-in-your-area/" TargetMode="External"/><Relationship Id="rId763" Type="http://schemas.openxmlformats.org/officeDocument/2006/relationships/hyperlink" Target="https://www.wideopenspaces.com/the-difference-between-a-bull-elk-and-a-red-stag/" TargetMode="External"/><Relationship Id="rId1352" Type="http://schemas.openxmlformats.org/officeDocument/2006/relationships/hyperlink" Target="https://www.themeateater.com/wired-to-hunt/whitetail-scouting/how-the-hunting-public-finds-quality-public-land-deer-hunting" TargetMode="External"/><Relationship Id="rId29" Type="http://schemas.openxmlformats.org/officeDocument/2006/relationships/hyperlink" Target="https://realtree.com/all/articles/what-deer-really-see" TargetMode="External"/><Relationship Id="rId762" Type="http://schemas.openxmlformats.org/officeDocument/2006/relationships/hyperlink" Target="https://www.themeateater.com/hunt/elk/4-ways-elk-hunting-is-not-deer-hunting" TargetMode="External"/><Relationship Id="rId1353" Type="http://schemas.openxmlformats.org/officeDocument/2006/relationships/hyperlink" Target="https://realtree.com/deer-hunting/articles/how-to-deer-hunt-in-september" TargetMode="External"/><Relationship Id="rId761" Type="http://schemas.openxmlformats.org/officeDocument/2006/relationships/hyperlink" Target="https://www.themeateater.com/wired-to-hunt/whitetail-hunting/how-to-deer-hunt-standing-corn" TargetMode="External"/><Relationship Id="rId1354" Type="http://schemas.openxmlformats.org/officeDocument/2006/relationships/hyperlink" Target="https://www.themeateater.com/wired-to-hunt/whitetail-hunting/rut-fresh-report-11-17-2022" TargetMode="External"/><Relationship Id="rId760" Type="http://schemas.openxmlformats.org/officeDocument/2006/relationships/hyperlink" Target="https://realtree.com/brow-tines-and-backstrap/choose-the-best-knife-for-deer-hunting" TargetMode="External"/><Relationship Id="rId1355" Type="http://schemas.openxmlformats.org/officeDocument/2006/relationships/hyperlink" Target="https://realtree.com/deer-hunting/articles/how-to-hunt-the-phases-of-the-rut" TargetMode="External"/><Relationship Id="rId1345" Type="http://schemas.openxmlformats.org/officeDocument/2006/relationships/hyperlink" Target="https://www.themeateater.com/shows/meateater" TargetMode="External"/><Relationship Id="rId1346" Type="http://schemas.openxmlformats.org/officeDocument/2006/relationships/hyperlink" Target="https://realtree.com/brow-tines-and-backstrap/kentucky-proposes-massive-changes-to-deer-hunting-seasons-and-regulations" TargetMode="External"/><Relationship Id="rId1347" Type="http://schemas.openxmlformats.org/officeDocument/2006/relationships/hyperlink" Target="https://www.themeateater.com/shows/meateater" TargetMode="External"/><Relationship Id="rId1348" Type="http://schemas.openxmlformats.org/officeDocument/2006/relationships/hyperlink" Target="https://realtree.com/brow-tines-and-backstrap/kentucky-proposes-massive-changes-to-deer-hunting-seasons-and-regulations" TargetMode="External"/><Relationship Id="rId11" Type="http://schemas.openxmlformats.org/officeDocument/2006/relationships/hyperlink" Target="https://www.themeateater.com/wired-to-hunt/whitetail-hunting-gear/this-cartridge-doesnt-get-enough-love-from-deer-hunters" TargetMode="External"/><Relationship Id="rId1349" Type="http://schemas.openxmlformats.org/officeDocument/2006/relationships/hyperlink" Target="https://www.themeateater.com/hunt/big-game/what-to-do-when-you-plan-on-getting-a-deer-mounted" TargetMode="External"/><Relationship Id="rId10" Type="http://schemas.openxmlformats.org/officeDocument/2006/relationships/hyperlink" Target="https://realtree.com/brow-tines-and-backstrap/why-you-should-use-an-ar-15-as-a-deer-rifle" TargetMode="External"/><Relationship Id="rId13" Type="http://schemas.openxmlformats.org/officeDocument/2006/relationships/hyperlink" Target="https://www.themeateater.com/wired-to-hunt/whitetail-hunting-gear/this-cartridge-doesnt-get-enough-love-from-deer-hunters" TargetMode="External"/><Relationship Id="rId12" Type="http://schemas.openxmlformats.org/officeDocument/2006/relationships/hyperlink" Target="https://realtree.com/brow-tines-and-backstrap/why-you-should-use-an-ar-15-as-a-deer-rifle" TargetMode="External"/><Relationship Id="rId756" Type="http://schemas.openxmlformats.org/officeDocument/2006/relationships/hyperlink" Target="https://www.wideopenspaces.com/tell-age-deer-pics/" TargetMode="External"/><Relationship Id="rId755" Type="http://schemas.openxmlformats.org/officeDocument/2006/relationships/hyperlink" Target="https://realtree.com/brow-tines-and-backstrap/how-long-do-white-tailed-deer-live" TargetMode="External"/><Relationship Id="rId754" Type="http://schemas.openxmlformats.org/officeDocument/2006/relationships/hyperlink" Target="https://www.themeateater.com/wired-to-hunt/whitetail-management/how-to-age-a-whitetail-buck-on-the-hoof" TargetMode="External"/><Relationship Id="rId753" Type="http://schemas.openxmlformats.org/officeDocument/2006/relationships/hyperlink" Target="https://www.wideopenspaces.com/the-legalities-trends-and-efficacy-of-deer-hunting-with-shotguns/" TargetMode="External"/><Relationship Id="rId759" Type="http://schemas.openxmlformats.org/officeDocument/2006/relationships/hyperlink" Target="https://www.themeateater.com/gear/general/best-hunting-knives" TargetMode="External"/><Relationship Id="rId758" Type="http://schemas.openxmlformats.org/officeDocument/2006/relationships/hyperlink" Target="https://www.themeateater.com/wired-to-hunt/whitetail-scouting/where-do-deer-sleep" TargetMode="External"/><Relationship Id="rId757" Type="http://schemas.openxmlformats.org/officeDocument/2006/relationships/hyperlink" Target="https://www.themeateater.com/watch/6258237301001/s6-e04-land-of-the-giants-idaho-mule-deer-part-1" TargetMode="External"/><Relationship Id="rId15" Type="http://schemas.openxmlformats.org/officeDocument/2006/relationships/hyperlink" Target="https://www.themeateater.com/hunt/whitetail-deer/photos-how-to-build-a-deer-blind-from-pallets" TargetMode="External"/><Relationship Id="rId14" Type="http://schemas.openxmlformats.org/officeDocument/2006/relationships/hyperlink" Target="https://realtree.com/brow-tines-and-backstrap/why-you-should-use-an-ar-15-as-a-deer-rifle" TargetMode="External"/><Relationship Id="rId17" Type="http://schemas.openxmlformats.org/officeDocument/2006/relationships/hyperlink" Target="https://www.themeateater.com/wired-to-hunt/whitetail-scouting/how-to-find-whitetail-buck-bedding" TargetMode="External"/><Relationship Id="rId16" Type="http://schemas.openxmlformats.org/officeDocument/2006/relationships/hyperlink" Target="https://www.wideopenspaces.com/the-best-diy-hunting-blinds-you-can-possibly-make-this-soon-before-the-season/" TargetMode="External"/><Relationship Id="rId1340" Type="http://schemas.openxmlformats.org/officeDocument/2006/relationships/hyperlink" Target="https://www.wideopenspaces.com/5-deer-attractants-drive-whitetail-bucks-crazy-pics/" TargetMode="External"/><Relationship Id="rId19" Type="http://schemas.openxmlformats.org/officeDocument/2006/relationships/hyperlink" Target="https://www.themeateater.com/wired-to-hunt/whitetail-hunting-gear/this-cartridge-doesnt-get-enough-love-from-deer-hunters" TargetMode="External"/><Relationship Id="rId752" Type="http://schemas.openxmlformats.org/officeDocument/2006/relationships/hyperlink" Target="https://realtree.com/deer-hunting/articles/deer-hunting-with-a-slug-gun" TargetMode="External"/><Relationship Id="rId1341" Type="http://schemas.openxmlformats.org/officeDocument/2006/relationships/hyperlink" Target="https://www.themeateater.com/shows/meateater" TargetMode="External"/><Relationship Id="rId18" Type="http://schemas.openxmlformats.org/officeDocument/2006/relationships/hyperlink" Target="https://realtree.com/deer-hunting/articles/how-to-hunt-big-buck-bedding-areas" TargetMode="External"/><Relationship Id="rId751" Type="http://schemas.openxmlformats.org/officeDocument/2006/relationships/hyperlink" Target="https://www.themeateater.com/wired-to-hunt/whitetail-hunting/where-to-shoot-a-deer" TargetMode="External"/><Relationship Id="rId1342" Type="http://schemas.openxmlformats.org/officeDocument/2006/relationships/hyperlink" Target="https://realtree.com/brow-tines-and-backstrap/kentucky-proposes-massive-changes-to-deer-hunting-seasons-and-regulations" TargetMode="External"/><Relationship Id="rId750" Type="http://schemas.openxmlformats.org/officeDocument/2006/relationships/hyperlink" Target="https://www.wideopenspaces.com/this-savory-venison-roast-recipe-will-blow-everyone-away/" TargetMode="External"/><Relationship Id="rId1343" Type="http://schemas.openxmlformats.org/officeDocument/2006/relationships/hyperlink" Target="https://www.themeateater.com/wired-to-hunt/whitetail-hunting/how-to-deer-hunt-a-small-property" TargetMode="External"/><Relationship Id="rId1344" Type="http://schemas.openxmlformats.org/officeDocument/2006/relationships/hyperlink" Target="https://realtree.com/all/articles/small-property-whitetails" TargetMode="External"/><Relationship Id="rId84" Type="http://schemas.openxmlformats.org/officeDocument/2006/relationships/hyperlink" Target="https://www.themeateater.com/shows/deer-country" TargetMode="External"/><Relationship Id="rId1774" Type="http://schemas.openxmlformats.org/officeDocument/2006/relationships/hyperlink" Target="https://realtree.com/deer-hunting/articles/10-tips-for-great-deer-pictures" TargetMode="External"/><Relationship Id="rId83" Type="http://schemas.openxmlformats.org/officeDocument/2006/relationships/hyperlink" Target="https://www.wideopenspaces.com/are-deer-actually-color-blind/" TargetMode="External"/><Relationship Id="rId1775" Type="http://schemas.openxmlformats.org/officeDocument/2006/relationships/hyperlink" Target="https://www.wideopenspaces.com/deer-pong/" TargetMode="External"/><Relationship Id="rId86" Type="http://schemas.openxmlformats.org/officeDocument/2006/relationships/hyperlink" Target="https://realtree.com/deer-hunting/articles/the-best-shot-placement-on-deer" TargetMode="External"/><Relationship Id="rId1776" Type="http://schemas.openxmlformats.org/officeDocument/2006/relationships/hyperlink" Target="https://realtree.com/all/articles/rack-em-up" TargetMode="External"/><Relationship Id="rId85" Type="http://schemas.openxmlformats.org/officeDocument/2006/relationships/hyperlink" Target="https://www.themeateater.com/wired-to-hunt/whitetail-hunting/where-to-shoot-a-deer" TargetMode="External"/><Relationship Id="rId1777" Type="http://schemas.openxmlformats.org/officeDocument/2006/relationships/hyperlink" Target="https://realtree.com/deer-hunting/articles/5-rut-buck-behaviors-you-should-recognize" TargetMode="External"/><Relationship Id="rId88" Type="http://schemas.openxmlformats.org/officeDocument/2006/relationships/hyperlink" Target="https://www.themeateater.com/wired-to-hunt/whitetail-hunting/where-to-shoot-a-deer" TargetMode="External"/><Relationship Id="rId1778" Type="http://schemas.openxmlformats.org/officeDocument/2006/relationships/hyperlink" Target="https://realtree.com/brow-tines-and-backstrap/2022-midwest-deer-hunting-forecast" TargetMode="External"/><Relationship Id="rId87" Type="http://schemas.openxmlformats.org/officeDocument/2006/relationships/hyperlink" Target="https://www.wideopenspaces.com/where-to-shoot-a-deer-for-the-best-odds-of-a-quick-kill/" TargetMode="External"/><Relationship Id="rId1779" Type="http://schemas.openxmlformats.org/officeDocument/2006/relationships/hyperlink" Target="https://www.wideopenspaces.com/when-does-deer-season-end-in-missouri/" TargetMode="External"/><Relationship Id="rId89" Type="http://schemas.openxmlformats.org/officeDocument/2006/relationships/hyperlink" Target="https://realtree.com/deer-hunting/articles/the-best-shot-placement-on-deer" TargetMode="External"/><Relationship Id="rId709" Type="http://schemas.openxmlformats.org/officeDocument/2006/relationships/hyperlink" Target="https://www.themeateater.com/hunt/elk/4-ways-elk-hunting-is-not-deer-hunting" TargetMode="External"/><Relationship Id="rId708" Type="http://schemas.openxmlformats.org/officeDocument/2006/relationships/hyperlink" Target="https://realtree.com/brow-tines-and-backstrap/everything-you-ever-wanted-to-know-about-deer-poop" TargetMode="External"/><Relationship Id="rId707" Type="http://schemas.openxmlformats.org/officeDocument/2006/relationships/hyperlink" Target="https://www.themeateater.com/wired-to-hunt/whitetail-scouting/fact-checker-can-you-identify-a-mature-buck-by-droppings" TargetMode="External"/><Relationship Id="rId706" Type="http://schemas.openxmlformats.org/officeDocument/2006/relationships/hyperlink" Target="https://www.wideopenspaces.com/instant-pot-venison-roast-yep-heres-a-recipe/" TargetMode="External"/><Relationship Id="rId80" Type="http://schemas.openxmlformats.org/officeDocument/2006/relationships/hyperlink" Target="https://www.wideopenspaces.com/where-to-shoot-a-deer-for-the-best-odds-of-a-quick-kill/" TargetMode="External"/><Relationship Id="rId82" Type="http://schemas.openxmlformats.org/officeDocument/2006/relationships/hyperlink" Target="https://realtree.com/all/articles/what-deer-really-see" TargetMode="External"/><Relationship Id="rId81" Type="http://schemas.openxmlformats.org/officeDocument/2006/relationships/hyperlink" Target="https://www.themeateater.com/wired-to-hunt/whitetail-hunting/deer-vision-how-whitetails-see-color-light-and-movement" TargetMode="External"/><Relationship Id="rId701" Type="http://schemas.openxmlformats.org/officeDocument/2006/relationships/hyperlink" Target="https://www.wideopenspaces.com/what-are-the-best-deer-hunting-times-throughout-the-day/" TargetMode="External"/><Relationship Id="rId700" Type="http://schemas.openxmlformats.org/officeDocument/2006/relationships/hyperlink" Target="https://realtree.com/deer-hunting/articles/the-best-times-to-deer-hunt-in-2022" TargetMode="External"/><Relationship Id="rId705" Type="http://schemas.openxmlformats.org/officeDocument/2006/relationships/hyperlink" Target="https://realtree.com/timber-2-table-wild-game-recipes/stovetop-venison-roast" TargetMode="External"/><Relationship Id="rId704" Type="http://schemas.openxmlformats.org/officeDocument/2006/relationships/hyperlink" Target="https://www.themeateater.com/cook/recipes/shredded-venison-roast" TargetMode="External"/><Relationship Id="rId703" Type="http://schemas.openxmlformats.org/officeDocument/2006/relationships/hyperlink" Target="https://www.wideopenspaces.com/how-to-hunt-blacktail-deer/" TargetMode="External"/><Relationship Id="rId702" Type="http://schemas.openxmlformats.org/officeDocument/2006/relationships/hyperlink" Target="https://www.themeateater.com/hunt/black-tailed-deer/a-guide-to-hunting-blacktail-deer" TargetMode="External"/><Relationship Id="rId1770" Type="http://schemas.openxmlformats.org/officeDocument/2006/relationships/hyperlink" Target="https://www.wideopenspaces.com/finding-land-to-hunt-in-texas-isnt-as-hard-as-you-might-think/" TargetMode="External"/><Relationship Id="rId1771" Type="http://schemas.openxmlformats.org/officeDocument/2006/relationships/hyperlink" Target="https://www.wideopenspaces.com/best-mule-deer-hunting-states/" TargetMode="External"/><Relationship Id="rId1772" Type="http://schemas.openxmlformats.org/officeDocument/2006/relationships/hyperlink" Target="https://realtree.com/timber-2-table-articles/5-things-your-deer-processor-hates" TargetMode="External"/><Relationship Id="rId1773" Type="http://schemas.openxmlformats.org/officeDocument/2006/relationships/hyperlink" Target="https://realtree.com/deer-hunting/articles/8-major-differences-between-whitetails-and-mule-deer" TargetMode="External"/><Relationship Id="rId73" Type="http://schemas.openxmlformats.org/officeDocument/2006/relationships/hyperlink" Target="https://www.themeateater.com/wired-to-hunt/whitetail-hunting/deer-vision-how-whitetails-see-color-light-and-movement" TargetMode="External"/><Relationship Id="rId1763" Type="http://schemas.openxmlformats.org/officeDocument/2006/relationships/hyperlink" Target="https://www.wideopenspaces.com/best-deer-feeders/" TargetMode="External"/><Relationship Id="rId72" Type="http://schemas.openxmlformats.org/officeDocument/2006/relationships/hyperlink" Target="https://www.themeateater.com/wired-to-hunt/whitetail-hunting/deer-vision-how-whitetails-see-color-light-and-movement" TargetMode="External"/><Relationship Id="rId1764" Type="http://schemas.openxmlformats.org/officeDocument/2006/relationships/hyperlink" Target="https://realtree.com/brow-tines-and-backstrap/how-to-make-a-homemade-deer-feeder" TargetMode="External"/><Relationship Id="rId75" Type="http://schemas.openxmlformats.org/officeDocument/2006/relationships/hyperlink" Target="https://www.wideopenspaces.com/deer-vision-the-science/" TargetMode="External"/><Relationship Id="rId1765" Type="http://schemas.openxmlformats.org/officeDocument/2006/relationships/hyperlink" Target="https://www.wideopenspaces.com/make-poor-mans-deer-feeder/" TargetMode="External"/><Relationship Id="rId74" Type="http://schemas.openxmlformats.org/officeDocument/2006/relationships/hyperlink" Target="https://realtree.com/all/articles/what-deer-really-see" TargetMode="External"/><Relationship Id="rId1766" Type="http://schemas.openxmlformats.org/officeDocument/2006/relationships/hyperlink" Target="https://www.wideopenspaces.com/deer-warts/" TargetMode="External"/><Relationship Id="rId77" Type="http://schemas.openxmlformats.org/officeDocument/2006/relationships/hyperlink" Target="https://www.wideopenspaces.com/7-steps-tanning-deer-hide-easier-think/" TargetMode="External"/><Relationship Id="rId1767" Type="http://schemas.openxmlformats.org/officeDocument/2006/relationships/hyperlink" Target="https://www.wideopenspaces.com/deer-as-pets/" TargetMode="External"/><Relationship Id="rId76" Type="http://schemas.openxmlformats.org/officeDocument/2006/relationships/hyperlink" Target="https://www.themeateater.com/cook/butchering-and-processing/how-to-tan-a-deer-hide" TargetMode="External"/><Relationship Id="rId1768" Type="http://schemas.openxmlformats.org/officeDocument/2006/relationships/hyperlink" Target="https://realtree.com/the-realblog-with-stephanie-mallory/deer-are-jumping-to-their-death-off-pennsylvania-bypass" TargetMode="External"/><Relationship Id="rId79" Type="http://schemas.openxmlformats.org/officeDocument/2006/relationships/hyperlink" Target="https://realtree.com/deer-hunting/articles/the-best-shot-placement-on-deer" TargetMode="External"/><Relationship Id="rId1769" Type="http://schemas.openxmlformats.org/officeDocument/2006/relationships/hyperlink" Target="https://realtree.com/food-plots-and-land-management/articles/how-to-plant-a-deer-orchard" TargetMode="External"/><Relationship Id="rId78" Type="http://schemas.openxmlformats.org/officeDocument/2006/relationships/hyperlink" Target="https://www.themeateater.com/wired-to-hunt/whitetail-hunting/where-to-shoot-a-deer" TargetMode="External"/><Relationship Id="rId71" Type="http://schemas.openxmlformats.org/officeDocument/2006/relationships/hyperlink" Target="https://realtree.com/all/articles/what-deer-really-see" TargetMode="External"/><Relationship Id="rId70" Type="http://schemas.openxmlformats.org/officeDocument/2006/relationships/hyperlink" Target="https://www.themeateater.com/wired-to-hunt/whitetail-hunting/deer-vision-how-whitetails-see-color-light-and-movement" TargetMode="External"/><Relationship Id="rId1760" Type="http://schemas.openxmlformats.org/officeDocument/2006/relationships/hyperlink" Target="https://realtree.com/timber-2-table-articles/5-things-your-deer-processor-hates" TargetMode="External"/><Relationship Id="rId1761" Type="http://schemas.openxmlformats.org/officeDocument/2006/relationships/hyperlink" Target="https://www.wideopenspaces.com/whitetail-deer-diseases/" TargetMode="External"/><Relationship Id="rId1762" Type="http://schemas.openxmlformats.org/officeDocument/2006/relationships/hyperlink" Target="https://realtree.com/deer-hunting/articles/5-traits-of-a-good-blood-trailing-deer-dog" TargetMode="External"/><Relationship Id="rId62" Type="http://schemas.openxmlformats.org/officeDocument/2006/relationships/hyperlink" Target="https://www.wideopenspaces.com/where-to-shoot-a-deer-for-the-best-odds-of-a-quick-kill/" TargetMode="External"/><Relationship Id="rId1312" Type="http://schemas.openxmlformats.org/officeDocument/2006/relationships/hyperlink" Target="https://www.wideopenspaces.com/what-are-the-best-deer-hunting-times-throughout-the-day/" TargetMode="External"/><Relationship Id="rId1796" Type="http://schemas.openxmlformats.org/officeDocument/2006/relationships/hyperlink" Target="https://www.wideopenspaces.com/indiana-shotgun-deer-season/" TargetMode="External"/><Relationship Id="rId61" Type="http://schemas.openxmlformats.org/officeDocument/2006/relationships/hyperlink" Target="https://realtree.com/deer-hunting/articles/the-best-shot-placement-on-deer" TargetMode="External"/><Relationship Id="rId1313" Type="http://schemas.openxmlformats.org/officeDocument/2006/relationships/hyperlink" Target="https://www.themeateater.com/hunt/big-game/why-every-hunter-should-care-about-chronic-wasting-disease" TargetMode="External"/><Relationship Id="rId1797" Type="http://schemas.openxmlformats.org/officeDocument/2006/relationships/hyperlink" Target="https://www.wideopenspaces.com/indiana-hunting-license/" TargetMode="External"/><Relationship Id="rId64" Type="http://schemas.openxmlformats.org/officeDocument/2006/relationships/hyperlink" Target="https://www.wideopenspaces.com/are-deer-actually-color-blind/" TargetMode="External"/><Relationship Id="rId1314" Type="http://schemas.openxmlformats.org/officeDocument/2006/relationships/hyperlink" Target="https://realtree.com/brow-tines-and-backstrap/6-things-hunters-have-to-know-about-chronic-wasting-disease" TargetMode="External"/><Relationship Id="rId1798" Type="http://schemas.openxmlformats.org/officeDocument/2006/relationships/hyperlink" Target="https://realtree.com/brow-tines-and-backstrap/kentucky-proposes-massive-changes-to-deer-hunting-seasons-and-regulations" TargetMode="External"/><Relationship Id="rId63" Type="http://schemas.openxmlformats.org/officeDocument/2006/relationships/hyperlink" Target="https://www.themeateater.com/wired-to-hunt/whitetail-hunting/deer-vision-how-whitetails-see-color-light-and-movement" TargetMode="External"/><Relationship Id="rId1315" Type="http://schemas.openxmlformats.org/officeDocument/2006/relationships/hyperlink" Target="https://www.themeateater.com/wired-to-hunt/whitetail-hunting-gear/new-studies-show-deer-can-duck-nearly-any-arrow" TargetMode="External"/><Relationship Id="rId1799" Type="http://schemas.openxmlformats.org/officeDocument/2006/relationships/hyperlink" Target="https://www.wideopenspaces.com/komodo-dragon-hunts-kills-deer-brutal-footage/" TargetMode="External"/><Relationship Id="rId66" Type="http://schemas.openxmlformats.org/officeDocument/2006/relationships/hyperlink" Target="https://realtree.com/timber-2-table-wild-game-recipes/venison-and-pork-sweet-italian-sausage-links-recipe" TargetMode="External"/><Relationship Id="rId1316" Type="http://schemas.openxmlformats.org/officeDocument/2006/relationships/hyperlink" Target="https://realtree.com/deer-hunting/articles/deer-hunting-a-quest-for-a-drop-tine-buck" TargetMode="External"/><Relationship Id="rId65" Type="http://schemas.openxmlformats.org/officeDocument/2006/relationships/hyperlink" Target="https://www.themeateater.com/cook/recipes/the-only-venison-breakfast-sausage-recipe-you-need" TargetMode="External"/><Relationship Id="rId1317" Type="http://schemas.openxmlformats.org/officeDocument/2006/relationships/hyperlink" Target="https://www.wideopenspaces.com/deer-shed-antlers-pics/" TargetMode="External"/><Relationship Id="rId68" Type="http://schemas.openxmlformats.org/officeDocument/2006/relationships/hyperlink" Target="https://www.themeateater.com/wired-to-hunt/whitetail-hunting/how-to-call-in-bucks-during-each-phase-of-the-season" TargetMode="External"/><Relationship Id="rId1318" Type="http://schemas.openxmlformats.org/officeDocument/2006/relationships/hyperlink" Target="https://www.themeateater.com/hunt/whitetail-deer/video-zombie-deer-with-unbelievable-wound-caught-on-trail-camera" TargetMode="External"/><Relationship Id="rId67" Type="http://schemas.openxmlformats.org/officeDocument/2006/relationships/hyperlink" Target="https://www.wideopenspaces.com/an-easy-and-tasty-way-to-make-venison-sausage/" TargetMode="External"/><Relationship Id="rId1319" Type="http://schemas.openxmlformats.org/officeDocument/2006/relationships/hyperlink" Target="https://realtree.com/the-realblog-with-stephanie-mallory/watch-live-cam-of-maine-deer-pantry" TargetMode="External"/><Relationship Id="rId729" Type="http://schemas.openxmlformats.org/officeDocument/2006/relationships/hyperlink" Target="https://www.themeateater.com/watch/6175620095001/how-to-field-dress-a-deer-with-steven-rinella" TargetMode="External"/><Relationship Id="rId728" Type="http://schemas.openxmlformats.org/officeDocument/2006/relationships/hyperlink" Target="https://www.wideopenspaces.com/whitetailwednesday-25-unique-ideas-for-your-next-whitetail-mount/" TargetMode="External"/><Relationship Id="rId60" Type="http://schemas.openxmlformats.org/officeDocument/2006/relationships/hyperlink" Target="https://www.themeateater.com/wired-to-hunt/whitetail-hunting/where-to-shoot-a-deer" TargetMode="External"/><Relationship Id="rId723" Type="http://schemas.openxmlformats.org/officeDocument/2006/relationships/hyperlink" Target="https://www.themeateater.com/wired-to-hunt/whitetail-hunting/where-to-shoot-a-deer" TargetMode="External"/><Relationship Id="rId722" Type="http://schemas.openxmlformats.org/officeDocument/2006/relationships/hyperlink" Target="https://www.themeateater.com/wired-to-hunt/whitetail-hunting/3-ways-to-get-your-deer-out-of-the-woods" TargetMode="External"/><Relationship Id="rId721" Type="http://schemas.openxmlformats.org/officeDocument/2006/relationships/hyperlink" Target="https://www.wideopenspaces.com/spike-deer-science/" TargetMode="External"/><Relationship Id="rId720" Type="http://schemas.openxmlformats.org/officeDocument/2006/relationships/hyperlink" Target="https://www.themeateater.com/conservation/wildlife-management/why-do-female-deer-sometimes-grow-antlers" TargetMode="External"/><Relationship Id="rId727" Type="http://schemas.openxmlformats.org/officeDocument/2006/relationships/hyperlink" Target="https://realtree.com/brow-tines-and-backstrap/20-crazy-good-deer-mounts-from-the-nwtf-convention" TargetMode="External"/><Relationship Id="rId726" Type="http://schemas.openxmlformats.org/officeDocument/2006/relationships/hyperlink" Target="https://www.themeateater.com/hunt/whitetail-deer/fact-checker-do-outdoor-stores-pay-big-money-for-big-mounts" TargetMode="External"/><Relationship Id="rId725" Type="http://schemas.openxmlformats.org/officeDocument/2006/relationships/hyperlink" Target="https://www.wideopenspaces.com/the-great-deer-anatomy-explainer-and-what-you-need-to-know-as-a-hunter/" TargetMode="External"/><Relationship Id="rId724" Type="http://schemas.openxmlformats.org/officeDocument/2006/relationships/hyperlink" Target="https://realtree.com/deer-hunting/articles/the-best-shot-placement-on-deer" TargetMode="External"/><Relationship Id="rId69" Type="http://schemas.openxmlformats.org/officeDocument/2006/relationships/hyperlink" Target="https://realtree.com/deer-hunting/articles/smack-talk-aggressive-deer-calling-strategies" TargetMode="External"/><Relationship Id="rId1790" Type="http://schemas.openxmlformats.org/officeDocument/2006/relationships/hyperlink" Target="https://realtree.com/deer-hunting/articles/deer-hunting-a-quest-for-a-drop-tine-buck" TargetMode="External"/><Relationship Id="rId1791" Type="http://schemas.openxmlformats.org/officeDocument/2006/relationships/hyperlink" Target="https://www.wideopenspaces.com/whitetailwednesday-check-out-8-of-the-coolest-drop-tine-bucks-ever/" TargetMode="External"/><Relationship Id="rId1792" Type="http://schemas.openxmlformats.org/officeDocument/2006/relationships/hyperlink" Target="https://www.wideopenspaces.com/elevated-hunting-blind/" TargetMode="External"/><Relationship Id="rId1793" Type="http://schemas.openxmlformats.org/officeDocument/2006/relationships/hyperlink" Target="https://www.wideopenspaces.com/whitetail-deer-gestation-period/" TargetMode="External"/><Relationship Id="rId1310" Type="http://schemas.openxmlformats.org/officeDocument/2006/relationships/hyperlink" Target="https://www.themeateater.com/wired-to-hunt/whitetail-hunting/does-temperature-affect-deer-movement" TargetMode="External"/><Relationship Id="rId1794" Type="http://schemas.openxmlformats.org/officeDocument/2006/relationships/hyperlink" Target="https://www.wideopenspaces.com/deer-hunting-in-illinois-does-a-boone-crockett-buck-await/" TargetMode="External"/><Relationship Id="rId1311" Type="http://schemas.openxmlformats.org/officeDocument/2006/relationships/hyperlink" Target="https://realtree.com/deer-hunting/articles/10-best-times-to-deer-hunt" TargetMode="External"/><Relationship Id="rId1795" Type="http://schemas.openxmlformats.org/officeDocument/2006/relationships/hyperlink" Target="https://realtree.com/deer-hunting/articles/10-tips-for-great-deer-pictures" TargetMode="External"/><Relationship Id="rId51" Type="http://schemas.openxmlformats.org/officeDocument/2006/relationships/hyperlink" Target="https://www.themeateater.com/wired-to-hunt/whitetail-hunting-gear/this-cartridge-doesnt-get-enough-love-from-deer-hunters" TargetMode="External"/><Relationship Id="rId1301" Type="http://schemas.openxmlformats.org/officeDocument/2006/relationships/hyperlink" Target="https://realtree.com/brow-tines-and-backstrap/20-crazy-good-deer-mounts-from-the-nwtf-convention" TargetMode="External"/><Relationship Id="rId1785" Type="http://schemas.openxmlformats.org/officeDocument/2006/relationships/hyperlink" Target="https://www.wideopenspaces.com/missouri-deer-hunting-all-to-know-about-this-buck-buck-paradise/" TargetMode="External"/><Relationship Id="rId50" Type="http://schemas.openxmlformats.org/officeDocument/2006/relationships/hyperlink" Target="https://www.wideopenspaces.com/where-to-shoot-a-deer-with-an-arrow/" TargetMode="External"/><Relationship Id="rId1302" Type="http://schemas.openxmlformats.org/officeDocument/2006/relationships/hyperlink" Target="https://www.wideopenspaces.com/whitetailwednesday-25-unique-ideas-for-your-next-whitetail-mount/" TargetMode="External"/><Relationship Id="rId1786" Type="http://schemas.openxmlformats.org/officeDocument/2006/relationships/hyperlink" Target="https://www.wideopenspaces.com/deer-warts/" TargetMode="External"/><Relationship Id="rId53" Type="http://schemas.openxmlformats.org/officeDocument/2006/relationships/hyperlink" Target="https://www.themeateater.com/wired-to-hunt/whitetail-hunting/deer-vision-how-whitetails-see-color-light-and-movement" TargetMode="External"/><Relationship Id="rId1303" Type="http://schemas.openxmlformats.org/officeDocument/2006/relationships/hyperlink" Target="https://www.themeateater.com/wired-to-hunt/whitetail-hunting/how-well-do-deer-hear" TargetMode="External"/><Relationship Id="rId1787" Type="http://schemas.openxmlformats.org/officeDocument/2006/relationships/hyperlink" Target="https://realtree.com/deer-hunting/articles/top-10-pope-young-deer-hunting-states" TargetMode="External"/><Relationship Id="rId52" Type="http://schemas.openxmlformats.org/officeDocument/2006/relationships/hyperlink" Target="https://realtree.com/deer-hunting/articles/the-5-best-bullet-styles-for-deer-hunting" TargetMode="External"/><Relationship Id="rId1304" Type="http://schemas.openxmlformats.org/officeDocument/2006/relationships/hyperlink" Target="https://www.themeateater.com/conservation/wildlife-management/deer-processors-face-91-charges-for-poaching-and-money-laundering" TargetMode="External"/><Relationship Id="rId1788" Type="http://schemas.openxmlformats.org/officeDocument/2006/relationships/hyperlink" Target="https://realtree.com/" TargetMode="External"/><Relationship Id="rId55" Type="http://schemas.openxmlformats.org/officeDocument/2006/relationships/hyperlink" Target="https://www.themeateater.com/wired-to-hunt/whitetail-hunting-gear/this-cartridge-doesnt-get-enough-love-from-deer-hunters" TargetMode="External"/><Relationship Id="rId1305" Type="http://schemas.openxmlformats.org/officeDocument/2006/relationships/hyperlink" Target="https://realtree.com/timber-2-table-articles/5-things-your-deer-processor-hates" TargetMode="External"/><Relationship Id="rId1789" Type="http://schemas.openxmlformats.org/officeDocument/2006/relationships/hyperlink" Target="https://realtree.com/food-plots-and-land-management/articles/food-plot-seed-how-to-plant-sunflowers" TargetMode="External"/><Relationship Id="rId54" Type="http://schemas.openxmlformats.org/officeDocument/2006/relationships/hyperlink" Target="https://realtree.com/deer-hunting/articles/busted-5-things-you-don-t-know-about-deer-senses" TargetMode="External"/><Relationship Id="rId1306" Type="http://schemas.openxmlformats.org/officeDocument/2006/relationships/hyperlink" Target="https://www.themeateater.com/wired-to-hunt/whitetail-management/what-is-killing-americas-fawns" TargetMode="External"/><Relationship Id="rId57" Type="http://schemas.openxmlformats.org/officeDocument/2006/relationships/hyperlink" Target="https://www.themeateater.com/wired-to-hunt/whitetail-hunting/how-to-deal-with-a-gut-shot-deer" TargetMode="External"/><Relationship Id="rId1307" Type="http://schemas.openxmlformats.org/officeDocument/2006/relationships/hyperlink" Target="https://www.themeateater.com/cook/recipes/smoked-venison-jerky-recipe" TargetMode="External"/><Relationship Id="rId56" Type="http://schemas.openxmlformats.org/officeDocument/2006/relationships/hyperlink" Target="https://realtree.com/brow-tines-and-backstrap/why-you-should-use-an-ar-15-as-a-deer-rifle" TargetMode="External"/><Relationship Id="rId1308" Type="http://schemas.openxmlformats.org/officeDocument/2006/relationships/hyperlink" Target="https://realtree.com/timber-2-table-wild-game-recipes/magic-chef-realtree-venison-jerky-recipe" TargetMode="External"/><Relationship Id="rId1309" Type="http://schemas.openxmlformats.org/officeDocument/2006/relationships/hyperlink" Target="https://www.wideopenspaces.com/3-venison-jerky-pointers-worth-setting-to-memory/" TargetMode="External"/><Relationship Id="rId719" Type="http://schemas.openxmlformats.org/officeDocument/2006/relationships/hyperlink" Target="https://www.wideopenspaces.com/heres-a-video-showing-how-much-meat-you-should-expect-from-a-whitetail-deer/" TargetMode="External"/><Relationship Id="rId718" Type="http://schemas.openxmlformats.org/officeDocument/2006/relationships/hyperlink" Target="https://realtree.com/timber-2-table-articles/meat-hunter-s-rules-for-shooting-the-right-deer" TargetMode="External"/><Relationship Id="rId717" Type="http://schemas.openxmlformats.org/officeDocument/2006/relationships/hyperlink" Target="https://www.themeateater.com/cook/butchering-and-processing/how-much-fat-should-you-add-to-ground-venison" TargetMode="External"/><Relationship Id="rId712" Type="http://schemas.openxmlformats.org/officeDocument/2006/relationships/hyperlink" Target="https://realtree.com/turkey-blog-with-steve-hickoff/video-territorial-deer-attack-on-backyard-turkey-flock" TargetMode="External"/><Relationship Id="rId711" Type="http://schemas.openxmlformats.org/officeDocument/2006/relationships/hyperlink" Target="https://www.themeateater.com/watch/6297952570001/video-mountain-lion-peels-bark-to-hide-deer-kill" TargetMode="External"/><Relationship Id="rId710" Type="http://schemas.openxmlformats.org/officeDocument/2006/relationships/hyperlink" Target="https://www.themeateater.com/wired-to-hunt/whitetail-management/how-to-age-a-whitetail-buck-on-the-hoof" TargetMode="External"/><Relationship Id="rId716" Type="http://schemas.openxmlformats.org/officeDocument/2006/relationships/hyperlink" Target="https://realtree.com/deer-hunting/articles/8-major-differences-between-whitetails-and-mule-deer" TargetMode="External"/><Relationship Id="rId715" Type="http://schemas.openxmlformats.org/officeDocument/2006/relationships/hyperlink" Target="https://www.themeateater.com/wired-to-hunt/whitetail-management/whitetails-and-mulies-a-comparison" TargetMode="External"/><Relationship Id="rId714" Type="http://schemas.openxmlformats.org/officeDocument/2006/relationships/hyperlink" Target="https://realtree.com/brow-tines-and-backstrap/10-awesome-venison-recipes-for-deer-hunters" TargetMode="External"/><Relationship Id="rId713" Type="http://schemas.openxmlformats.org/officeDocument/2006/relationships/hyperlink" Target="https://www.themeateater.com/recipes/ingredients/venison" TargetMode="External"/><Relationship Id="rId59" Type="http://schemas.openxmlformats.org/officeDocument/2006/relationships/hyperlink" Target="https://www.wideopenspaces.com/salvage-gut-shot-deer/" TargetMode="External"/><Relationship Id="rId58" Type="http://schemas.openxmlformats.org/officeDocument/2006/relationships/hyperlink" Target="https://realtree.com/brow-tines-and-backstrap/it-s-hot-you-shot-a-deer-now-what" TargetMode="External"/><Relationship Id="rId1780" Type="http://schemas.openxmlformats.org/officeDocument/2006/relationships/hyperlink" Target="https://realtree.com/brow-tines-and-backstrap/2022-midwest-deer-hunting-forecast" TargetMode="External"/><Relationship Id="rId1781" Type="http://schemas.openxmlformats.org/officeDocument/2006/relationships/hyperlink" Target="https://realtree.com/brow-tines-and-backstrap/2022-southeast-deer-hunting-forecast" TargetMode="External"/><Relationship Id="rId1782" Type="http://schemas.openxmlformats.org/officeDocument/2006/relationships/hyperlink" Target="https://realtree.com/brow-tines-and-backstrap/2022-southeast-deer-hunting-forecast" TargetMode="External"/><Relationship Id="rId1783" Type="http://schemas.openxmlformats.org/officeDocument/2006/relationships/hyperlink" Target="https://realtree.com/deer-hunting/articles/10-things-you-didn-t-know-about-velvet-bucks" TargetMode="External"/><Relationship Id="rId1300" Type="http://schemas.openxmlformats.org/officeDocument/2006/relationships/hyperlink" Target="https://www.themeateater.com/hunt/whitetail-deer/fact-checker-do-outdoor-stores-pay-big-money-for-big-mounts" TargetMode="External"/><Relationship Id="rId1784" Type="http://schemas.openxmlformats.org/officeDocument/2006/relationships/hyperlink" Target="https://www.wideopenspaces.com/10-awesome-photos-of-deer-shedding-their-velvet-pics/" TargetMode="External"/><Relationship Id="rId349" Type="http://schemas.openxmlformats.org/officeDocument/2006/relationships/hyperlink" Target="https://www.themeateater.com/cook/cooking-techniques/5-venison-cuts-you-need-to-know" TargetMode="External"/><Relationship Id="rId348" Type="http://schemas.openxmlformats.org/officeDocument/2006/relationships/hyperlink" Target="https://www.wideopenspaces.com/how-to-find-and-aim-for-deer-vitals/" TargetMode="External"/><Relationship Id="rId347" Type="http://schemas.openxmlformats.org/officeDocument/2006/relationships/hyperlink" Target="https://realtree.com/deer-hunting/articles/the-best-shot-placement-on-deer" TargetMode="External"/><Relationship Id="rId346" Type="http://schemas.openxmlformats.org/officeDocument/2006/relationships/hyperlink" Target="https://www.themeateater.com/wired-to-hunt/whitetail-hunting/where-to-shoot-a-deer" TargetMode="External"/><Relationship Id="rId341" Type="http://schemas.openxmlformats.org/officeDocument/2006/relationships/hyperlink" Target="https://www.wideopenspaces.com/where-to-shoot-a-deer-for-the-best-odds-of-a-quick-kill/" TargetMode="External"/><Relationship Id="rId340" Type="http://schemas.openxmlformats.org/officeDocument/2006/relationships/hyperlink" Target="https://realtree.com/deer-hunting/articles/the-best-shot-placement-on-deer" TargetMode="External"/><Relationship Id="rId345" Type="http://schemas.openxmlformats.org/officeDocument/2006/relationships/hyperlink" Target="https://www.wideopenspaces.com/best-deer-hunting-rifles/" TargetMode="External"/><Relationship Id="rId344" Type="http://schemas.openxmlformats.org/officeDocument/2006/relationships/hyperlink" Target="https://www.themeateater.com/hunt/firearm-hunting/the-5-guns-every-hunter-should-own" TargetMode="External"/><Relationship Id="rId343" Type="http://schemas.openxmlformats.org/officeDocument/2006/relationships/hyperlink" Target="https://realtree.com/deer-hunting/articles/the-best-times-to-deer-hunt-in-2022" TargetMode="External"/><Relationship Id="rId342" Type="http://schemas.openxmlformats.org/officeDocument/2006/relationships/hyperlink" Target="https://www.themeateater.com/wired-to-hunt/whitetail-hunting/rut-fresh-report-10-27-2022" TargetMode="External"/><Relationship Id="rId338" Type="http://schemas.openxmlformats.org/officeDocument/2006/relationships/hyperlink" Target="https://www.wideopenspaces.com/how-to-do-a-european-mount-in-4-easy-steps/" TargetMode="External"/><Relationship Id="rId337" Type="http://schemas.openxmlformats.org/officeDocument/2006/relationships/hyperlink" Target="https://www.themeateater.com/hunt/general/ask-meateater-how-do-you-make-a-skull-mount" TargetMode="External"/><Relationship Id="rId336" Type="http://schemas.openxmlformats.org/officeDocument/2006/relationships/hyperlink" Target="https://www.wideopenspaces.com/what-do-deer-eat/" TargetMode="External"/><Relationship Id="rId335" Type="http://schemas.openxmlformats.org/officeDocument/2006/relationships/hyperlink" Target="https://www.themeateater.com/wired-to-hunt/whitetail-management/10-natural-food-sources-every-deer-hunter-should-know" TargetMode="External"/><Relationship Id="rId339" Type="http://schemas.openxmlformats.org/officeDocument/2006/relationships/hyperlink" Target="https://www.themeateater.com/wired-to-hunt/whitetail-hunting/where-to-shoot-a-deer" TargetMode="External"/><Relationship Id="rId330" Type="http://schemas.openxmlformats.org/officeDocument/2006/relationships/hyperlink" Target="https://www.themeateater.com/wired-to-hunt/whitetail-hunting/where-to-shoot-a-deer" TargetMode="External"/><Relationship Id="rId334" Type="http://schemas.openxmlformats.org/officeDocument/2006/relationships/hyperlink" Target="https://www.wideopenspaces.com/rare-video-shows-deer-eating-a-snake/" TargetMode="External"/><Relationship Id="rId333" Type="http://schemas.openxmlformats.org/officeDocument/2006/relationships/hyperlink" Target="https://store.themeateater.com/products/national-deer-association-donation.html?lang=en_US" TargetMode="External"/><Relationship Id="rId332" Type="http://schemas.openxmlformats.org/officeDocument/2006/relationships/hyperlink" Target="https://www.wideopenspaces.com/how-to-find-and-aim-for-deer-vitals/" TargetMode="External"/><Relationship Id="rId331" Type="http://schemas.openxmlformats.org/officeDocument/2006/relationships/hyperlink" Target="https://realtree.com/deer-hunting/articles/the-best-shot-placement-on-deer" TargetMode="External"/><Relationship Id="rId370" Type="http://schemas.openxmlformats.org/officeDocument/2006/relationships/hyperlink" Target="https://www.themeateater.com/watch/6222000778001/s4-e12-big-buck-dreams-mule-deer-special" TargetMode="External"/><Relationship Id="rId369" Type="http://schemas.openxmlformats.org/officeDocument/2006/relationships/hyperlink" Target="https://www.wideopenspaces.com/you-actually-dont-have-to-know-how-to-butcher-a-deer-completely/" TargetMode="External"/><Relationship Id="rId368" Type="http://schemas.openxmlformats.org/officeDocument/2006/relationships/hyperlink" Target="https://realtree.com/timber-2-table-articles/5-reasons-to-butcher-your-own-deer-this-season" TargetMode="External"/><Relationship Id="rId363" Type="http://schemas.openxmlformats.org/officeDocument/2006/relationships/hyperlink" Target="https://www.themeateater.com/cook/cooking-techniques/5-venison-cuts-you-need-to-know" TargetMode="External"/><Relationship Id="rId362" Type="http://schemas.openxmlformats.org/officeDocument/2006/relationships/hyperlink" Target="https://www.wideopenspaces.com/5-biggest-whitetail-bucks-ever-found-dead/" TargetMode="External"/><Relationship Id="rId361" Type="http://schemas.openxmlformats.org/officeDocument/2006/relationships/hyperlink" Target="https://realtree.com/deer-hunting/articles/heads-of-state-all-about-state-record-bucks" TargetMode="External"/><Relationship Id="rId360" Type="http://schemas.openxmlformats.org/officeDocument/2006/relationships/hyperlink" Target="https://www.themeateater.com/hunt/whitetail-deer/is-this-50-point-whitetail-the-new-world-record" TargetMode="External"/><Relationship Id="rId367" Type="http://schemas.openxmlformats.org/officeDocument/2006/relationships/hyperlink" Target="https://www.themeateater.com/watch/6185211248001/how-to-butcher-a-deer-with-steven-rinella" TargetMode="External"/><Relationship Id="rId366" Type="http://schemas.openxmlformats.org/officeDocument/2006/relationships/hyperlink" Target="https://www.wideopenspaces.com/check-illustrated-deer-meat-guide/" TargetMode="External"/><Relationship Id="rId365" Type="http://schemas.openxmlformats.org/officeDocument/2006/relationships/hyperlink" Target="https://www.themeateater.com/cook/cooking-techniques/5-venison-cuts-you-need-to-know" TargetMode="External"/><Relationship Id="rId364" Type="http://schemas.openxmlformats.org/officeDocument/2006/relationships/hyperlink" Target="https://www.themeateater.com/watch/6171359676001/how-to-cut-venison-steaks-with-ryan-callaghan" TargetMode="External"/><Relationship Id="rId95" Type="http://schemas.openxmlformats.org/officeDocument/2006/relationships/hyperlink" Target="https://www.wideopenspaces.com/best-broadheads-whitetail-deer/" TargetMode="External"/><Relationship Id="rId94" Type="http://schemas.openxmlformats.org/officeDocument/2006/relationships/hyperlink" Target="https://realtree.com/bowhunting/articles/choosing-the-best-broadheads-for-specific-game" TargetMode="External"/><Relationship Id="rId97" Type="http://schemas.openxmlformats.org/officeDocument/2006/relationships/hyperlink" Target="https://realtree.com/timber-2-table-wild-game-recipes/how-to-skin-a-deer-in-6-steps" TargetMode="External"/><Relationship Id="rId96" Type="http://schemas.openxmlformats.org/officeDocument/2006/relationships/hyperlink" Target="https://www.themeateater.com/hunt/big-game/how-to-hang-and-skin-a-deer-in-the-field" TargetMode="External"/><Relationship Id="rId99" Type="http://schemas.openxmlformats.org/officeDocument/2006/relationships/hyperlink" Target="https://realtree.com/brow-tines-and-backstrap/15-places-big-bucks-bed-that-deer-hunters-should-hunt" TargetMode="External"/><Relationship Id="rId98" Type="http://schemas.openxmlformats.org/officeDocument/2006/relationships/hyperlink" Target="https://www.themeateater.com/wired-to-hunt/whitetail-scouting/where-do-deer-sleep" TargetMode="External"/><Relationship Id="rId91" Type="http://schemas.openxmlformats.org/officeDocument/2006/relationships/hyperlink" Target="https://www.themeateater.com/wired-to-hunt/whitetail-hunting/how-to-call-in-bucks-during-each-phase-of-the-season" TargetMode="External"/><Relationship Id="rId90" Type="http://schemas.openxmlformats.org/officeDocument/2006/relationships/hyperlink" Target="https://www.wideopenspaces.com/where-to-shoot-a-deer-for-the-best-odds-of-a-quick-kill/" TargetMode="External"/><Relationship Id="rId93" Type="http://schemas.openxmlformats.org/officeDocument/2006/relationships/hyperlink" Target="https://www.themeateater.com/gear/general/best-hunting-broadheads" TargetMode="External"/><Relationship Id="rId92" Type="http://schemas.openxmlformats.org/officeDocument/2006/relationships/hyperlink" Target="https://realtree.com/deer-hunting/articles/smack-talk-aggressive-deer-calling-strategies" TargetMode="External"/><Relationship Id="rId359" Type="http://schemas.openxmlformats.org/officeDocument/2006/relationships/hyperlink" Target="https://realtree.com/deer-hunting/articles/the-best-shot-placement-on-deer" TargetMode="External"/><Relationship Id="rId358" Type="http://schemas.openxmlformats.org/officeDocument/2006/relationships/hyperlink" Target="https://www.themeateater.com/wired-to-hunt/whitetail-hunting/where-to-shoot-a-deer" TargetMode="External"/><Relationship Id="rId357" Type="http://schemas.openxmlformats.org/officeDocument/2006/relationships/hyperlink" Target="https://realtree.com/brow-tines-and-backstrap/declutter-your-old-hunting-gear" TargetMode="External"/><Relationship Id="rId352" Type="http://schemas.openxmlformats.org/officeDocument/2006/relationships/hyperlink" Target="https://realtree.com/deer-hunting/articles/the-best-shot-placement-on-deer" TargetMode="External"/><Relationship Id="rId351" Type="http://schemas.openxmlformats.org/officeDocument/2006/relationships/hyperlink" Target="https://www.themeateater.com/wired-to-hunt/whitetail-hunting/where-to-shoot-a-deer" TargetMode="External"/><Relationship Id="rId350" Type="http://schemas.openxmlformats.org/officeDocument/2006/relationships/hyperlink" Target="https://www.wideopenspaces.com/check-illustrated-deer-meat-guide/" TargetMode="External"/><Relationship Id="rId356" Type="http://schemas.openxmlformats.org/officeDocument/2006/relationships/hyperlink" Target="https://www.themeateater.com/wired-to-hunt/whitetail-hunting-gear/hunting-gear-that-will-actually-help-you-kill-more-bucks" TargetMode="External"/><Relationship Id="rId355" Type="http://schemas.openxmlformats.org/officeDocument/2006/relationships/hyperlink" Target="https://realtree.com/brow-tines-and-backstrap/20-knowledgeable-deer-hunters-you-should-follow-on-social-media-0" TargetMode="External"/><Relationship Id="rId354" Type="http://schemas.openxmlformats.org/officeDocument/2006/relationships/hyperlink" Target="https://www.themeateater.com/hunt/general/which-states-produce-the-best-deer-hunters" TargetMode="External"/><Relationship Id="rId353" Type="http://schemas.openxmlformats.org/officeDocument/2006/relationships/hyperlink" Target="https://www.wideopenspaces.com/how-to-find-and-aim-for-deer-vitals/" TargetMode="External"/><Relationship Id="rId1378" Type="http://schemas.openxmlformats.org/officeDocument/2006/relationships/hyperlink" Target="https://www.wideopenspaces.com/best-way-to-make-venison-jerky/" TargetMode="External"/><Relationship Id="rId1379" Type="http://schemas.openxmlformats.org/officeDocument/2006/relationships/hyperlink" Target="https://www.themeateater.com/wired-to-hunt/whitetail-scouting/the-buck-that-never-shed-its-antlers" TargetMode="External"/><Relationship Id="rId305" Type="http://schemas.openxmlformats.org/officeDocument/2006/relationships/hyperlink" Target="https://realtree.com/brow-tines-and-backstrap/8-bedding-habits-of-mature-deer" TargetMode="External"/><Relationship Id="rId789" Type="http://schemas.openxmlformats.org/officeDocument/2006/relationships/hyperlink" Target="https://www.wideopenspaces.com/the-best-crock-pot-venison-pot-roast-recipe-ever/" TargetMode="External"/><Relationship Id="rId304" Type="http://schemas.openxmlformats.org/officeDocument/2006/relationships/hyperlink" Target="https://www.themeateater.com/wired-to-hunt/whitetail-scouting/where-do-deer-sleep" TargetMode="External"/><Relationship Id="rId788" Type="http://schemas.openxmlformats.org/officeDocument/2006/relationships/hyperlink" Target="https://realtree.com/timber-2-table-wild-game-recipes/slow-cooker-venison-stroganoff" TargetMode="External"/><Relationship Id="rId303" Type="http://schemas.openxmlformats.org/officeDocument/2006/relationships/hyperlink" Target="https://www.wideopenspaces.com/10-deer-hunting-videos-get-primed-season-opener/" TargetMode="External"/><Relationship Id="rId787" Type="http://schemas.openxmlformats.org/officeDocument/2006/relationships/hyperlink" Target="https://www.themeateater.com/recipes/techniques/slow-cooking" TargetMode="External"/><Relationship Id="rId302" Type="http://schemas.openxmlformats.org/officeDocument/2006/relationships/hyperlink" Target="https://www.themeateater.com/watch/6303966877001/ozark-whitetail-bowhunting" TargetMode="External"/><Relationship Id="rId786" Type="http://schemas.openxmlformats.org/officeDocument/2006/relationships/hyperlink" Target="https://realtree.com/brow-tines-and-backstrap/alabama-s-mysterious-big-nose-deer" TargetMode="External"/><Relationship Id="rId309" Type="http://schemas.openxmlformats.org/officeDocument/2006/relationships/hyperlink" Target="https://www.themeateater.com/wired-to-hunt/whitetail-hunting-gear/5-best-whitetail-cartridges" TargetMode="External"/><Relationship Id="rId308" Type="http://schemas.openxmlformats.org/officeDocument/2006/relationships/hyperlink" Target="https://www.wideopenspaces.com/how-to-score-a-deer-measuring-your-trophy-step-by-step/" TargetMode="External"/><Relationship Id="rId307" Type="http://schemas.openxmlformats.org/officeDocument/2006/relationships/hyperlink" Target="https://www.themeateater.com/wired-to-hunt/whitetail-management/video-how-to-score-a-whitetail-buck" TargetMode="External"/><Relationship Id="rId306" Type="http://schemas.openxmlformats.org/officeDocument/2006/relationships/hyperlink" Target="https://www.wideopenspaces.com/where-do-deer-sleep/" TargetMode="External"/><Relationship Id="rId781" Type="http://schemas.openxmlformats.org/officeDocument/2006/relationships/hyperlink" Target="https://www.wideopenspaces.com/deer-sounds-making-sense-of-the-sounds-of-the-deer-woods/" TargetMode="External"/><Relationship Id="rId1370" Type="http://schemas.openxmlformats.org/officeDocument/2006/relationships/hyperlink" Target="https://realtree.com/brow-tines-and-backstrap/why-bucks-shed-antlers-and-how-to-hunt-them" TargetMode="External"/><Relationship Id="rId780" Type="http://schemas.openxmlformats.org/officeDocument/2006/relationships/hyperlink" Target="https://realtree.com/deer-hunting/articles/can-you-talk-deer" TargetMode="External"/><Relationship Id="rId1371" Type="http://schemas.openxmlformats.org/officeDocument/2006/relationships/hyperlink" Target="https://www.wideopenspaces.com/deer-shed-antlers-pics/" TargetMode="External"/><Relationship Id="rId1372" Type="http://schemas.openxmlformats.org/officeDocument/2006/relationships/hyperlink" Target="https://www.themeateater.com/hunt/big-game/ask-meateater-will-you-shoot-at-running-game" TargetMode="External"/><Relationship Id="rId1373" Type="http://schemas.openxmlformats.org/officeDocument/2006/relationships/hyperlink" Target="https://www.themeateater.com/hunt/whitetail-deer/photos-how-to-build-a-deer-blind-from-pallets" TargetMode="External"/><Relationship Id="rId301" Type="http://schemas.openxmlformats.org/officeDocument/2006/relationships/hyperlink" Target="https://www.wideopenspaces.com/venison-cuts-ranked/" TargetMode="External"/><Relationship Id="rId785" Type="http://schemas.openxmlformats.org/officeDocument/2006/relationships/hyperlink" Target="https://www.themeateater.com/wired-to-hunt/whitetail-hunting/unmeasured-power-how-well-can-deer-smell" TargetMode="External"/><Relationship Id="rId1374" Type="http://schemas.openxmlformats.org/officeDocument/2006/relationships/hyperlink" Target="https://www.wideopenspaces.com/elevated-hunting-blind/" TargetMode="External"/><Relationship Id="rId300" Type="http://schemas.openxmlformats.org/officeDocument/2006/relationships/hyperlink" Target="https://www.themeateater.com/cook/cooking-techniques/5-venison-cuts-you-need-to-know" TargetMode="External"/><Relationship Id="rId784" Type="http://schemas.openxmlformats.org/officeDocument/2006/relationships/hyperlink" Target="https://realtree.com/deer-hunting/articles/10-rules-for-deer-camp" TargetMode="External"/><Relationship Id="rId1375" Type="http://schemas.openxmlformats.org/officeDocument/2006/relationships/hyperlink" Target="https://www.themeateater.com/wired-to-hunt/whitetail-scouting/how-to-identify-a-big-buck-track-in-snow" TargetMode="External"/><Relationship Id="rId783" Type="http://schemas.openxmlformats.org/officeDocument/2006/relationships/hyperlink" Target="https://www.themeateater.com/hunt/big-game/ask-wired-to-hunt-how-do-i-find-a-hunting-lease" TargetMode="External"/><Relationship Id="rId1376" Type="http://schemas.openxmlformats.org/officeDocument/2006/relationships/hyperlink" Target="https://www.themeateater.com/cook/recipes/chipotle-cherry-goose-jerky-recipe" TargetMode="External"/><Relationship Id="rId782" Type="http://schemas.openxmlformats.org/officeDocument/2006/relationships/hyperlink" Target="https://www.themeateater.com/cook/butchering-and-processing/how-to-tan-a-deer-hide" TargetMode="External"/><Relationship Id="rId1377" Type="http://schemas.openxmlformats.org/officeDocument/2006/relationships/hyperlink" Target="https://realtree.com/timber-2-table-wild-game-recipes/sliced-jerky-vs-ground-which-is-best" TargetMode="External"/><Relationship Id="rId1367" Type="http://schemas.openxmlformats.org/officeDocument/2006/relationships/hyperlink" Target="https://www.themeateater.com/wired-to-hunt/whitetail-hunting/where-to-shoot-a-deer" TargetMode="External"/><Relationship Id="rId1368" Type="http://schemas.openxmlformats.org/officeDocument/2006/relationships/hyperlink" Target="https://realtree.com/deer-hunting/articles/the-best-shot-placement-on-deer" TargetMode="External"/><Relationship Id="rId1369" Type="http://schemas.openxmlformats.org/officeDocument/2006/relationships/hyperlink" Target="https://www.themeateater.com/wired-to-hunt/whitetail-scouting/the-buck-that-never-shed-its-antlers" TargetMode="External"/><Relationship Id="rId778" Type="http://schemas.openxmlformats.org/officeDocument/2006/relationships/hyperlink" Target="https://www.wideopenspaces.com/top-6-venison-tenderloin-recipes/" TargetMode="External"/><Relationship Id="rId777" Type="http://schemas.openxmlformats.org/officeDocument/2006/relationships/hyperlink" Target="https://realtree.com/timber-2-table-wild-game-recipes/bourbon-buttermilk-fried-deer-tenderloin" TargetMode="External"/><Relationship Id="rId776" Type="http://schemas.openxmlformats.org/officeDocument/2006/relationships/hyperlink" Target="https://www.themeateater.com/watch/6175573952001/how-to-cook-venison-loin-in-the-field" TargetMode="External"/><Relationship Id="rId775" Type="http://schemas.openxmlformats.org/officeDocument/2006/relationships/hyperlink" Target="https://realtree.com/timber-2-table-wild-game-recipes/stovetop-venison-roast" TargetMode="External"/><Relationship Id="rId779" Type="http://schemas.openxmlformats.org/officeDocument/2006/relationships/hyperlink" Target="https://www.themeateater.com/hunt/whitetail-deer/video-rutting-buck-makes-crazy-vocalizations" TargetMode="External"/><Relationship Id="rId770" Type="http://schemas.openxmlformats.org/officeDocument/2006/relationships/hyperlink" Target="https://www.themeateater.com/wired-to-hunt/whitetail-hunting/rut-fresh-report-11-17-2022" TargetMode="External"/><Relationship Id="rId1360" Type="http://schemas.openxmlformats.org/officeDocument/2006/relationships/hyperlink" Target="https://www.wideopenspaces.com/deer-sounds-making-sense-of-the-sounds-of-the-deer-woods/" TargetMode="External"/><Relationship Id="rId1361" Type="http://schemas.openxmlformats.org/officeDocument/2006/relationships/hyperlink" Target="https://www.themeateater.com/wired-to-hunt/whitetail-management/whitetails-and-mulies-a-comparison" TargetMode="External"/><Relationship Id="rId1362" Type="http://schemas.openxmlformats.org/officeDocument/2006/relationships/hyperlink" Target="https://www.themeateater.com/hunt/big-game/ask-meateater-where-should-i-go-on-my-first-mule-deer-hunt" TargetMode="External"/><Relationship Id="rId774" Type="http://schemas.openxmlformats.org/officeDocument/2006/relationships/hyperlink" Target="https://www.themeateater.com/cook/recipes/shredded-venison-roast" TargetMode="External"/><Relationship Id="rId1363" Type="http://schemas.openxmlformats.org/officeDocument/2006/relationships/hyperlink" Target="https://www.themeateater.com/listen/the-element/e288-texas-summer-axis-deer-hunting-axis-rut-south" TargetMode="External"/><Relationship Id="rId773" Type="http://schemas.openxmlformats.org/officeDocument/2006/relationships/hyperlink" Target="https://realtree.com/big-game-hunting/articles/plan-your-public-mule-deer-hunt-now" TargetMode="External"/><Relationship Id="rId1364" Type="http://schemas.openxmlformats.org/officeDocument/2006/relationships/hyperlink" Target="https://www.themeateater.com/hunt/firearm-hunting/should-your-next-deer-rifle-be-an-ar-15" TargetMode="External"/><Relationship Id="rId772" Type="http://schemas.openxmlformats.org/officeDocument/2006/relationships/hyperlink" Target="https://www.themeateater.com/hunt/big-game/ask-meateater-where-should-i-go-on-my-first-mule-deer-hunt" TargetMode="External"/><Relationship Id="rId1365" Type="http://schemas.openxmlformats.org/officeDocument/2006/relationships/hyperlink" Target="https://realtree.com/brow-tines-and-backstrap/why-you-should-use-an-ar-15-as-a-deer-rifle" TargetMode="External"/><Relationship Id="rId771" Type="http://schemas.openxmlformats.org/officeDocument/2006/relationships/hyperlink" Target="https://realtree.com/deer-hunting/articles/how-to-hunt-the-phases-of-the-rut" TargetMode="External"/><Relationship Id="rId1366" Type="http://schemas.openxmlformats.org/officeDocument/2006/relationships/hyperlink" Target="https://www.themeateater.com/hunt/big-game/ask-wired-to-hunt-how-do-i-find-a-hunting-lease" TargetMode="External"/><Relationship Id="rId327" Type="http://schemas.openxmlformats.org/officeDocument/2006/relationships/hyperlink" Target="https://www.themeateater.com/watch/list/1670860111805882434%20" TargetMode="External"/><Relationship Id="rId326" Type="http://schemas.openxmlformats.org/officeDocument/2006/relationships/hyperlink" Target="https://www.wideopenspaces.com/best-deer-hunting-rifles/" TargetMode="External"/><Relationship Id="rId325" Type="http://schemas.openxmlformats.org/officeDocument/2006/relationships/hyperlink" Target="https://www.themeateater.com/hunt/firearm-hunting/5-best-rifles-for-new-hunters" TargetMode="External"/><Relationship Id="rId324" Type="http://schemas.openxmlformats.org/officeDocument/2006/relationships/hyperlink" Target="https://www.wideopenspaces.com/best-deer-hunting-caliber-for-women/" TargetMode="External"/><Relationship Id="rId329" Type="http://schemas.openxmlformats.org/officeDocument/2006/relationships/hyperlink" Target="https://www.wideopenspaces.com/you-actually-dont-have-to-know-how-to-butcher-a-deer-completely/" TargetMode="External"/><Relationship Id="rId1390" Type="http://schemas.openxmlformats.org/officeDocument/2006/relationships/hyperlink" Target="https://realtree.com/timber-2-table-wild-game-recipes/magic-chef-realtree-venison-jerky-recipe" TargetMode="External"/><Relationship Id="rId328" Type="http://schemas.openxmlformats.org/officeDocument/2006/relationships/hyperlink" Target="https://realtree.com/timber-2-table-articles/5-reasons-to-butcher-your-own-deer-this-season" TargetMode="External"/><Relationship Id="rId1391" Type="http://schemas.openxmlformats.org/officeDocument/2006/relationships/hyperlink" Target="https://www.wideopenspaces.com/venison-jerky-recipes/" TargetMode="External"/><Relationship Id="rId1392" Type="http://schemas.openxmlformats.org/officeDocument/2006/relationships/hyperlink" Target="https://www.themeateater.com/conservation/anthropology/is-this-the-oldest-duck-call-in-the-world" TargetMode="External"/><Relationship Id="rId1393" Type="http://schemas.openxmlformats.org/officeDocument/2006/relationships/hyperlink" Target="https://www.themeateater.com/wired-to-hunt/whitetail-hunting/rut-fresh-report-11-17-2022" TargetMode="External"/><Relationship Id="rId1394" Type="http://schemas.openxmlformats.org/officeDocument/2006/relationships/hyperlink" Target="https://realtree.com/deer-hunting/articles/how-to-hunt-the-phases-of-the-rut" TargetMode="External"/><Relationship Id="rId1395" Type="http://schemas.openxmlformats.org/officeDocument/2006/relationships/hyperlink" Target="https://www.themeateater.com/cook/cooking-techniques/stop-using-the-word-gamey" TargetMode="External"/><Relationship Id="rId323" Type="http://schemas.openxmlformats.org/officeDocument/2006/relationships/hyperlink" Target="https://realtree.com/deer-hunting/articles/the-5-best-bullet-styles-for-deer-hunting" TargetMode="External"/><Relationship Id="rId1396" Type="http://schemas.openxmlformats.org/officeDocument/2006/relationships/hyperlink" Target="https://realtree.com/deer-hunting/articles/12-reasons-why-your-venison-tastes-like-hell" TargetMode="External"/><Relationship Id="rId322" Type="http://schemas.openxmlformats.org/officeDocument/2006/relationships/hyperlink" Target="https://www.themeateater.com/wired-to-hunt/whitetail-hunting-gear/5-best-whitetail-cartridges" TargetMode="External"/><Relationship Id="rId1397" Type="http://schemas.openxmlformats.org/officeDocument/2006/relationships/hyperlink" Target="https://www.wideopenspaces.com/the-4-most-effective-ways-to-get-rid-of-the-gamey-taste-in-wild-meat/" TargetMode="External"/><Relationship Id="rId321" Type="http://schemas.openxmlformats.org/officeDocument/2006/relationships/hyperlink" Target="https://www.wideopenspaces.com/deer-sounds-making-sense-of-the-sounds-of-the-deer-woods/" TargetMode="External"/><Relationship Id="rId1398" Type="http://schemas.openxmlformats.org/officeDocument/2006/relationships/hyperlink" Target="https://www.themeateater.com/wired-to-hunt/whitetail-management/what-the-cwd-bill-means-for-deer-and-deer-hunters" TargetMode="External"/><Relationship Id="rId320" Type="http://schemas.openxmlformats.org/officeDocument/2006/relationships/hyperlink" Target="https://realtree.com/deer-hunting/articles/smack-talk-aggressive-deer-calling-strategies" TargetMode="External"/><Relationship Id="rId1399" Type="http://schemas.openxmlformats.org/officeDocument/2006/relationships/hyperlink" Target="https://www.themeateater.com/conservation/policy-and-legislation/virginia-finally-ends-sunday-hunting-ban" TargetMode="External"/><Relationship Id="rId1389" Type="http://schemas.openxmlformats.org/officeDocument/2006/relationships/hyperlink" Target="https://www.themeateater.com/cook/recipes/smoked-venison-jerky-recipe" TargetMode="External"/><Relationship Id="rId316" Type="http://schemas.openxmlformats.org/officeDocument/2006/relationships/hyperlink" Target="https://www.themeateater.com/hunt/general/ask-meateater-how-do-you-make-a-skull-mount" TargetMode="External"/><Relationship Id="rId315" Type="http://schemas.openxmlformats.org/officeDocument/2006/relationships/hyperlink" Target="https://www.wideopenspaces.com/you-actually-dont-have-to-know-how-to-butcher-a-deer-completely/" TargetMode="External"/><Relationship Id="rId799" Type="http://schemas.openxmlformats.org/officeDocument/2006/relationships/hyperlink" Target="https://realtree.com/brow-tines-and-backstrap/7-different-deer-taxidermy-options-and-their-costs" TargetMode="External"/><Relationship Id="rId314" Type="http://schemas.openxmlformats.org/officeDocument/2006/relationships/hyperlink" Target="https://realtree.com/timber-2-table-articles/5-reasons-to-butcher-your-own-deer-this-season" TargetMode="External"/><Relationship Id="rId798" Type="http://schemas.openxmlformats.org/officeDocument/2006/relationships/hyperlink" Target="https://www.themeateater.com/hunt/general/ask-meateater-how-do-you-make-a-skull-mount" TargetMode="External"/><Relationship Id="rId313" Type="http://schemas.openxmlformats.org/officeDocument/2006/relationships/hyperlink" Target="https://www.themeateater.com/watch/list/1670860111805882434%20" TargetMode="External"/><Relationship Id="rId797" Type="http://schemas.openxmlformats.org/officeDocument/2006/relationships/hyperlink" Target="https://www.themeateater.com/hunt/big-game/ask-meateater-where-should-i-go-on-my-first-mule-deer-hunt" TargetMode="External"/><Relationship Id="rId319" Type="http://schemas.openxmlformats.org/officeDocument/2006/relationships/hyperlink" Target="https://www.themeateater.com/wired-to-hunt/whitetail-hunting/3-grunt-call-vocalizations-every-whitetail-hunter-should-know" TargetMode="External"/><Relationship Id="rId318" Type="http://schemas.openxmlformats.org/officeDocument/2006/relationships/hyperlink" Target="https://www.themeateater.com/watch/6302418210001/s1-e43-the-pros-and-cons-of-tree-saddles-for-deer-hunting-or-saddle-hunting-costs-benefits-techniques" TargetMode="External"/><Relationship Id="rId317" Type="http://schemas.openxmlformats.org/officeDocument/2006/relationships/hyperlink" Target="https://www.wideopenspaces.com/how-to-do-a-european-mount-in-4-easy-steps/" TargetMode="External"/><Relationship Id="rId1380" Type="http://schemas.openxmlformats.org/officeDocument/2006/relationships/hyperlink" Target="https://realtree.com/brow-tines-and-backstrap/why-bucks-shed-antlers-and-how-to-hunt-them" TargetMode="External"/><Relationship Id="rId792" Type="http://schemas.openxmlformats.org/officeDocument/2006/relationships/hyperlink" Target="https://www.themeateater.com/hunt/whitetail-deer/fact-checker-do-outdoor-stores-pay-big-money-for-big-mounts" TargetMode="External"/><Relationship Id="rId1381" Type="http://schemas.openxmlformats.org/officeDocument/2006/relationships/hyperlink" Target="https://www.wideopenspaces.com/deer-shed-antlers-pics/" TargetMode="External"/><Relationship Id="rId791" Type="http://schemas.openxmlformats.org/officeDocument/2006/relationships/hyperlink" Target="https://www.wideopenspaces.com/whitetailwednesday-25-unique-ideas-for-your-next-whitetail-mount/" TargetMode="External"/><Relationship Id="rId1382" Type="http://schemas.openxmlformats.org/officeDocument/2006/relationships/hyperlink" Target="https://www.themeateater.com/wired-to-hunt/whitetail-management/whitetails-and-mulies-a-comparison" TargetMode="External"/><Relationship Id="rId790" Type="http://schemas.openxmlformats.org/officeDocument/2006/relationships/hyperlink" Target="https://www.themeateater.com/hunt/general/ask-meateater-how-do-you-make-a-skull-mount" TargetMode="External"/><Relationship Id="rId1383" Type="http://schemas.openxmlformats.org/officeDocument/2006/relationships/hyperlink" Target="https://www.themeateater.com/hunt/elk/4-ways-elk-hunting-is-not-deer-hunting" TargetMode="External"/><Relationship Id="rId1384" Type="http://schemas.openxmlformats.org/officeDocument/2006/relationships/hyperlink" Target="https://www.themeateater.com/hunt/moose/a-guide-to-hunting-moose" TargetMode="External"/><Relationship Id="rId312" Type="http://schemas.openxmlformats.org/officeDocument/2006/relationships/hyperlink" Target="https://www.themeateater.com/hunt/general/ask-meateater-how-do-you-make-a-skull-mount" TargetMode="External"/><Relationship Id="rId796" Type="http://schemas.openxmlformats.org/officeDocument/2006/relationships/hyperlink" Target="https://www.wideopenspaces.com/deer-poop-identification/" TargetMode="External"/><Relationship Id="rId1385" Type="http://schemas.openxmlformats.org/officeDocument/2006/relationships/hyperlink" Target="https://www.themeateater.com/wired-to-hunt/whitetail-hunting/how-to-deer-hunt-standing-corn" TargetMode="External"/><Relationship Id="rId311" Type="http://schemas.openxmlformats.org/officeDocument/2006/relationships/hyperlink" Target="https://www.wideopenspaces.com/why-the-243-is-hands-down-the-best-deer-rifle/" TargetMode="External"/><Relationship Id="rId795" Type="http://schemas.openxmlformats.org/officeDocument/2006/relationships/hyperlink" Target="https://realtree.com/brow-tines-and-backstrap/everything-you-ever-wanted-to-know-about-deer-poop" TargetMode="External"/><Relationship Id="rId1386" Type="http://schemas.openxmlformats.org/officeDocument/2006/relationships/hyperlink" Target="https://realtree.com/brow-tines-and-backstrap/will-skyrocketing-corn-prices-affect-your-deer-season" TargetMode="External"/><Relationship Id="rId310" Type="http://schemas.openxmlformats.org/officeDocument/2006/relationships/hyperlink" Target="https://realtree.com/deer-hunting/articles/the-5-best-bullet-styles-for-deer-hunting" TargetMode="External"/><Relationship Id="rId794" Type="http://schemas.openxmlformats.org/officeDocument/2006/relationships/hyperlink" Target="https://www.themeateater.com/wired-to-hunt/whitetail-scouting/fact-checker-can-you-identify-a-mature-buck-by-droppings" TargetMode="External"/><Relationship Id="rId1387" Type="http://schemas.openxmlformats.org/officeDocument/2006/relationships/hyperlink" Target="https://www.wideopenspaces.com/deer-corn/" TargetMode="External"/><Relationship Id="rId793" Type="http://schemas.openxmlformats.org/officeDocument/2006/relationships/hyperlink" Target="https://realtree.com/brow-tines-and-backstrap/20-crazy-good-deer-mounts-from-the-nwtf-convention" TargetMode="External"/><Relationship Id="rId1388" Type="http://schemas.openxmlformats.org/officeDocument/2006/relationships/hyperlink" Target="https://www.themeateater.com/wired-to-hunt/whitetail-scouting/12-quick-pro-tips-to-improve-your-deer-hunting-this-fall" TargetMode="External"/><Relationship Id="rId297" Type="http://schemas.openxmlformats.org/officeDocument/2006/relationships/hyperlink" Target="https://www.themeateater.com/watch/6175573953001/meateater-s-seared-venison-heart-with-whiskey-butter" TargetMode="External"/><Relationship Id="rId296" Type="http://schemas.openxmlformats.org/officeDocument/2006/relationships/hyperlink" Target="https://realtree.com/deer-hunting/articles/the-best-shot-placement-on-deer" TargetMode="External"/><Relationship Id="rId295" Type="http://schemas.openxmlformats.org/officeDocument/2006/relationships/hyperlink" Target="https://www.themeateater.com/wired-to-hunt/whitetail-hunting/where-to-shoot-a-deer" TargetMode="External"/><Relationship Id="rId294" Type="http://schemas.openxmlformats.org/officeDocument/2006/relationships/hyperlink" Target="https://www.themeateater.com/wild-and-whole/wild-recipes/butter-basted-venison-steaks-recipe" TargetMode="External"/><Relationship Id="rId299" Type="http://schemas.openxmlformats.org/officeDocument/2006/relationships/hyperlink" Target="https://www.wideopenspaces.com/seared-venison-heart-with-whiskey-butter-recipe/" TargetMode="External"/><Relationship Id="rId298" Type="http://schemas.openxmlformats.org/officeDocument/2006/relationships/hyperlink" Target="https://realtree.com/timber-2-table-wild-game-recipes/pan-fried-venison-heart-with-black-pepper-buttermilk-gravy" TargetMode="External"/><Relationship Id="rId271" Type="http://schemas.openxmlformats.org/officeDocument/2006/relationships/hyperlink" Target="https://www.wideopenspaces.com/why-the-243-is-hands-down-the-best-deer-rifle/" TargetMode="External"/><Relationship Id="rId270" Type="http://schemas.openxmlformats.org/officeDocument/2006/relationships/hyperlink" Target="https://www.themeateater.com/hunt/firearm-hunting/caliber-battle-270-win-vs-243-win" TargetMode="External"/><Relationship Id="rId269" Type="http://schemas.openxmlformats.org/officeDocument/2006/relationships/hyperlink" Target="https://realtree.com/deer-hunting/articles/5-rut-buck-behaviors-you-should-recognize" TargetMode="External"/><Relationship Id="rId264" Type="http://schemas.openxmlformats.org/officeDocument/2006/relationships/hyperlink" Target="https://realtree.com/brow-tines-and-backstrap/why-buck-tarsal-is-the-deadliest-scent-in-the-deer-woods" TargetMode="External"/><Relationship Id="rId263" Type="http://schemas.openxmlformats.org/officeDocument/2006/relationships/hyperlink" Target="https://www.themeateater.com/wired-to-hunt/whitetail-management/what-you-need-to-know-about-whitetail-buck-glands" TargetMode="External"/><Relationship Id="rId262" Type="http://schemas.openxmlformats.org/officeDocument/2006/relationships/hyperlink" Target="https://realtree.com/brow-tines-and-backstrap/podcast-how-the-grunt-call-came-to-be" TargetMode="External"/><Relationship Id="rId261" Type="http://schemas.openxmlformats.org/officeDocument/2006/relationships/hyperlink" Target="https://www.themeateater.com/wired-to-hunt/whitetail-hunting/3-grunt-call-vocalizations-every-whitetail-hunter-should-know" TargetMode="External"/><Relationship Id="rId268" Type="http://schemas.openxmlformats.org/officeDocument/2006/relationships/hyperlink" Target="https://www.themeateater.com/hunt/whitetail-deer/video-rutting-buck-makes-crazy-vocalizations" TargetMode="External"/><Relationship Id="rId267" Type="http://schemas.openxmlformats.org/officeDocument/2006/relationships/hyperlink" Target="https://www.wideopenspaces.com/how-to-find-and-aim-for-deer-vitals/" TargetMode="External"/><Relationship Id="rId266" Type="http://schemas.openxmlformats.org/officeDocument/2006/relationships/hyperlink" Target="https://realtree.com/deer-hunting/articles/the-best-shot-placement-on-deer" TargetMode="External"/><Relationship Id="rId265" Type="http://schemas.openxmlformats.org/officeDocument/2006/relationships/hyperlink" Target="https://www.themeateater.com/wired-to-hunt/whitetail-hunting/where-to-shoot-a-deer" TargetMode="External"/><Relationship Id="rId260" Type="http://schemas.openxmlformats.org/officeDocument/2006/relationships/hyperlink" Target="https://realtree.com/bowhunting/articles/10-bowhunting-sins" TargetMode="External"/><Relationship Id="rId259" Type="http://schemas.openxmlformats.org/officeDocument/2006/relationships/hyperlink" Target="https://www.themeateater.com/watch/6303966877001/ozark-whitetail-bowhunting" TargetMode="External"/><Relationship Id="rId258" Type="http://schemas.openxmlformats.org/officeDocument/2006/relationships/hyperlink" Target="https://www.wideopenspaces.com/whitetail-vs-mule-deer-the-differences-why-you-should-hunt-them-and-which-is-best/" TargetMode="External"/><Relationship Id="rId253" Type="http://schemas.openxmlformats.org/officeDocument/2006/relationships/hyperlink" Target="https://www.wideopenspaces.com/best-deer-hunting-caliber-for-women/" TargetMode="External"/><Relationship Id="rId252" Type="http://schemas.openxmlformats.org/officeDocument/2006/relationships/hyperlink" Target="https://realtree.com/deer-hunting/articles/the-5-best-bullet-styles-for-deer-hunting" TargetMode="External"/><Relationship Id="rId251" Type="http://schemas.openxmlformats.org/officeDocument/2006/relationships/hyperlink" Target="https://www.themeateater.com/wired-to-hunt/whitetail-hunting-gear/5-best-whitetail-cartridges" TargetMode="External"/><Relationship Id="rId250" Type="http://schemas.openxmlformats.org/officeDocument/2006/relationships/hyperlink" Target="https://realtree.com/timber-2-table-wild-game-recipes/how-to-skin-a-deer-in-6-steps" TargetMode="External"/><Relationship Id="rId257" Type="http://schemas.openxmlformats.org/officeDocument/2006/relationships/hyperlink" Target="https://realtree.com/deer-hunting/articles/8-major-differences-between-whitetails-and-mule-deer" TargetMode="External"/><Relationship Id="rId256" Type="http://schemas.openxmlformats.org/officeDocument/2006/relationships/hyperlink" Target="https://www.themeateater.com/wired-to-hunt/whitetail-management/whitetails-and-mulies-a-comparison" TargetMode="External"/><Relationship Id="rId255" Type="http://schemas.openxmlformats.org/officeDocument/2006/relationships/hyperlink" Target="https://realtree.com/timber-2-table-wild-game-recipes/how-to-skin-a-deer-in-6-steps" TargetMode="External"/><Relationship Id="rId254" Type="http://schemas.openxmlformats.org/officeDocument/2006/relationships/hyperlink" Target="https://www.themeateater.com/hunt/big-game/how-to-hang-and-skin-a-deer-in-the-field" TargetMode="External"/><Relationship Id="rId293" Type="http://schemas.openxmlformats.org/officeDocument/2006/relationships/hyperlink" Target="https://www.wideopenspaces.com/what-are-the-best-deer-hunting-times-throughout-the-day/" TargetMode="External"/><Relationship Id="rId292" Type="http://schemas.openxmlformats.org/officeDocument/2006/relationships/hyperlink" Target="https://realtree.com/brow-tines-and-backstrap/why-windy-days-are-great-for-deer-hunting" TargetMode="External"/><Relationship Id="rId291" Type="http://schemas.openxmlformats.org/officeDocument/2006/relationships/hyperlink" Target="https://www.themeateater.com/wired-to-hunt/whitetail-hunting/how-to-kill-a-buck-in-high-wind" TargetMode="External"/><Relationship Id="rId290" Type="http://schemas.openxmlformats.org/officeDocument/2006/relationships/hyperlink" Target="https://www.wideopenspaces.com/you-actually-dont-have-to-know-how-to-butcher-a-deer-completely/" TargetMode="External"/><Relationship Id="rId286" Type="http://schemas.openxmlformats.org/officeDocument/2006/relationships/hyperlink" Target="https://realtree.com/timber-2-table-wild-game-recipes/pan-fried-venison-heart-with-black-pepper-buttermilk-gravy" TargetMode="External"/><Relationship Id="rId285" Type="http://schemas.openxmlformats.org/officeDocument/2006/relationships/hyperlink" Target="https://www.themeateater.com/watch/6175573953001/meateater-s-seared-venison-heart-with-whiskey-butter" TargetMode="External"/><Relationship Id="rId284" Type="http://schemas.openxmlformats.org/officeDocument/2006/relationships/hyperlink" Target="https://www.wideopenspaces.com/how-to-score-a-deer-measuring-your-trophy-step-by-step/" TargetMode="External"/><Relationship Id="rId283" Type="http://schemas.openxmlformats.org/officeDocument/2006/relationships/hyperlink" Target="https://realtree.com/deer-hunting/articles/how-to-score-a-buck-on-the-boone-and-crocket-scale" TargetMode="External"/><Relationship Id="rId289" Type="http://schemas.openxmlformats.org/officeDocument/2006/relationships/hyperlink" Target="https://realtree.com/timber-2-table-articles/5-reasons-to-butcher-your-own-deer-this-season" TargetMode="External"/><Relationship Id="rId288" Type="http://schemas.openxmlformats.org/officeDocument/2006/relationships/hyperlink" Target="https://www.themeateater.com/watch/list/1670860111805882434%20" TargetMode="External"/><Relationship Id="rId287" Type="http://schemas.openxmlformats.org/officeDocument/2006/relationships/hyperlink" Target="https://www.wideopenspaces.com/huntchef-venison-heart-recipe/" TargetMode="External"/><Relationship Id="rId282" Type="http://schemas.openxmlformats.org/officeDocument/2006/relationships/hyperlink" Target="https://www.themeateater.com/watch/6259336077001/how-to-score-a-whitetail-deer" TargetMode="External"/><Relationship Id="rId281" Type="http://schemas.openxmlformats.org/officeDocument/2006/relationships/hyperlink" Target="https://www.wideopenspaces.com/whitetail-vs-mule-deer-the-differences-why-you-should-hunt-them-and-which-is-best/" TargetMode="External"/><Relationship Id="rId280" Type="http://schemas.openxmlformats.org/officeDocument/2006/relationships/hyperlink" Target="https://realtree.com/deer-hunting/articles/8-major-differences-between-whitetails-and-mule-deer" TargetMode="External"/><Relationship Id="rId275" Type="http://schemas.openxmlformats.org/officeDocument/2006/relationships/hyperlink" Target="https://www.themeateater.com/cook/cooking-techniques/5-venison-cuts-you-need-to-know" TargetMode="External"/><Relationship Id="rId274" Type="http://schemas.openxmlformats.org/officeDocument/2006/relationships/hyperlink" Target="https://www.wideopenspaces.com/where-to-shoot-a-deer-for-the-best-odds-of-a-quick-kill/" TargetMode="External"/><Relationship Id="rId273" Type="http://schemas.openxmlformats.org/officeDocument/2006/relationships/hyperlink" Target="https://realtree.com/deer-hunting/articles/the-best-shot-placement-on-deer" TargetMode="External"/><Relationship Id="rId272" Type="http://schemas.openxmlformats.org/officeDocument/2006/relationships/hyperlink" Target="https://www.themeateater.com/wired-to-hunt/whitetail-hunting/where-to-shoot-a-deer" TargetMode="External"/><Relationship Id="rId279" Type="http://schemas.openxmlformats.org/officeDocument/2006/relationships/hyperlink" Target="https://www.themeateater.com/wired-to-hunt/whitetail-management/whitetails-and-mulies-a-comparison" TargetMode="External"/><Relationship Id="rId278" Type="http://schemas.openxmlformats.org/officeDocument/2006/relationships/hyperlink" Target="https://realtree.com/brow-tines-and-backstrap/why-buck-tarsal-is-the-deadliest-scent-in-the-deer-woods" TargetMode="External"/><Relationship Id="rId277" Type="http://schemas.openxmlformats.org/officeDocument/2006/relationships/hyperlink" Target="https://www.themeateater.com/wired-to-hunt/whitetail-management/what-you-need-to-know-about-whitetail-buck-glands" TargetMode="External"/><Relationship Id="rId276" Type="http://schemas.openxmlformats.org/officeDocument/2006/relationships/hyperlink" Target="https://www.wideopenspaces.com/venison-cuts-ranked/" TargetMode="External"/><Relationship Id="rId1851" Type="http://schemas.openxmlformats.org/officeDocument/2006/relationships/hyperlink" Target="https://www.wideopenspaces.com/whitetail-deer-gestation-period/" TargetMode="External"/><Relationship Id="rId1852" Type="http://schemas.openxmlformats.org/officeDocument/2006/relationships/hyperlink" Target="https://realtree.com/deer-hunting/articles/10-tips-for-deer-hunting-in-the-south" TargetMode="External"/><Relationship Id="rId1853" Type="http://schemas.openxmlformats.org/officeDocument/2006/relationships/hyperlink" Target="https://www.wideopenspaces.com/georgia-deer-hunting/" TargetMode="External"/><Relationship Id="rId1854" Type="http://schemas.openxmlformats.org/officeDocument/2006/relationships/hyperlink" Target="https://www.wideopenspaces.com/when-does-deer-season-end-in-georgia/" TargetMode="External"/><Relationship Id="rId1855" Type="http://schemas.openxmlformats.org/officeDocument/2006/relationships/hyperlink" Target="https://www.wideopenspaces.com/pennsylvania-deer-hunting/" TargetMode="External"/><Relationship Id="rId1856" Type="http://schemas.openxmlformats.org/officeDocument/2006/relationships/hyperlink" Target="https://realtree.com/deer-hunting/articles/where-to-deer-hunt-in-february" TargetMode="External"/><Relationship Id="rId1857" Type="http://schemas.openxmlformats.org/officeDocument/2006/relationships/hyperlink" Target="https://www.wideopenspaces.com/when-does-deer-season-end-in-texas/" TargetMode="External"/><Relationship Id="rId1858" Type="http://schemas.openxmlformats.org/officeDocument/2006/relationships/hyperlink" Target="https://realtree.com/brow-tines-and-backstrap/wisconsin-hunters-reject-changes-to-deer-season" TargetMode="External"/><Relationship Id="rId1859" Type="http://schemas.openxmlformats.org/officeDocument/2006/relationships/hyperlink" Target="https://realtree.com/brow-tines-and-backstrap/wisconsin-hunters-reject-changes-to-deer-season" TargetMode="External"/><Relationship Id="rId1850" Type="http://schemas.openxmlformats.org/officeDocument/2006/relationships/hyperlink" Target="https://realtree.com/timber-2-table-wild-game-recipes/how-to-skin-a-deer-in-6-steps" TargetMode="External"/><Relationship Id="rId1840" Type="http://schemas.openxmlformats.org/officeDocument/2006/relationships/hyperlink" Target="https://www.wideopenspaces.com/deer-shed-antlers-pics/" TargetMode="External"/><Relationship Id="rId1841" Type="http://schemas.openxmlformats.org/officeDocument/2006/relationships/hyperlink" Target="https://realtree.com/turkey-blog-with-steve-hickoff/video-territorial-deer-attack-on-backyard-turkey-flock" TargetMode="External"/><Relationship Id="rId1842" Type="http://schemas.openxmlformats.org/officeDocument/2006/relationships/hyperlink" Target="https://realtree.com/brow-tines-and-backstrap/8-things-you-can-use-to-bait-deer" TargetMode="External"/><Relationship Id="rId1843" Type="http://schemas.openxmlformats.org/officeDocument/2006/relationships/hyperlink" Target="https://www.wideopenspaces.com/5-deer-attractants-drive-whitetail-bucks-crazy-pics/" TargetMode="External"/><Relationship Id="rId1844" Type="http://schemas.openxmlformats.org/officeDocument/2006/relationships/hyperlink" Target="https://www.wideopenspaces.com/take-a-load-off-with-these-10-hunting-blind-chairs/" TargetMode="External"/><Relationship Id="rId1845" Type="http://schemas.openxmlformats.org/officeDocument/2006/relationships/hyperlink" Target="https://realtree.com/timber-2-table-wild-game-recipes/deer-camp-stuffed-bologna-chub-recipe" TargetMode="External"/><Relationship Id="rId1846" Type="http://schemas.openxmlformats.org/officeDocument/2006/relationships/hyperlink" Target="https://realtree.com/brow-tines-and-backstrap/is-a-trail-camera-ban-coming-to-a-state-near-you" TargetMode="External"/><Relationship Id="rId1847" Type="http://schemas.openxmlformats.org/officeDocument/2006/relationships/hyperlink" Target="https://realtree.com/brow-tines-and-backstrap/will-skyrocketing-corn-prices-affect-your-deer-season" TargetMode="External"/><Relationship Id="rId1848" Type="http://schemas.openxmlformats.org/officeDocument/2006/relationships/hyperlink" Target="https://realtree.com/brow-tines-and-backstrap/8-things-you-can-use-to-bait-deer" TargetMode="External"/><Relationship Id="rId1849" Type="http://schemas.openxmlformats.org/officeDocument/2006/relationships/hyperlink" Target="https://www.wideopenspaces.com/deer-feeding-times/" TargetMode="External"/><Relationship Id="rId1873" Type="http://schemas.openxmlformats.org/officeDocument/2006/relationships/hyperlink" Target="https://realtree.com/deer-hunting/articles/10-best-times-to-deer-hunt" TargetMode="External"/><Relationship Id="rId1874" Type="http://schemas.openxmlformats.org/officeDocument/2006/relationships/hyperlink" Target="https://www.wideopenspaces.com/missouri-deer-hunting-all-to-know-about-this-buck-buck-paradise/" TargetMode="External"/><Relationship Id="rId1875" Type="http://schemas.openxmlformats.org/officeDocument/2006/relationships/hyperlink" Target="https://www.wideopenspaces.com/the-best-3d-archery-targets/" TargetMode="External"/><Relationship Id="rId1876" Type="http://schemas.openxmlformats.org/officeDocument/2006/relationships/hyperlink" Target="https://realtree.com/deer-hunting/articles/deer-hunting-a-quest-for-a-drop-tine-buck" TargetMode="External"/><Relationship Id="rId1877" Type="http://schemas.openxmlformats.org/officeDocument/2006/relationships/hyperlink" Target="https://www.wideopenspaces.com/whitetailwednesday-check-out-8-of-the-coolest-drop-tine-bucks-ever/" TargetMode="External"/><Relationship Id="rId1878" Type="http://schemas.openxmlformats.org/officeDocument/2006/relationships/hyperlink" Target="https://www.wideopenspaces.com/deer-warts/" TargetMode="External"/><Relationship Id="rId1879" Type="http://schemas.openxmlformats.org/officeDocument/2006/relationships/hyperlink" Target="https://www.wideopenspaces.com/invasion-axis-deer/" TargetMode="External"/><Relationship Id="rId1870" Type="http://schemas.openxmlformats.org/officeDocument/2006/relationships/hyperlink" Target="https://realtree.com/brow-tines-and-backstrap/2022-northeast-deer-hunting-forecast" TargetMode="External"/><Relationship Id="rId1871" Type="http://schemas.openxmlformats.org/officeDocument/2006/relationships/hyperlink" Target="https://realtree.com/brow-tines-and-backstrap/wisconsin-hunters-reject-changes-to-deer-season" TargetMode="External"/><Relationship Id="rId1872" Type="http://schemas.openxmlformats.org/officeDocument/2006/relationships/hyperlink" Target="https://www.wideopenspaces.com/wisconsin-deer-hunting-everything-hunters-need-to-know/" TargetMode="External"/><Relationship Id="rId1862" Type="http://schemas.openxmlformats.org/officeDocument/2006/relationships/hyperlink" Target="https://www.wideopenspaces.com/deer-hunting-in-ohio-what-you-should-know/" TargetMode="External"/><Relationship Id="rId1863" Type="http://schemas.openxmlformats.org/officeDocument/2006/relationships/hyperlink" Target="https://realtree.com/brow-tines-and-backstrap/2022-midwest-deer-hunting-forecast" TargetMode="External"/><Relationship Id="rId1864" Type="http://schemas.openxmlformats.org/officeDocument/2006/relationships/hyperlink" Target="https://www.wideopenspaces.com/deer-hunting-in-illinois-does-a-boone-crockett-buck-await/" TargetMode="External"/><Relationship Id="rId1865" Type="http://schemas.openxmlformats.org/officeDocument/2006/relationships/hyperlink" Target="https://www.wideopenspaces.com/when-does-deer-season-end-in-georgia/" TargetMode="External"/><Relationship Id="rId1866" Type="http://schemas.openxmlformats.org/officeDocument/2006/relationships/hyperlink" Target="https://realtree.com/deer-hunting/articles/deer-hunting-the-late-season" TargetMode="External"/><Relationship Id="rId1867" Type="http://schemas.openxmlformats.org/officeDocument/2006/relationships/hyperlink" Target="https://www.wideopenspaces.com/tennessee-approves-3-day-archery-only-deer-season-for-august/" TargetMode="External"/><Relationship Id="rId1868" Type="http://schemas.openxmlformats.org/officeDocument/2006/relationships/hyperlink" Target="https://realtree.com/brow-tines-and-backstrap/iowa-law-expands-rifle-options-for-late-season-antlerless-hunts" TargetMode="External"/><Relationship Id="rId1869" Type="http://schemas.openxmlformats.org/officeDocument/2006/relationships/hyperlink" Target="https://www.wideopenspaces.com/maryland-sika-deer-hunting/" TargetMode="External"/><Relationship Id="rId1860" Type="http://schemas.openxmlformats.org/officeDocument/2006/relationships/hyperlink" Target="https://realtree.com/brow-tines-and-backstrap/why-buck-tarsal-is-the-deadliest-scent-in-the-deer-woods" TargetMode="External"/><Relationship Id="rId1861" Type="http://schemas.openxmlformats.org/officeDocument/2006/relationships/hyperlink" Target="https://realtree.com/deer-hunting/articles/where-to-deer-hunt-in-february" TargetMode="External"/><Relationship Id="rId1810" Type="http://schemas.openxmlformats.org/officeDocument/2006/relationships/hyperlink" Target="https://realtree.com/deer-hunting/articles/the-meaning-of-deer-hunting-hunting-truth-in-life" TargetMode="External"/><Relationship Id="rId1811" Type="http://schemas.openxmlformats.org/officeDocument/2006/relationships/hyperlink" Target="https://www.wideopenspaces.com/rare-video-shows-deer-eating-a-snake/" TargetMode="External"/><Relationship Id="rId1812" Type="http://schemas.openxmlformats.org/officeDocument/2006/relationships/hyperlink" Target="https://www.wideopenspaces.com/tripod-treestand/" TargetMode="External"/><Relationship Id="rId1813" Type="http://schemas.openxmlformats.org/officeDocument/2006/relationships/hyperlink" Target="https://realtree.com/brow-tines-and-backstrap/7-different-deer-taxidermy-options-and-their-costs" TargetMode="External"/><Relationship Id="rId1814" Type="http://schemas.openxmlformats.org/officeDocument/2006/relationships/hyperlink" Target="https://www.wideopenspaces.com/whitetailwednesday-25-unique-ideas-for-your-next-whitetail-mount/" TargetMode="External"/><Relationship Id="rId1815" Type="http://schemas.openxmlformats.org/officeDocument/2006/relationships/hyperlink" Target="https://realtree.com/all/articles/antler-trivia" TargetMode="External"/><Relationship Id="rId1816" Type="http://schemas.openxmlformats.org/officeDocument/2006/relationships/hyperlink" Target="https://www.wideopenspaces.com/what-are-antlers-made-from/" TargetMode="External"/><Relationship Id="rId1817" Type="http://schemas.openxmlformats.org/officeDocument/2006/relationships/hyperlink" Target="https://realtree.com/deer-hunting/articles/where-to-deer-hunt-in-february" TargetMode="External"/><Relationship Id="rId1818" Type="http://schemas.openxmlformats.org/officeDocument/2006/relationships/hyperlink" Target="https://www.wideopenspaces.com/when-does-deer-season-end-in-texas/" TargetMode="External"/><Relationship Id="rId1819" Type="http://schemas.openxmlformats.org/officeDocument/2006/relationships/hyperlink" Target="https://www.wideopenspaces.com/when-does-deer-season-end-in-texas/" TargetMode="External"/><Relationship Id="rId1800" Type="http://schemas.openxmlformats.org/officeDocument/2006/relationships/hyperlink" Target="https://www.wideopenspaces.com/maryland-sika-deer-hunting/" TargetMode="External"/><Relationship Id="rId1801" Type="http://schemas.openxmlformats.org/officeDocument/2006/relationships/hyperlink" Target="https://www.wideopenspaces.com/michigan-deer-reporting/" TargetMode="External"/><Relationship Id="rId1802" Type="http://schemas.openxmlformats.org/officeDocument/2006/relationships/hyperlink" Target="https://www.wideopenspaces.com/michigan-late-doe-season/" TargetMode="External"/><Relationship Id="rId1803" Type="http://schemas.openxmlformats.org/officeDocument/2006/relationships/hyperlink" Target="https://realtree.com/brow-tines-and-backstrap/2022-southeast-deer-hunting-forecast" TargetMode="External"/><Relationship Id="rId1804" Type="http://schemas.openxmlformats.org/officeDocument/2006/relationships/hyperlink" Target="https://realtree.com/deer-hunting/articles/3-top-states-for-diy-big-buck-hunters" TargetMode="External"/><Relationship Id="rId1805" Type="http://schemas.openxmlformats.org/officeDocument/2006/relationships/hyperlink" Target="https://www.wideopenspaces.com/minnesota-deer-hunting/" TargetMode="External"/><Relationship Id="rId1806" Type="http://schemas.openxmlformats.org/officeDocument/2006/relationships/hyperlink" Target="https://www.wideopenspaces.com/mn-deer-hunting-zones/" TargetMode="External"/><Relationship Id="rId1807" Type="http://schemas.openxmlformats.org/officeDocument/2006/relationships/hyperlink" Target="https://www.wideopenspaces.com/5-luxury-hunting-blinds-you-might-be-able-to-afford/" TargetMode="External"/><Relationship Id="rId1808" Type="http://schemas.openxmlformats.org/officeDocument/2006/relationships/hyperlink" Target="https://realtree.com/brow-tines-and-backstrap/how-to-make-a-homemade-deer-feeder" TargetMode="External"/><Relationship Id="rId1809" Type="http://schemas.openxmlformats.org/officeDocument/2006/relationships/hyperlink" Target="https://www.wideopenspaces.com/make-poor-mans-deer-feeder/" TargetMode="External"/><Relationship Id="rId1830" Type="http://schemas.openxmlformats.org/officeDocument/2006/relationships/hyperlink" Target="https://www.wideopenspaces.com/less-10-awesome-bucks-6-fewer-points-whitetailwednesday/" TargetMode="External"/><Relationship Id="rId1831" Type="http://schemas.openxmlformats.org/officeDocument/2006/relationships/hyperlink" Target="https://realtree.com/brow-tines-and-backstrap/debate-settled-deep-south-deer-are-the-toughest-to-hunt" TargetMode="External"/><Relationship Id="rId1832" Type="http://schemas.openxmlformats.org/officeDocument/2006/relationships/hyperlink" Target="https://www.wideopenspaces.com/alabama-hunting-license/" TargetMode="External"/><Relationship Id="rId1833" Type="http://schemas.openxmlformats.org/officeDocument/2006/relationships/hyperlink" Target="https://www.wideopenspaces.com/do-deer-eat-meat/" TargetMode="External"/><Relationship Id="rId1834" Type="http://schemas.openxmlformats.org/officeDocument/2006/relationships/hyperlink" Target="https://realtree.com/brow-tines-and-backstrap/have-you-ever-seen-a-melanistic-whitetail" TargetMode="External"/><Relationship Id="rId1835" Type="http://schemas.openxmlformats.org/officeDocument/2006/relationships/hyperlink" Target="https://www.wideopenspaces.com/black-deer-in-backyard-how-rare-is-this-color-variation/" TargetMode="External"/><Relationship Id="rId1836" Type="http://schemas.openxmlformats.org/officeDocument/2006/relationships/hyperlink" Target="https://realtree.com/deer-hunting/articles/how-to-score-a-buck-on-the-boone-and-crocket-scale" TargetMode="External"/><Relationship Id="rId1837" Type="http://schemas.openxmlformats.org/officeDocument/2006/relationships/hyperlink" Target="https://www.wideopenspaces.com/boone-and-crockett-top-whitetail-states/" TargetMode="External"/><Relationship Id="rId1838" Type="http://schemas.openxmlformats.org/officeDocument/2006/relationships/hyperlink" Target="https://www.wideopenspaces.com/12-amazing-shed-antler-decorations-ladies/" TargetMode="External"/><Relationship Id="rId1839" Type="http://schemas.openxmlformats.org/officeDocument/2006/relationships/hyperlink" Target="https://realtree.com/brow-tines-and-backstrap/why-bucks-shed-antlers-and-how-to-hunt-them" TargetMode="External"/><Relationship Id="rId1820" Type="http://schemas.openxmlformats.org/officeDocument/2006/relationships/hyperlink" Target="https://realtree.com/brow-tines-and-backstrap/wisconsin-hunters-reject-changes-to-deer-season" TargetMode="External"/><Relationship Id="rId1821" Type="http://schemas.openxmlformats.org/officeDocument/2006/relationships/hyperlink" Target="https://realtree.com/brow-tines-and-backstrap/wisconsin-hunters-reject-changes-to-deer-season" TargetMode="External"/><Relationship Id="rId1822" Type="http://schemas.openxmlformats.org/officeDocument/2006/relationships/hyperlink" Target="https://www.wideopenspaces.com/wisconsin-deer-hunting-everything-hunters-need-to-know/" TargetMode="External"/><Relationship Id="rId1823" Type="http://schemas.openxmlformats.org/officeDocument/2006/relationships/hyperlink" Target="https://realtree.com/deer-hunting/articles/top-10-pope-young-deer-hunting-states" TargetMode="External"/><Relationship Id="rId1824" Type="http://schemas.openxmlformats.org/officeDocument/2006/relationships/hyperlink" Target="https://realtree.com/brow-tines-and-backstrap/when-you-should-pass-a-buck-and-when-you-shouldn-t" TargetMode="External"/><Relationship Id="rId1825" Type="http://schemas.openxmlformats.org/officeDocument/2006/relationships/hyperlink" Target="https://www.wideopenspaces.com/120-class-whitetail-deer-id/" TargetMode="External"/><Relationship Id="rId1826" Type="http://schemas.openxmlformats.org/officeDocument/2006/relationships/hyperlink" Target="https://realtree.com/deer-hunting/articles/heads-of-state-all-about-state-record-bucks" TargetMode="External"/><Relationship Id="rId1827" Type="http://schemas.openxmlformats.org/officeDocument/2006/relationships/hyperlink" Target="https://www.wideopenspaces.com/12-of-the-biggest-poached-deer-ever-stolen-from-law-abiding-hunters/" TargetMode="External"/><Relationship Id="rId1828" Type="http://schemas.openxmlformats.org/officeDocument/2006/relationships/hyperlink" Target="https://www.wideopenspaces.com/can-410-shotgun-slug-take-deer-check-video/" TargetMode="External"/><Relationship Id="rId1829" Type="http://schemas.openxmlformats.org/officeDocument/2006/relationships/hyperlink" Target="https://realtree.com/brow-tines-and-backstrap/when-you-should-pass-a-buck-and-when-you-shouldn-t" TargetMode="External"/><Relationship Id="rId1455" Type="http://schemas.openxmlformats.org/officeDocument/2006/relationships/hyperlink" Target="https://www.wideopenspaces.com/deer-sounds-making-sense-of-the-sounds-of-the-deer-woods/" TargetMode="External"/><Relationship Id="rId1456" Type="http://schemas.openxmlformats.org/officeDocument/2006/relationships/hyperlink" Target="https://realtree.com/deer-hunting/articles/the-meaning-of-deer-hunting-hunting-truth-in-life" TargetMode="External"/><Relationship Id="rId1457" Type="http://schemas.openxmlformats.org/officeDocument/2006/relationships/hyperlink" Target="https://www.wideopenspaces.com/tell-age-deer-pics/" TargetMode="External"/><Relationship Id="rId1458" Type="http://schemas.openxmlformats.org/officeDocument/2006/relationships/hyperlink" Target="https://realtree.com/deer-hunting/articles/7-serious-field-dressing-mistakes" TargetMode="External"/><Relationship Id="rId1459" Type="http://schemas.openxmlformats.org/officeDocument/2006/relationships/hyperlink" Target="https://www.wideopenspaces.com/field-dressing-deer-with-gloves/" TargetMode="External"/><Relationship Id="rId629" Type="http://schemas.openxmlformats.org/officeDocument/2006/relationships/hyperlink" Target="https://www.themeateater.com/wired-to-hunt/whitetail-hunting/how-the-whitetail-rut-differs-in-the-big-woods" TargetMode="External"/><Relationship Id="rId624" Type="http://schemas.openxmlformats.org/officeDocument/2006/relationships/hyperlink" Target="https://www.wideopenspaces.com/vacuum-sealing-venison/" TargetMode="External"/><Relationship Id="rId623" Type="http://schemas.openxmlformats.org/officeDocument/2006/relationships/hyperlink" Target="https://realtree.com/timber-2-table-articles/is-that-venison-freezer-burned" TargetMode="External"/><Relationship Id="rId622" Type="http://schemas.openxmlformats.org/officeDocument/2006/relationships/hyperlink" Target="https://www.themeateater.com/cook/butchering-and-processing/best-practices-for-freezing-meat" TargetMode="External"/><Relationship Id="rId621" Type="http://schemas.openxmlformats.org/officeDocument/2006/relationships/hyperlink" Target="https://www.wideopenspaces.com/treestand-vs-groundblind-when-and-where-you-should-use-either-one/" TargetMode="External"/><Relationship Id="rId628" Type="http://schemas.openxmlformats.org/officeDocument/2006/relationships/hyperlink" Target="https://realtree.com/all/articles/early-eats-mean-big-bucks" TargetMode="External"/><Relationship Id="rId627" Type="http://schemas.openxmlformats.org/officeDocument/2006/relationships/hyperlink" Target="https://www.themeateater.com/wired-to-hunt/whitetail-scouting/4-natural-food-sources-every-public-land-deer-hunter-should-know" TargetMode="External"/><Relationship Id="rId626" Type="http://schemas.openxmlformats.org/officeDocument/2006/relationships/hyperlink" Target="https://realtree.com/deer-hunting/articles/8-major-differences-between-whitetails-and-mule-deer" TargetMode="External"/><Relationship Id="rId625" Type="http://schemas.openxmlformats.org/officeDocument/2006/relationships/hyperlink" Target="https://www.themeateater.com/watch/6175627104001/steven-rinella-explains-how-the-mule-deer-species-evolved" TargetMode="External"/><Relationship Id="rId1450" Type="http://schemas.openxmlformats.org/officeDocument/2006/relationships/hyperlink" Target="https://realtree.com/brow-tines-and-backstrap/will-skyrocketing-corn-prices-affect-your-deer-season" TargetMode="External"/><Relationship Id="rId620" Type="http://schemas.openxmlformats.org/officeDocument/2006/relationships/hyperlink" Target="https://www.themeateater.com/wired-to-hunt/whitetail-scouting/how-to-set-up-a-ground-blind-that-wont-spook-deer" TargetMode="External"/><Relationship Id="rId1451" Type="http://schemas.openxmlformats.org/officeDocument/2006/relationships/hyperlink" Target="https://www.wideopenspaces.com/when-does-deer-season-end-in-texas/" TargetMode="External"/><Relationship Id="rId1452" Type="http://schemas.openxmlformats.org/officeDocument/2006/relationships/hyperlink" Target="https://realtree.com/brow-tines-and-backstrap/why-bucks-shed-antlers-and-how-to-hunt-them" TargetMode="External"/><Relationship Id="rId1453" Type="http://schemas.openxmlformats.org/officeDocument/2006/relationships/hyperlink" Target="https://www.wideopenspaces.com/deer-shed-antlers-pics/" TargetMode="External"/><Relationship Id="rId1454" Type="http://schemas.openxmlformats.org/officeDocument/2006/relationships/hyperlink" Target="https://www.wideopenspaces.com/pics-fully-assembled-deer-skeleton-is-eye-candy-for-the-whitetail-lover/" TargetMode="External"/><Relationship Id="rId1444" Type="http://schemas.openxmlformats.org/officeDocument/2006/relationships/hyperlink" Target="https://www.wideopenspaces.com/indiana-hunting-license/" TargetMode="External"/><Relationship Id="rId1445" Type="http://schemas.openxmlformats.org/officeDocument/2006/relationships/hyperlink" Target="https://realtree.com/deer-hunting/articles/10-tips-for-great-deer-pictures" TargetMode="External"/><Relationship Id="rId1446" Type="http://schemas.openxmlformats.org/officeDocument/2006/relationships/hyperlink" Target="https://oldforums.realtree.com/topic/109585-anyone-hunting-western-tn/" TargetMode="External"/><Relationship Id="rId1447" Type="http://schemas.openxmlformats.org/officeDocument/2006/relationships/hyperlink" Target="https://realtree.com/brow-tines-and-backstrap/why-bucks-shed-antlers-and-how-to-hunt-them" TargetMode="External"/><Relationship Id="rId1448" Type="http://schemas.openxmlformats.org/officeDocument/2006/relationships/hyperlink" Target="https://www.wideopenspaces.com/deer-shed-antlers-pics/" TargetMode="External"/><Relationship Id="rId1449" Type="http://schemas.openxmlformats.org/officeDocument/2006/relationships/hyperlink" Target="https://realtree.com/deer-hunting/rack-reports/2023/04/02/3-year-old-finds-monster-dead-buck-in-ohio" TargetMode="External"/><Relationship Id="rId619" Type="http://schemas.openxmlformats.org/officeDocument/2006/relationships/hyperlink" Target="https://www.wideopenspaces.com/8-homemade-hunting-blinds-pics/" TargetMode="External"/><Relationship Id="rId618" Type="http://schemas.openxmlformats.org/officeDocument/2006/relationships/hyperlink" Target="https://www.themeateater.com/hunt/whitetail-deer/photos-how-to-build-a-deer-blind-from-pallets" TargetMode="External"/><Relationship Id="rId613" Type="http://schemas.openxmlformats.org/officeDocument/2006/relationships/hyperlink" Target="https://www.themeateater.com/hunt/big-game/why-are-bucks-always-last-in-line" TargetMode="External"/><Relationship Id="rId612" Type="http://schemas.openxmlformats.org/officeDocument/2006/relationships/hyperlink" Target="https://www.wideopenspaces.com/deer-poop-identification/" TargetMode="External"/><Relationship Id="rId611" Type="http://schemas.openxmlformats.org/officeDocument/2006/relationships/hyperlink" Target="https://realtree.com/brow-tines-and-backstrap/everything-you-ever-wanted-to-know-about-deer-poop" TargetMode="External"/><Relationship Id="rId610" Type="http://schemas.openxmlformats.org/officeDocument/2006/relationships/hyperlink" Target="https://www.themeateater.com/wired-to-hunt/whitetail-scouting/fact-checker-can-you-identify-a-mature-buck-by-droppings" TargetMode="External"/><Relationship Id="rId617" Type="http://schemas.openxmlformats.org/officeDocument/2006/relationships/hyperlink" Target="https://www.wideopenspaces.com/venison-jerky-recipes/" TargetMode="External"/><Relationship Id="rId616" Type="http://schemas.openxmlformats.org/officeDocument/2006/relationships/hyperlink" Target="https://realtree.com/timber-2-table-wild-game-recipes/magic-chef-realtree-venison-jerky-recipe" TargetMode="External"/><Relationship Id="rId615" Type="http://schemas.openxmlformats.org/officeDocument/2006/relationships/hyperlink" Target="https://www.themeateater.com/cook/recipes/smoked-venison-jerky-recipe" TargetMode="External"/><Relationship Id="rId614" Type="http://schemas.openxmlformats.org/officeDocument/2006/relationships/hyperlink" Target="https://realtree.com/brow-tines-and-backstrap/4-things-to-know-about-whitetail-buck-bachelor-groups" TargetMode="External"/><Relationship Id="rId1440" Type="http://schemas.openxmlformats.org/officeDocument/2006/relationships/hyperlink" Target="https://www.wideopenspaces.com/black-deer-in-backyard-how-rare-is-this-color-variation/" TargetMode="External"/><Relationship Id="rId1441" Type="http://schemas.openxmlformats.org/officeDocument/2006/relationships/hyperlink" Target="https://www.wideopenspaces.com/best-deer-carts/" TargetMode="External"/><Relationship Id="rId1442" Type="http://schemas.openxmlformats.org/officeDocument/2006/relationships/hyperlink" Target="https://realtree.com/the-realblog-with-stephanie-mallory/taxidermist-discovers-third-eye-when-preparing-deer-for-european" TargetMode="External"/><Relationship Id="rId1443" Type="http://schemas.openxmlformats.org/officeDocument/2006/relationships/hyperlink" Target="https://realtree.com/brow-tines-and-backstrap/2022-midwest-deer-hunting-forecast" TargetMode="External"/><Relationship Id="rId1477" Type="http://schemas.openxmlformats.org/officeDocument/2006/relationships/hyperlink" Target="https://realtree.com/deer-hunting/articles/15-tips-for-opening-day-of-gun-season" TargetMode="External"/><Relationship Id="rId1478" Type="http://schemas.openxmlformats.org/officeDocument/2006/relationships/hyperlink" Target="https://www.wideopenspaces.com/when-does-deer-season-end-in-texas/" TargetMode="External"/><Relationship Id="rId1479" Type="http://schemas.openxmlformats.org/officeDocument/2006/relationships/hyperlink" Target="https://realtree.com/brow-tines-and-backstrap/2022-southeast-deer-hunting-forecast" TargetMode="External"/><Relationship Id="rId646" Type="http://schemas.openxmlformats.org/officeDocument/2006/relationships/hyperlink" Target="https://www.wideopenspaces.com/where-to-shoot-a-deer-for-the-best-odds-of-a-quick-kill/" TargetMode="External"/><Relationship Id="rId645" Type="http://schemas.openxmlformats.org/officeDocument/2006/relationships/hyperlink" Target="https://realtree.com/deer-hunting/articles/the-best-shot-placement-on-deer" TargetMode="External"/><Relationship Id="rId644" Type="http://schemas.openxmlformats.org/officeDocument/2006/relationships/hyperlink" Target="https://www.themeateater.com/wired-to-hunt/whitetail-hunting/where-to-shoot-a-deer" TargetMode="External"/><Relationship Id="rId643" Type="http://schemas.openxmlformats.org/officeDocument/2006/relationships/hyperlink" Target="https://realtree.com/deer-hunting/articles/5-rut-buck-behaviors-you-should-recognize" TargetMode="External"/><Relationship Id="rId649" Type="http://schemas.openxmlformats.org/officeDocument/2006/relationships/hyperlink" Target="https://www.themeateater.com/wired-to-hunt/whitetail-hunting/where-to-shoot-a-deer" TargetMode="External"/><Relationship Id="rId648" Type="http://schemas.openxmlformats.org/officeDocument/2006/relationships/hyperlink" Target="https://realtree.com/timber-2-table-wild-game-recipes/how-to-cape-a-deer" TargetMode="External"/><Relationship Id="rId647" Type="http://schemas.openxmlformats.org/officeDocument/2006/relationships/hyperlink" Target="https://www.themeateater.com/hunt/big-game/what-to-do-when-you-plan-on-getting-a-deer-mounted" TargetMode="External"/><Relationship Id="rId1470" Type="http://schemas.openxmlformats.org/officeDocument/2006/relationships/hyperlink" Target="https://www.wideopenspaces.com/top-5-venison-chili-recipe/" TargetMode="External"/><Relationship Id="rId1471" Type="http://schemas.openxmlformats.org/officeDocument/2006/relationships/hyperlink" Target="https://realtree.com/deer-hunting/articles/10-tips-for-great-deer-pictures" TargetMode="External"/><Relationship Id="rId1472" Type="http://schemas.openxmlformats.org/officeDocument/2006/relationships/hyperlink" Target="https://realtree.com/brow-tines-and-backstrap/2022-southeast-deer-hunting-forecast" TargetMode="External"/><Relationship Id="rId642" Type="http://schemas.openxmlformats.org/officeDocument/2006/relationships/hyperlink" Target="https://www.themeateater.com/wired-to-hunt/whitetail-hunting/how-to-hunt-the-whitetail-rut-in-big-woods" TargetMode="External"/><Relationship Id="rId1473" Type="http://schemas.openxmlformats.org/officeDocument/2006/relationships/hyperlink" Target="https://www.wideopenspaces.com/the-best-3d-archery-targets/" TargetMode="External"/><Relationship Id="rId641" Type="http://schemas.openxmlformats.org/officeDocument/2006/relationships/hyperlink" Target="https://www.wideopenspaces.com/what-are-the-best-deer-hunting-times-throughout-the-day/" TargetMode="External"/><Relationship Id="rId1474" Type="http://schemas.openxmlformats.org/officeDocument/2006/relationships/hyperlink" Target="https://realtree.com/brow-tines-and-backstrap/10-amazing-facts-about-velvet-antlers" TargetMode="External"/><Relationship Id="rId640" Type="http://schemas.openxmlformats.org/officeDocument/2006/relationships/hyperlink" Target="https://realtree.com/deer-hunting/articles/10-best-times-to-deer-hunt" TargetMode="External"/><Relationship Id="rId1475" Type="http://schemas.openxmlformats.org/officeDocument/2006/relationships/hyperlink" Target="https://realtree.com/brow-tines-and-backstrap/will-ehd-be-a-factor-this-deer-season" TargetMode="External"/><Relationship Id="rId1476" Type="http://schemas.openxmlformats.org/officeDocument/2006/relationships/hyperlink" Target="https://www.wideopenspaces.com/indiana-shotgun-deer-season/" TargetMode="External"/><Relationship Id="rId1466" Type="http://schemas.openxmlformats.org/officeDocument/2006/relationships/hyperlink" Target="https://www.wideopenspaces.com/tripod-treestand/" TargetMode="External"/><Relationship Id="rId1467" Type="http://schemas.openxmlformats.org/officeDocument/2006/relationships/hyperlink" Target="https://realtree.com/brow-tines-and-backstrap/debate-settled-deep-south-deer-are-the-toughest-to-hunt" TargetMode="External"/><Relationship Id="rId1468" Type="http://schemas.openxmlformats.org/officeDocument/2006/relationships/hyperlink" Target="https://realtree.com/brow-tines-and-backstrap/10-amazing-facts-about-velvet-antlers" TargetMode="External"/><Relationship Id="rId1469" Type="http://schemas.openxmlformats.org/officeDocument/2006/relationships/hyperlink" Target="https://realtree.com/timber-2-table-wild-game-recipes/contest-winning-venison-chili-recipe" TargetMode="External"/><Relationship Id="rId635" Type="http://schemas.openxmlformats.org/officeDocument/2006/relationships/hyperlink" Target="https://www.wideopenspaces.com/deer-tracks-identification/" TargetMode="External"/><Relationship Id="rId634" Type="http://schemas.openxmlformats.org/officeDocument/2006/relationships/hyperlink" Target="https://www.themeateater.com/wired-to-hunt/whitetail-scouting/what-you-need-to-know-about-deer-tracks" TargetMode="External"/><Relationship Id="rId633" Type="http://schemas.openxmlformats.org/officeDocument/2006/relationships/hyperlink" Target="https://www.wideopenspaces.com/what-are-the-best-deer-hunting-times-throughout-the-day/" TargetMode="External"/><Relationship Id="rId632" Type="http://schemas.openxmlformats.org/officeDocument/2006/relationships/hyperlink" Target="https://realtree.com/deer-hunting/articles/10-best-times-to-deer-hunt" TargetMode="External"/><Relationship Id="rId639" Type="http://schemas.openxmlformats.org/officeDocument/2006/relationships/hyperlink" Target="https://www.themeateater.com/wired-to-hunt/whitetail-hunting/does-temperature-affect-deer-movement" TargetMode="External"/><Relationship Id="rId638" Type="http://schemas.openxmlformats.org/officeDocument/2006/relationships/hyperlink" Target="https://store.themeateater.com/products/mule-deer-foundation-donation.html?lang=en_US" TargetMode="External"/><Relationship Id="rId637" Type="http://schemas.openxmlformats.org/officeDocument/2006/relationships/hyperlink" Target="https://www.wideopenspaces.com/you-actually-dont-have-to-know-how-to-butcher-a-deer-completely/" TargetMode="External"/><Relationship Id="rId636" Type="http://schemas.openxmlformats.org/officeDocument/2006/relationships/hyperlink" Target="https://www.themeateater.com/watch/6258237862001/s6-e06-cooking-special-butchering-a-whole-deer" TargetMode="External"/><Relationship Id="rId1460" Type="http://schemas.openxmlformats.org/officeDocument/2006/relationships/hyperlink" Target="https://realtree.com/brow-tines-and-backstrap/how-long-do-white-tailed-deer-live" TargetMode="External"/><Relationship Id="rId1461" Type="http://schemas.openxmlformats.org/officeDocument/2006/relationships/hyperlink" Target="https://www.wideopenspaces.com/lifespan-whitetail-deer/" TargetMode="External"/><Relationship Id="rId631" Type="http://schemas.openxmlformats.org/officeDocument/2006/relationships/hyperlink" Target="https://www.themeateater.com/wired-to-hunt/whitetail-hunting/do-mornings-or-evenings-make-better-rut-hunts" TargetMode="External"/><Relationship Id="rId1462" Type="http://schemas.openxmlformats.org/officeDocument/2006/relationships/hyperlink" Target="https://www.wideopenspaces.com/missouri-deer-hunting-all-to-know-about-this-buck-buck-paradise/" TargetMode="External"/><Relationship Id="rId630" Type="http://schemas.openxmlformats.org/officeDocument/2006/relationships/hyperlink" Target="https://realtree.com/brow-tines-and-backstrap/10-facts-about-the-whitetail-rut" TargetMode="External"/><Relationship Id="rId1463" Type="http://schemas.openxmlformats.org/officeDocument/2006/relationships/hyperlink" Target="https://realtree.com/brow-tines-and-backstrap/2022-southeast-deer-hunting-forecast" TargetMode="External"/><Relationship Id="rId1464" Type="http://schemas.openxmlformats.org/officeDocument/2006/relationships/hyperlink" Target="https://realtree.com/the-realblog-with-stephanie-mallory/red-stag-spotted-on-georgia-game-cameras" TargetMode="External"/><Relationship Id="rId1465" Type="http://schemas.openxmlformats.org/officeDocument/2006/relationships/hyperlink" Target="https://www.wideopenspaces.com/the-difference-between-a-bull-elk-and-a-red-stag/" TargetMode="External"/><Relationship Id="rId1411" Type="http://schemas.openxmlformats.org/officeDocument/2006/relationships/hyperlink" Target="https://www.themeateater.com/hunt/big-game/what-to-do-when-you-plan-on-getting-a-deer-mounted" TargetMode="External"/><Relationship Id="rId1895" Type="http://schemas.openxmlformats.org/officeDocument/2006/relationships/hyperlink" Target="https://www.wideopenspaces.com/mn-deer-hunting-zones/" TargetMode="External"/><Relationship Id="rId1412" Type="http://schemas.openxmlformats.org/officeDocument/2006/relationships/hyperlink" Target="https://realtree.com/brow-tines-and-backstrap/how-long-should-deer-taxidermy-take" TargetMode="External"/><Relationship Id="rId1896" Type="http://schemas.openxmlformats.org/officeDocument/2006/relationships/hyperlink" Target="https://realtree.com/brow-tines-and-backstrap/2022-midwest-deer-hunting-forecast" TargetMode="External"/><Relationship Id="rId1413" Type="http://schemas.openxmlformats.org/officeDocument/2006/relationships/hyperlink" Target="https://www.wideopenspaces.com/deer-taxidermy-options/" TargetMode="External"/><Relationship Id="rId1897" Type="http://schemas.openxmlformats.org/officeDocument/2006/relationships/hyperlink" Target="https://www.wideopenspaces.com/missouri-deer-hunting-all-to-know-about-this-buck-buck-paradise/" TargetMode="External"/><Relationship Id="rId1414" Type="http://schemas.openxmlformats.org/officeDocument/2006/relationships/hyperlink" Target="https://www.themeateater.com/wired-to-hunt/whitetail-hunting-gear/what-ive-learned-from-missing-so-many-deer" TargetMode="External"/><Relationship Id="rId1898" Type="http://schemas.openxmlformats.org/officeDocument/2006/relationships/hyperlink" Target="https://www.wideopenspaces.com/missouri-deer-hunting-all-to-know-about-this-buck-buck-paradise/" TargetMode="External"/><Relationship Id="rId1415" Type="http://schemas.openxmlformats.org/officeDocument/2006/relationships/hyperlink" Target="https://www.wideopenspaces.com/invasion-axis-deer/" TargetMode="External"/><Relationship Id="rId1899" Type="http://schemas.openxmlformats.org/officeDocument/2006/relationships/hyperlink" Target="https://www.wideopenspaces.com/mn-deer-hunting-zones/" TargetMode="External"/><Relationship Id="rId1416" Type="http://schemas.openxmlformats.org/officeDocument/2006/relationships/hyperlink" Target="https://www.wideopenspaces.com/how-to-clean-a-deer-skull/" TargetMode="External"/><Relationship Id="rId1417" Type="http://schemas.openxmlformats.org/officeDocument/2006/relationships/hyperlink" Target="https://www.wideopenspaces.com/rare-piebald-deer-herd/" TargetMode="External"/><Relationship Id="rId1418" Type="http://schemas.openxmlformats.org/officeDocument/2006/relationships/hyperlink" Target="https://realtree.com/brow-tines-and-backstrap/10-amazing-facts-about-velvet-antlers" TargetMode="External"/><Relationship Id="rId1419" Type="http://schemas.openxmlformats.org/officeDocument/2006/relationships/hyperlink" Target="https://realtree.com/brow-tines-and-backstrap/how-to-make-a-homemade-deer-feeder" TargetMode="External"/><Relationship Id="rId1890" Type="http://schemas.openxmlformats.org/officeDocument/2006/relationships/hyperlink" Target="https://www.wideopenspaces.com/deer-shed-antlers-pics/" TargetMode="External"/><Relationship Id="rId1891" Type="http://schemas.openxmlformats.org/officeDocument/2006/relationships/hyperlink" Target="https://www.wideopenspaces.com/michigan-muzzleloader-season/" TargetMode="External"/><Relationship Id="rId1892" Type="http://schemas.openxmlformats.org/officeDocument/2006/relationships/hyperlink" Target="https://www.wideopenspaces.com/michigan-deer-combo-license-explained/" TargetMode="External"/><Relationship Id="rId1893" Type="http://schemas.openxmlformats.org/officeDocument/2006/relationships/hyperlink" Target="https://www.wideopenspaces.com/mn-deer-hunting-zones/" TargetMode="External"/><Relationship Id="rId1410" Type="http://schemas.openxmlformats.org/officeDocument/2006/relationships/hyperlink" Target="https://www.themeateater.com/wired-to-hunt/whitetail-management/what-the-cwd-bill-means-for-deer-and-deer-hunters" TargetMode="External"/><Relationship Id="rId1894" Type="http://schemas.openxmlformats.org/officeDocument/2006/relationships/hyperlink" Target="https://realtree.com/brow-tines-and-backstrap/2022-midwest-deer-hunting-forecast" TargetMode="External"/><Relationship Id="rId1400" Type="http://schemas.openxmlformats.org/officeDocument/2006/relationships/hyperlink" Target="https://www.themeateater.com/conservation/policy-and-legislation/virginia-finally-ends-sunday-hunting-ban" TargetMode="External"/><Relationship Id="rId1884" Type="http://schemas.openxmlformats.org/officeDocument/2006/relationships/hyperlink" Target="https://www.wideopenspaces.com/whitetailwednesday-15-hilarious-deer-hunting-memes-true/" TargetMode="External"/><Relationship Id="rId1401" Type="http://schemas.openxmlformats.org/officeDocument/2006/relationships/hyperlink" Target="https://realtree.com/deer-hunting/articles/the-best-times-to-deer-hunt-in-2022" TargetMode="External"/><Relationship Id="rId1885" Type="http://schemas.openxmlformats.org/officeDocument/2006/relationships/hyperlink" Target="https://www.wideopenspaces.com/georgia-deer-hunting/" TargetMode="External"/><Relationship Id="rId1402" Type="http://schemas.openxmlformats.org/officeDocument/2006/relationships/hyperlink" Target="https://www.themeateater.com/" TargetMode="External"/><Relationship Id="rId1886" Type="http://schemas.openxmlformats.org/officeDocument/2006/relationships/hyperlink" Target="https://www.wideopenspaces.com/10-best-valentines-day-gifts-hunter/" TargetMode="External"/><Relationship Id="rId1403" Type="http://schemas.openxmlformats.org/officeDocument/2006/relationships/hyperlink" Target="https://www.themeateater.com/cook/cooking-techniques/5-organs-you-should-save-from-deer" TargetMode="External"/><Relationship Id="rId1887" Type="http://schemas.openxmlformats.org/officeDocument/2006/relationships/hyperlink" Target="https://realtree.com/brow-tines-and-backstrap/8-things-you-can-use-to-bait-deer" TargetMode="External"/><Relationship Id="rId1404" Type="http://schemas.openxmlformats.org/officeDocument/2006/relationships/hyperlink" Target="https://realtree.com/the-realblog-with-stephanie-mallory/did-you-know-deer-eat-meat" TargetMode="External"/><Relationship Id="rId1888" Type="http://schemas.openxmlformats.org/officeDocument/2006/relationships/hyperlink" Target="https://realtree.com/brow-tines-and-backstrap/how-long-do-white-tailed-deer-live" TargetMode="External"/><Relationship Id="rId1405" Type="http://schemas.openxmlformats.org/officeDocument/2006/relationships/hyperlink" Target="https://www.wideopenspaces.com/do-deer-eat-meat/" TargetMode="External"/><Relationship Id="rId1889" Type="http://schemas.openxmlformats.org/officeDocument/2006/relationships/hyperlink" Target="https://realtree.com/brow-tines-and-backstrap/why-are-some-bucks-shedding-antlers-early" TargetMode="External"/><Relationship Id="rId1406" Type="http://schemas.openxmlformats.org/officeDocument/2006/relationships/hyperlink" Target="https://www.themeateater.com/wired-to-hunt/whitetail-management/what-you-need-to-know-about-minerals-for-deer" TargetMode="External"/><Relationship Id="rId1407" Type="http://schemas.openxmlformats.org/officeDocument/2006/relationships/hyperlink" Target="https://realtree.com/deer-hunting/articles/do-your-deer-need-minerals" TargetMode="External"/><Relationship Id="rId1408" Type="http://schemas.openxmlformats.org/officeDocument/2006/relationships/hyperlink" Target="https://www.themeateater.com/wired-to-hunt/whitetail-management/whitetails-and-mulies-a-comparison" TargetMode="External"/><Relationship Id="rId1409" Type="http://schemas.openxmlformats.org/officeDocument/2006/relationships/hyperlink" Target="https://www.themeateater.com/" TargetMode="External"/><Relationship Id="rId1880" Type="http://schemas.openxmlformats.org/officeDocument/2006/relationships/hyperlink" Target="https://realtree.com/deer-hunting" TargetMode="External"/><Relationship Id="rId1881" Type="http://schemas.openxmlformats.org/officeDocument/2006/relationships/hyperlink" Target="https://www.wideopenspaces.com/what-do-foxes-eat/" TargetMode="External"/><Relationship Id="rId1882" Type="http://schemas.openxmlformats.org/officeDocument/2006/relationships/hyperlink" Target="https://realtree.com/deer-hunting/articles/8-major-differences-between-whitetails-and-mule-deer" TargetMode="External"/><Relationship Id="rId1883" Type="http://schemas.openxmlformats.org/officeDocument/2006/relationships/hyperlink" Target="https://realtree.com/deer-hunting/articles/blunders-afield-funny-and-weird-mistakes-that-cost-me-deer" TargetMode="External"/><Relationship Id="rId1433" Type="http://schemas.openxmlformats.org/officeDocument/2006/relationships/hyperlink" Target="https://realtree.com/brow-tines-and-backstrap/2022-midwest-deer-hunting-forecast" TargetMode="External"/><Relationship Id="rId1434" Type="http://schemas.openxmlformats.org/officeDocument/2006/relationships/hyperlink" Target="https://www.wideopenspaces.com/when-does-deer-season-end-in-missouri/" TargetMode="External"/><Relationship Id="rId1435" Type="http://schemas.openxmlformats.org/officeDocument/2006/relationships/hyperlink" Target="https://www.wideopenspaces.com/tripod-treestand/" TargetMode="External"/><Relationship Id="rId1436" Type="http://schemas.openxmlformats.org/officeDocument/2006/relationships/hyperlink" Target="https://realtree.com/all/articles/just-add-water" TargetMode="External"/><Relationship Id="rId1437" Type="http://schemas.openxmlformats.org/officeDocument/2006/relationships/hyperlink" Target="https://realtree.com/the-realblog-with-stephanie-mallory/did-you-know-deer-eat-meat" TargetMode="External"/><Relationship Id="rId1438" Type="http://schemas.openxmlformats.org/officeDocument/2006/relationships/hyperlink" Target="https://www.wideopenspaces.com/do-deer-eat-meat/" TargetMode="External"/><Relationship Id="rId1439" Type="http://schemas.openxmlformats.org/officeDocument/2006/relationships/hyperlink" Target="https://realtree.com/brow-tines-and-backstrap/have-you-ever-seen-a-melanistic-whitetail" TargetMode="External"/><Relationship Id="rId609" Type="http://schemas.openxmlformats.org/officeDocument/2006/relationships/hyperlink" Target="https://www.wideopenspaces.com/best-mule-deer-hunting-states/" TargetMode="External"/><Relationship Id="rId608" Type="http://schemas.openxmlformats.org/officeDocument/2006/relationships/hyperlink" Target="https://www.themeateater.com/hunt/big-game/ask-meateater-where-should-i-go-on-my-first-mule-deer-hunt" TargetMode="External"/><Relationship Id="rId607" Type="http://schemas.openxmlformats.org/officeDocument/2006/relationships/hyperlink" Target="https://realtree.com/timber-2-table-articles/meat-hunter-s-rules-for-shooting-the-right-deer" TargetMode="External"/><Relationship Id="rId602" Type="http://schemas.openxmlformats.org/officeDocument/2006/relationships/hyperlink" Target="https://www.wideopenspaces.com/what-are-the-best-deer-hunting-times-throughout-the-day/" TargetMode="External"/><Relationship Id="rId601" Type="http://schemas.openxmlformats.org/officeDocument/2006/relationships/hyperlink" Target="https://www.themeateater.com/hunt/whitetail-deer/americas-worst-deer-hunting-law-could-change-next-week" TargetMode="External"/><Relationship Id="rId600" Type="http://schemas.openxmlformats.org/officeDocument/2006/relationships/hyperlink" Target="https://www.themeateater.com/watch/6252076018001/s2-e03-big-beautiful-bucks-colorado-mule-deer" TargetMode="External"/><Relationship Id="rId606" Type="http://schemas.openxmlformats.org/officeDocument/2006/relationships/hyperlink" Target="https://www.themeateater.com/cook/butchering-and-processing/how-much-fat-should-you-add-to-ground-venison" TargetMode="External"/><Relationship Id="rId605" Type="http://schemas.openxmlformats.org/officeDocument/2006/relationships/hyperlink" Target="https://www.wideopenspaces.com/what-are-the-best-deer-hunting-times-throughout-the-day/" TargetMode="External"/><Relationship Id="rId604" Type="http://schemas.openxmlformats.org/officeDocument/2006/relationships/hyperlink" Target="https://realtree.com/deer-hunting/articles/the-best-times-to-deer-hunt-in-2022" TargetMode="External"/><Relationship Id="rId603" Type="http://schemas.openxmlformats.org/officeDocument/2006/relationships/hyperlink" Target="https://www.themeateater.com/watch/6280954363001/s1-e25-does-wind-actually-impact-deer-movement" TargetMode="External"/><Relationship Id="rId1430" Type="http://schemas.openxmlformats.org/officeDocument/2006/relationships/hyperlink" Target="https://realtree.com/brow-tines-and-backstrap/when-to-draw-your-bow-on-deer" TargetMode="External"/><Relationship Id="rId1431" Type="http://schemas.openxmlformats.org/officeDocument/2006/relationships/hyperlink" Target="https://realtree.com/timber-2-table-articles/5-things-your-deer-processor-hates" TargetMode="External"/><Relationship Id="rId1432" Type="http://schemas.openxmlformats.org/officeDocument/2006/relationships/hyperlink" Target="https://realtree.com/deer-hunting/articles/the-best-times-to-deer-hunt-in-2022" TargetMode="External"/><Relationship Id="rId1422" Type="http://schemas.openxmlformats.org/officeDocument/2006/relationships/hyperlink" Target="https://realtree.com/brow-tines-and-backstrap/will-skyrocketing-corn-prices-affect-your-deer-season" TargetMode="External"/><Relationship Id="rId1423" Type="http://schemas.openxmlformats.org/officeDocument/2006/relationships/hyperlink" Target="https://realtree.com/brow-tines-and-backstrap/10-amazing-facts-about-velvet-antlers" TargetMode="External"/><Relationship Id="rId1424" Type="http://schemas.openxmlformats.org/officeDocument/2006/relationships/hyperlink" Target="https://realtree.com/brow-tines-and-backstrap/will-ehd-be-a-factor-this-deer-season" TargetMode="External"/><Relationship Id="rId1425" Type="http://schemas.openxmlformats.org/officeDocument/2006/relationships/hyperlink" Target="https://www.wideopenspaces.com/deer-feeding-times/" TargetMode="External"/><Relationship Id="rId1426" Type="http://schemas.openxmlformats.org/officeDocument/2006/relationships/hyperlink" Target="https://realtree.com/brow-tines-and-backstrap/how-long-should-deer-taxidermy-take" TargetMode="External"/><Relationship Id="rId1427" Type="http://schemas.openxmlformats.org/officeDocument/2006/relationships/hyperlink" Target="https://realtree.com/all/articles/antler-trivia" TargetMode="External"/><Relationship Id="rId1428" Type="http://schemas.openxmlformats.org/officeDocument/2006/relationships/hyperlink" Target="https://realtree.com/timber-2-table-articles/5-things-your-deer-processor-hates" TargetMode="External"/><Relationship Id="rId1429" Type="http://schemas.openxmlformats.org/officeDocument/2006/relationships/hyperlink" Target="https://realtree.com/deer-hunting/articles/5-characteristics-of-adult-does" TargetMode="External"/><Relationship Id="rId1420" Type="http://schemas.openxmlformats.org/officeDocument/2006/relationships/hyperlink" Target="https://realtree.com/brow-tines-and-backstrap/when-to-draw-your-bow-on-deer" TargetMode="External"/><Relationship Id="rId1421" Type="http://schemas.openxmlformats.org/officeDocument/2006/relationships/hyperlink" Target="https://www.wideopenspaces.com/whitetailwednesday-should-we-shoot-albino-and-piebald-deer/" TargetMode="External"/><Relationship Id="rId1059" Type="http://schemas.openxmlformats.org/officeDocument/2006/relationships/hyperlink" Target="https://realtree.com/brow-tines-and-backstrap/just-how-bad-has-winter-kill-been-on-deer-this-year" TargetMode="External"/><Relationship Id="rId228" Type="http://schemas.openxmlformats.org/officeDocument/2006/relationships/hyperlink" Target="https://www.wideopenspaces.com/how-long-can-it-realistically-take-a-beginner-to-kill-a-deer-with-a-crossbow/" TargetMode="External"/><Relationship Id="rId227" Type="http://schemas.openxmlformats.org/officeDocument/2006/relationships/hyperlink" Target="https://realtree.com/brow-tines-and-backstrap/5-tips-for-better-crossbow-hunting" TargetMode="External"/><Relationship Id="rId226" Type="http://schemas.openxmlformats.org/officeDocument/2006/relationships/hyperlink" Target="https://www.themeateater.com/wired-to-hunt/whitetail-hunting-gear/is-crossbow-hunting-really-archery-hunting" TargetMode="External"/><Relationship Id="rId225" Type="http://schemas.openxmlformats.org/officeDocument/2006/relationships/hyperlink" Target="https://realtree.com/big-game-hunting/articles/5-things-to-know-about-big-mule-deer" TargetMode="External"/><Relationship Id="rId229" Type="http://schemas.openxmlformats.org/officeDocument/2006/relationships/hyperlink" Target="https://www.themeateater.com/wired-to-hunt/whitetail-hunting/3-grunt-call-vocalizations-every-whitetail-hunter-should-know" TargetMode="External"/><Relationship Id="rId1050" Type="http://schemas.openxmlformats.org/officeDocument/2006/relationships/hyperlink" Target="https://www.themeateater.com/hunt/big-game/ask-meateater-where-should-i-go-on-my-first-mule-deer-hunt" TargetMode="External"/><Relationship Id="rId220" Type="http://schemas.openxmlformats.org/officeDocument/2006/relationships/hyperlink" Target="https://realtree.com/deer-hunting/articles/8-major-differences-between-whitetails-and-mule-deer" TargetMode="External"/><Relationship Id="rId1051" Type="http://schemas.openxmlformats.org/officeDocument/2006/relationships/hyperlink" Target="https://www.wideopenspaces.com/mule-deer-hunt-velvet-mule-deer/" TargetMode="External"/><Relationship Id="rId1052" Type="http://schemas.openxmlformats.org/officeDocument/2006/relationships/hyperlink" Target="https://www.themeateater.com/hunt/big-game/ask-meateater-where-should-i-go-on-my-first-mule-deer-hunt" TargetMode="External"/><Relationship Id="rId1053" Type="http://schemas.openxmlformats.org/officeDocument/2006/relationships/hyperlink" Target="https://realtree.com/deer-hunting/articles/where-to-deer-hunt-in-february" TargetMode="External"/><Relationship Id="rId1054" Type="http://schemas.openxmlformats.org/officeDocument/2006/relationships/hyperlink" Target="https://www.wideopenspaces.com/what-are-the-best-deer-hunting-times-throughout-the-day/" TargetMode="External"/><Relationship Id="rId224" Type="http://schemas.openxmlformats.org/officeDocument/2006/relationships/hyperlink" Target="https://www.themeateater.com/watch/6290992279001/how-to-score-a-mule-deer-buck" TargetMode="External"/><Relationship Id="rId1055" Type="http://schemas.openxmlformats.org/officeDocument/2006/relationships/hyperlink" Target="https://www.themeateater.com/wired-to-hunt/whitetail-hunting/the-debate-about-lunar-effects-on-whitetails" TargetMode="External"/><Relationship Id="rId223" Type="http://schemas.openxmlformats.org/officeDocument/2006/relationships/hyperlink" Target="https://realtree.com/timber-2-table-wild-game-recipes/black-pepper-and-honey-deer-steak-bites-recipe" TargetMode="External"/><Relationship Id="rId1056" Type="http://schemas.openxmlformats.org/officeDocument/2006/relationships/hyperlink" Target="https://realtree.com/deer-hunting/articles/10-best-times-to-deer-hunt" TargetMode="External"/><Relationship Id="rId222" Type="http://schemas.openxmlformats.org/officeDocument/2006/relationships/hyperlink" Target="https://www.themeateater.com/wild-and-whole/wild-recipes/butter-basted-venison-steaks-recipe" TargetMode="External"/><Relationship Id="rId1057" Type="http://schemas.openxmlformats.org/officeDocument/2006/relationships/hyperlink" Target="https://www.wideopenspaces.com/what-are-the-best-deer-hunting-times-throughout-the-day/" TargetMode="External"/><Relationship Id="rId221" Type="http://schemas.openxmlformats.org/officeDocument/2006/relationships/hyperlink" Target="https://www.wideopenspaces.com/whitetail-vs-mule-deer-the-differences-why-you-should-hunt-them-and-which-is-best/" TargetMode="External"/><Relationship Id="rId1058" Type="http://schemas.openxmlformats.org/officeDocument/2006/relationships/hyperlink" Target="https://www.themeateater.com/cook/butchering-and-processing/do-you-need-to-bleed-deer" TargetMode="External"/><Relationship Id="rId1048" Type="http://schemas.openxmlformats.org/officeDocument/2006/relationships/hyperlink" Target="https://realtree.com/brow-tines-and-backstrap/10-feeding-habits-of-mature-deer" TargetMode="External"/><Relationship Id="rId1049" Type="http://schemas.openxmlformats.org/officeDocument/2006/relationships/hyperlink" Target="https://www.wideopenspaces.com/what-do-deer-eat/" TargetMode="External"/><Relationship Id="rId217" Type="http://schemas.openxmlformats.org/officeDocument/2006/relationships/hyperlink" Target="https://www.themeateater.com/hunt/big-game/how-to-hang-and-skin-a-deer-in-the-field" TargetMode="External"/><Relationship Id="rId216" Type="http://schemas.openxmlformats.org/officeDocument/2006/relationships/hyperlink" Target="https://www.themeateater.com/conservation/wildlife-management/why-do-female-deer-sometimes-grow-antlers" TargetMode="External"/><Relationship Id="rId215" Type="http://schemas.openxmlformats.org/officeDocument/2006/relationships/hyperlink" Target="https://www.themeateater.com/wired-to-hunt/whitetail-hunting/deer-vision-how-whitetails-see-color-light-and-movement" TargetMode="External"/><Relationship Id="rId699" Type="http://schemas.openxmlformats.org/officeDocument/2006/relationships/hyperlink" Target="https://www.themeateater.com/wired-to-hunt/whitetail-hunting/the-debate-about-lunar-effects-on-whitetails" TargetMode="External"/><Relationship Id="rId214" Type="http://schemas.openxmlformats.org/officeDocument/2006/relationships/hyperlink" Target="https://www.wideopenspaces.com/whitetail-vs-mule-deer-the-differences-why-you-should-hunt-them-and-which-is-best/" TargetMode="External"/><Relationship Id="rId698" Type="http://schemas.openxmlformats.org/officeDocument/2006/relationships/hyperlink" Target="https://www.themeateater.com/hunt/black-tailed-deer/a-guide-to-hunting-blacktail-deer" TargetMode="External"/><Relationship Id="rId219" Type="http://schemas.openxmlformats.org/officeDocument/2006/relationships/hyperlink" Target="https://www.themeateater.com/wired-to-hunt/whitetail-management/whitetails-and-mulies-a-comparison" TargetMode="External"/><Relationship Id="rId218" Type="http://schemas.openxmlformats.org/officeDocument/2006/relationships/hyperlink" Target="https://realtree.com/timber-2-table-wild-game-recipes/how-to-skin-a-deer-in-6-steps" TargetMode="External"/><Relationship Id="rId693" Type="http://schemas.openxmlformats.org/officeDocument/2006/relationships/hyperlink" Target="https://realtree.com/timber-2-table-wild-game-recipes/bourbon-buttermilk-fried-deer-tenderloin" TargetMode="External"/><Relationship Id="rId1040" Type="http://schemas.openxmlformats.org/officeDocument/2006/relationships/hyperlink" Target="https://www.themeateater.com/cook/butchering-and-processing/how-much-fat-should-you-add-to-ground-venison" TargetMode="External"/><Relationship Id="rId692" Type="http://schemas.openxmlformats.org/officeDocument/2006/relationships/hyperlink" Target="https://www.themeateater.com/wild-and-whole/wild-recipes/butter-basted-venison-steaks-recipe" TargetMode="External"/><Relationship Id="rId1041" Type="http://schemas.openxmlformats.org/officeDocument/2006/relationships/hyperlink" Target="https://realtree.com/deer-hunting/articles/12-reasons-why-your-venison-tastes-like-hell" TargetMode="External"/><Relationship Id="rId691" Type="http://schemas.openxmlformats.org/officeDocument/2006/relationships/hyperlink" Target="https://realtree.com/food-plots-and-land-management/galleries/how-to-plant-a-micro-kill-plot-for-deer" TargetMode="External"/><Relationship Id="rId1042" Type="http://schemas.openxmlformats.org/officeDocument/2006/relationships/hyperlink" Target="https://www.themeateater.com/hunt/whitetail-deer/video-rutting-buck-makes-crazy-vocalizations" TargetMode="External"/><Relationship Id="rId690" Type="http://schemas.openxmlformats.org/officeDocument/2006/relationships/hyperlink" Target="https://www.themeateater.com/wired-to-hunt/whitetail-management/how-to-plant-a-food-plot-on-a-budget" TargetMode="External"/><Relationship Id="rId1043" Type="http://schemas.openxmlformats.org/officeDocument/2006/relationships/hyperlink" Target="https://www.wideopenspaces.com/deer-sounds-making-sense-of-the-sounds-of-the-deer-woods/" TargetMode="External"/><Relationship Id="rId213" Type="http://schemas.openxmlformats.org/officeDocument/2006/relationships/hyperlink" Target="https://realtree.com/deer-hunting/articles/8-major-differences-between-whitetails-and-mule-deer" TargetMode="External"/><Relationship Id="rId697" Type="http://schemas.openxmlformats.org/officeDocument/2006/relationships/hyperlink" Target="https://www.wideopenspaces.com/heres-a-video-showing-how-much-meat-you-should-expect-from-a-whitetail-deer/" TargetMode="External"/><Relationship Id="rId1044" Type="http://schemas.openxmlformats.org/officeDocument/2006/relationships/hyperlink" Target="https://www.themeateater.com/hunt/whitetail-deer/is-this-50-point-whitetail-the-new-world-record" TargetMode="External"/><Relationship Id="rId212" Type="http://schemas.openxmlformats.org/officeDocument/2006/relationships/hyperlink" Target="https://www.themeateater.com/wired-to-hunt/whitetail-management/whitetails-and-mulies-a-comparison" TargetMode="External"/><Relationship Id="rId696" Type="http://schemas.openxmlformats.org/officeDocument/2006/relationships/hyperlink" Target="https://realtree.com/timber-2-table-articles/meat-hunter-s-rules-for-shooting-the-right-deer" TargetMode="External"/><Relationship Id="rId1045" Type="http://schemas.openxmlformats.org/officeDocument/2006/relationships/hyperlink" Target="https://realtree.com/deer-hunting/articles/10-tips-for-great-deer-pictures" TargetMode="External"/><Relationship Id="rId211" Type="http://schemas.openxmlformats.org/officeDocument/2006/relationships/hyperlink" Target="https://realtree.com/brow-tines-and-backstrap/podcast-how-the-grunt-call-came-to-be" TargetMode="External"/><Relationship Id="rId695" Type="http://schemas.openxmlformats.org/officeDocument/2006/relationships/hyperlink" Target="https://www.themeateater.com/cook/butchering-and-processing/how-much-fat-should-you-add-to-ground-venison" TargetMode="External"/><Relationship Id="rId1046" Type="http://schemas.openxmlformats.org/officeDocument/2006/relationships/hyperlink" Target="https://www.wideopenspaces.com/check-25-awesome-vintage-deer-hunting-photos-whitetailwednesday/" TargetMode="External"/><Relationship Id="rId210" Type="http://schemas.openxmlformats.org/officeDocument/2006/relationships/hyperlink" Target="https://www.themeateater.com/wired-to-hunt/whitetail-hunting/3-grunt-call-vocalizations-every-whitetail-hunter-should-know" TargetMode="External"/><Relationship Id="rId694" Type="http://schemas.openxmlformats.org/officeDocument/2006/relationships/hyperlink" Target="https://www.wideopenspaces.com/top-6-venison-tenderloin-recipes/" TargetMode="External"/><Relationship Id="rId1047" Type="http://schemas.openxmlformats.org/officeDocument/2006/relationships/hyperlink" Target="https://www.themeateater.com/wired-to-hunt/whitetail-management/10-natural-food-sources-every-deer-hunter-should-know" TargetMode="External"/><Relationship Id="rId249" Type="http://schemas.openxmlformats.org/officeDocument/2006/relationships/hyperlink" Target="https://www.themeateater.com/hunt/big-game/how-to-hang-and-skin-a-deer-in-the-field" TargetMode="External"/><Relationship Id="rId248" Type="http://schemas.openxmlformats.org/officeDocument/2006/relationships/hyperlink" Target="https://www.wideopenspaces.com/venison-cuts-ranked/" TargetMode="External"/><Relationship Id="rId247" Type="http://schemas.openxmlformats.org/officeDocument/2006/relationships/hyperlink" Target="https://www.themeateater.com/cook/cooking-techniques/5-venison-cuts-you-need-to-know" TargetMode="External"/><Relationship Id="rId1070" Type="http://schemas.openxmlformats.org/officeDocument/2006/relationships/hyperlink" Target="https://www.themeateater.com/wired-to-hunt/whitetail-scouting/best-food-sources-to-deer-hunt-in-october" TargetMode="External"/><Relationship Id="rId1071" Type="http://schemas.openxmlformats.org/officeDocument/2006/relationships/hyperlink" Target="https://www.themeateater.com/hunt/whitetail-deer/photos-this-buck-might-crush-the-indiana-state-record" TargetMode="External"/><Relationship Id="rId1072" Type="http://schemas.openxmlformats.org/officeDocument/2006/relationships/hyperlink" Target="https://www.wideopenspaces.com/8-ways-take-bad-photo-trophy-buck-pics/" TargetMode="External"/><Relationship Id="rId242" Type="http://schemas.openxmlformats.org/officeDocument/2006/relationships/hyperlink" Target="https://www.wideopenspaces.com/where-to-shoot-a-deer-for-the-best-odds-of-a-quick-kill/" TargetMode="External"/><Relationship Id="rId1073" Type="http://schemas.openxmlformats.org/officeDocument/2006/relationships/hyperlink" Target="https://www.themeateater.com/hunt/general/ask-meateater-how-do-you-make-a-skull-mount" TargetMode="External"/><Relationship Id="rId241" Type="http://schemas.openxmlformats.org/officeDocument/2006/relationships/hyperlink" Target="https://realtree.com/deer-hunting/articles/the-best-shot-placement-on-deer" TargetMode="External"/><Relationship Id="rId1074" Type="http://schemas.openxmlformats.org/officeDocument/2006/relationships/hyperlink" Target="https://www.wideopenspaces.com/european-skull-mount/" TargetMode="External"/><Relationship Id="rId240" Type="http://schemas.openxmlformats.org/officeDocument/2006/relationships/hyperlink" Target="https://www.themeateater.com/wired-to-hunt/whitetail-hunting/where-to-shoot-a-deer" TargetMode="External"/><Relationship Id="rId1075" Type="http://schemas.openxmlformats.org/officeDocument/2006/relationships/hyperlink" Target="https://www.themeateater.com/wired-to-hunt/whitetail-hunting/how-to-call-in-bucks-during-each-phase-of-the-season" TargetMode="External"/><Relationship Id="rId1076" Type="http://schemas.openxmlformats.org/officeDocument/2006/relationships/hyperlink" Target="https://realtree.com/deer-hunting/articles/smack-talk-aggressive-deer-calling-strategies" TargetMode="External"/><Relationship Id="rId246" Type="http://schemas.openxmlformats.org/officeDocument/2006/relationships/hyperlink" Target="https://realtree.com/brow-tines-and-backstrap/why-buck-tarsal-is-the-deadliest-scent-in-the-deer-woods" TargetMode="External"/><Relationship Id="rId1077" Type="http://schemas.openxmlformats.org/officeDocument/2006/relationships/hyperlink" Target="https://www.themeateater.com/wired-to-hunt/whitetail-scouting/youre-using-trail-camera-photos-wrong" TargetMode="External"/><Relationship Id="rId245" Type="http://schemas.openxmlformats.org/officeDocument/2006/relationships/hyperlink" Target="https://www.themeateater.com/wired-to-hunt/whitetail-management/what-you-need-to-know-about-whitetail-buck-glands" TargetMode="External"/><Relationship Id="rId1078" Type="http://schemas.openxmlformats.org/officeDocument/2006/relationships/hyperlink" Target="https://realtree.com/brow-tines-and-backstrap/how-to-use-a-trail-camera" TargetMode="External"/><Relationship Id="rId244" Type="http://schemas.openxmlformats.org/officeDocument/2006/relationships/hyperlink" Target="https://www.wideopenspaces.com/venison-cuts-ranked/" TargetMode="External"/><Relationship Id="rId1079" Type="http://schemas.openxmlformats.org/officeDocument/2006/relationships/hyperlink" Target="https://www.wideopenspaces.com/11-trail-cameras-tested-quality-distance-trigger-speed/" TargetMode="External"/><Relationship Id="rId243" Type="http://schemas.openxmlformats.org/officeDocument/2006/relationships/hyperlink" Target="https://www.themeateater.com/cook/cooking-techniques/5-venison-cuts-you-need-to-know" TargetMode="External"/><Relationship Id="rId239" Type="http://schemas.openxmlformats.org/officeDocument/2006/relationships/hyperlink" Target="https://www.wideopenspaces.com/tell-age-deer-pics/" TargetMode="External"/><Relationship Id="rId238" Type="http://schemas.openxmlformats.org/officeDocument/2006/relationships/hyperlink" Target="https://realtree.com/deer-hunting/articles/really-how-old-is-that-buck" TargetMode="External"/><Relationship Id="rId237" Type="http://schemas.openxmlformats.org/officeDocument/2006/relationships/hyperlink" Target="https://www.themeateater.com/wired-to-hunt/whitetail-management/how-to-age-a-whitetail-buck-on-the-hoof" TargetMode="External"/><Relationship Id="rId236" Type="http://schemas.openxmlformats.org/officeDocument/2006/relationships/hyperlink" Target="https://www.wideopenspaces.com/where-to-shoot-a-deer-for-the-best-odds-of-a-quick-kill/" TargetMode="External"/><Relationship Id="rId1060" Type="http://schemas.openxmlformats.org/officeDocument/2006/relationships/hyperlink" Target="https://www.themeateater.com/cook/recipes/how-to-make-wild-game-stock" TargetMode="External"/><Relationship Id="rId1061" Type="http://schemas.openxmlformats.org/officeDocument/2006/relationships/hyperlink" Target="https://www.themeateater.com/hunt/whitetail-deer/photos-how-to-build-a-deer-blind-from-pallets" TargetMode="External"/><Relationship Id="rId231" Type="http://schemas.openxmlformats.org/officeDocument/2006/relationships/hyperlink" Target="https://www.wideopenspaces.com/deer-sounds-making-sense-of-the-sounds-of-the-deer-woods/" TargetMode="External"/><Relationship Id="rId1062" Type="http://schemas.openxmlformats.org/officeDocument/2006/relationships/hyperlink" Target="https://www.wideopenspaces.com/8-homemade-hunting-blinds-pics/" TargetMode="External"/><Relationship Id="rId230" Type="http://schemas.openxmlformats.org/officeDocument/2006/relationships/hyperlink" Target="https://realtree.com/deer-hunting/articles/smack-talk-aggressive-deer-calling-strategies" TargetMode="External"/><Relationship Id="rId1063" Type="http://schemas.openxmlformats.org/officeDocument/2006/relationships/hyperlink" Target="https://www.themeateater.com/hunt/whitetail-deer/video-zombie-deer-with-unbelievable-wound-caught-on-trail-camera" TargetMode="External"/><Relationship Id="rId1064" Type="http://schemas.openxmlformats.org/officeDocument/2006/relationships/hyperlink" Target="https://www.themeateater.com/recipes/cuts/ground" TargetMode="External"/><Relationship Id="rId1065" Type="http://schemas.openxmlformats.org/officeDocument/2006/relationships/hyperlink" Target="https://realtree.com/timber-2-table-wild-game-recipes/ground-venison-and-rice-bake" TargetMode="External"/><Relationship Id="rId235" Type="http://schemas.openxmlformats.org/officeDocument/2006/relationships/hyperlink" Target="https://realtree.com/deer-hunting/articles/the-best-shot-placement-on-deer" TargetMode="External"/><Relationship Id="rId1066" Type="http://schemas.openxmlformats.org/officeDocument/2006/relationships/hyperlink" Target="https://www.themeateater.com/cook/recipes/copycat-white-castle-venison-burgers" TargetMode="External"/><Relationship Id="rId234" Type="http://schemas.openxmlformats.org/officeDocument/2006/relationships/hyperlink" Target="https://www.themeateater.com/wired-to-hunt/whitetail-hunting/where-to-shoot-a-deer" TargetMode="External"/><Relationship Id="rId1067" Type="http://schemas.openxmlformats.org/officeDocument/2006/relationships/hyperlink" Target="https://www.wideopenspaces.com/axis-venison-burgers/" TargetMode="External"/><Relationship Id="rId233" Type="http://schemas.openxmlformats.org/officeDocument/2006/relationships/hyperlink" Target="https://realtree.com/timber-2-table-wild-game-recipes/pan-fried-venison-liver-with-onions-and-beer-gravy-recipe" TargetMode="External"/><Relationship Id="rId1068" Type="http://schemas.openxmlformats.org/officeDocument/2006/relationships/hyperlink" Target="https://www.themeateater.com/listen/wired-to-hunt/ep-341-planning-a-once-in-a-lifetime-michigan-deer-hunt-with-dan-johnson" TargetMode="External"/><Relationship Id="rId232" Type="http://schemas.openxmlformats.org/officeDocument/2006/relationships/hyperlink" Target="https://www.themeateater.com/cook/recipes/liver-and-onions-recipe" TargetMode="External"/><Relationship Id="rId1069" Type="http://schemas.openxmlformats.org/officeDocument/2006/relationships/hyperlink" Target="https://www.wideopenspaces.com/an-outsiders-look-at-michigan-deer-hunting/" TargetMode="External"/><Relationship Id="rId1015" Type="http://schemas.openxmlformats.org/officeDocument/2006/relationships/hyperlink" Target="https://realtree.com/deer-hunting/articles/5-advanced-trail-camera-tactics" TargetMode="External"/><Relationship Id="rId1499" Type="http://schemas.openxmlformats.org/officeDocument/2006/relationships/hyperlink" Target="https://realtree.com/brow-tines-and-backstrap/2022-southeast-deer-hunting-forecast" TargetMode="External"/><Relationship Id="rId1016" Type="http://schemas.openxmlformats.org/officeDocument/2006/relationships/hyperlink" Target="https://www.wideopenspaces.com/11-trail-cameras-tested-quality-distance-trigger-speed/" TargetMode="External"/><Relationship Id="rId1017" Type="http://schemas.openxmlformats.org/officeDocument/2006/relationships/hyperlink" Target="https://www.themeateater.com/conservation/wildlife-management/why-do-female-deer-sometimes-grow-antlers" TargetMode="External"/><Relationship Id="rId1018" Type="http://schemas.openxmlformats.org/officeDocument/2006/relationships/hyperlink" Target="https://realtree.com/all/articles/antler-trivia" TargetMode="External"/><Relationship Id="rId1019" Type="http://schemas.openxmlformats.org/officeDocument/2006/relationships/hyperlink" Target="https://www.themeateater.com/gear/general/best-trail-cameras" TargetMode="External"/><Relationship Id="rId668" Type="http://schemas.openxmlformats.org/officeDocument/2006/relationships/hyperlink" Target="https://www.themeateater.com/watch/6290992279001/how-to-score-a-mule-deer-buck" TargetMode="External"/><Relationship Id="rId667" Type="http://schemas.openxmlformats.org/officeDocument/2006/relationships/hyperlink" Target="https://realtree.com/deer-hunting/articles/the-new-hunter-s-guide-to-buying-your-first-deer-rifle" TargetMode="External"/><Relationship Id="rId666" Type="http://schemas.openxmlformats.org/officeDocument/2006/relationships/hyperlink" Target="https://www.themeateater.com/hunt/firearm-hunting/is-your-deer-gun-overkill" TargetMode="External"/><Relationship Id="rId665" Type="http://schemas.openxmlformats.org/officeDocument/2006/relationships/hyperlink" Target="https://realtree.com/food-plots-and-land-management/articles/mess-hall-mixtures-5-food-plot-combos-for-full-season" TargetMode="External"/><Relationship Id="rId669" Type="http://schemas.openxmlformats.org/officeDocument/2006/relationships/hyperlink" Target="https://www.themeateater.com/conservation/wildlife-management/why-do-female-deer-sometimes-grow-antlers" TargetMode="External"/><Relationship Id="rId1490" Type="http://schemas.openxmlformats.org/officeDocument/2006/relationships/hyperlink" Target="https://realtree.com/timber-2-table-articles/5-things-your-deer-processor-hates" TargetMode="External"/><Relationship Id="rId660" Type="http://schemas.openxmlformats.org/officeDocument/2006/relationships/hyperlink" Target="https://realtree.com/timber-2-table-wild-game-recipes/venison-recipes" TargetMode="External"/><Relationship Id="rId1491" Type="http://schemas.openxmlformats.org/officeDocument/2006/relationships/hyperlink" Target="https://www.wideopenspaces.com/when-does-deer-season-end-in-georgia/" TargetMode="External"/><Relationship Id="rId1492" Type="http://schemas.openxmlformats.org/officeDocument/2006/relationships/hyperlink" Target="https://www.wideopenspaces.com/deer-shed-antlers-pics/" TargetMode="External"/><Relationship Id="rId1493" Type="http://schemas.openxmlformats.org/officeDocument/2006/relationships/hyperlink" Target="https://realtree.com/the-realblog-with-stephanie-mallory/taxidermist-discovers-third-eye-when-preparing-deer-for-european" TargetMode="External"/><Relationship Id="rId1010" Type="http://schemas.openxmlformats.org/officeDocument/2006/relationships/hyperlink" Target="https://www.wideopenspaces.com/what-do-deer-eat/" TargetMode="External"/><Relationship Id="rId1494" Type="http://schemas.openxmlformats.org/officeDocument/2006/relationships/hyperlink" Target="https://www.wideopenspaces.com/buck-hidden-third-eye/" TargetMode="External"/><Relationship Id="rId664" Type="http://schemas.openxmlformats.org/officeDocument/2006/relationships/hyperlink" Target="https://www.themeateater.com/wired-to-hunt/whitetail-management/how-to-plant-a-food-plot-on-a-budget" TargetMode="External"/><Relationship Id="rId1011" Type="http://schemas.openxmlformats.org/officeDocument/2006/relationships/hyperlink" Target="https://www.themeateater.com/hunt/whitetail-deer/fact-checker-do-outdoor-stores-pay-big-money-for-big-mounts" TargetMode="External"/><Relationship Id="rId1495" Type="http://schemas.openxmlformats.org/officeDocument/2006/relationships/hyperlink" Target="https://realtree.com/deer-hunting/articles/where-to-deer-hunt-in-february" TargetMode="External"/><Relationship Id="rId663" Type="http://schemas.openxmlformats.org/officeDocument/2006/relationships/hyperlink" Target="https://www.wideopenspaces.com/top-6-venison-tenderloin-recipes/" TargetMode="External"/><Relationship Id="rId1012" Type="http://schemas.openxmlformats.org/officeDocument/2006/relationships/hyperlink" Target="https://realtree.com/brow-tines-and-backstrap/20-crazy-good-deer-mounts-from-the-nwtf-convention" TargetMode="External"/><Relationship Id="rId1496" Type="http://schemas.openxmlformats.org/officeDocument/2006/relationships/hyperlink" Target="https://www.wideopenspaces.com/hunt-deer-january-february/" TargetMode="External"/><Relationship Id="rId662" Type="http://schemas.openxmlformats.org/officeDocument/2006/relationships/hyperlink" Target="https://realtree.com/timber-2-table-wild-game-recipes/bourbon-buttermilk-fried-deer-tenderloin" TargetMode="External"/><Relationship Id="rId1013" Type="http://schemas.openxmlformats.org/officeDocument/2006/relationships/hyperlink" Target="https://www.wideopenspaces.com/whitetailwednesday-25-unique-ideas-for-your-next-whitetail-mount/" TargetMode="External"/><Relationship Id="rId1497" Type="http://schemas.openxmlformats.org/officeDocument/2006/relationships/hyperlink" Target="https://realtree.com/brow-tines-and-backstrap/ranking-the-toughest-deer-hunting-no-1-the-southeast" TargetMode="External"/><Relationship Id="rId661" Type="http://schemas.openxmlformats.org/officeDocument/2006/relationships/hyperlink" Target="https://www.themeateater.com/recipes/cuts/loin" TargetMode="External"/><Relationship Id="rId1014" Type="http://schemas.openxmlformats.org/officeDocument/2006/relationships/hyperlink" Target="https://www.themeateater.com/gear/general/best-trail-cameras" TargetMode="External"/><Relationship Id="rId1498" Type="http://schemas.openxmlformats.org/officeDocument/2006/relationships/hyperlink" Target="https://www.wideopenspaces.com/georgia-deer-hunting/" TargetMode="External"/><Relationship Id="rId1004" Type="http://schemas.openxmlformats.org/officeDocument/2006/relationships/hyperlink" Target="https://realtree.com/brow-tines-and-backstrap/how-long-should-deer-taxidermy-take" TargetMode="External"/><Relationship Id="rId1488" Type="http://schemas.openxmlformats.org/officeDocument/2006/relationships/hyperlink" Target="https://www.wideopenspaces.com/lifespan-whitetail-deer/" TargetMode="External"/><Relationship Id="rId1005" Type="http://schemas.openxmlformats.org/officeDocument/2006/relationships/hyperlink" Target="https://www.wideopenspaces.com/deer-taxidermy-options/" TargetMode="External"/><Relationship Id="rId1489" Type="http://schemas.openxmlformats.org/officeDocument/2006/relationships/hyperlink" Target="https://www.wideopenspaces.com/whitetailwednesday-15-hilarious-deer-hunting-memes-true/" TargetMode="External"/><Relationship Id="rId1006" Type="http://schemas.openxmlformats.org/officeDocument/2006/relationships/hyperlink" Target="https://www.themeateater.com/wired-to-hunt/whitetail-management/10-natural-food-sources-every-deer-hunter-should-know" TargetMode="External"/><Relationship Id="rId1007" Type="http://schemas.openxmlformats.org/officeDocument/2006/relationships/hyperlink" Target="https://realtree.com/the-realblog-with-stephanie-mallory/did-you-know-deer-eat-meat" TargetMode="External"/><Relationship Id="rId1008" Type="http://schemas.openxmlformats.org/officeDocument/2006/relationships/hyperlink" Target="https://www.wideopenspaces.com/do-deer-eat-meat/" TargetMode="External"/><Relationship Id="rId1009" Type="http://schemas.openxmlformats.org/officeDocument/2006/relationships/hyperlink" Target="https://www.themeateater.com/wired-to-hunt/whitetail-management/10-natural-food-sources-every-deer-hunter-should-know" TargetMode="External"/><Relationship Id="rId657" Type="http://schemas.openxmlformats.org/officeDocument/2006/relationships/hyperlink" Target="https://www.themeateater.com/wired-to-hunt/whitetail-hunting/how-to-hunt-the-whitetail-rut-in-big-woods" TargetMode="External"/><Relationship Id="rId656" Type="http://schemas.openxmlformats.org/officeDocument/2006/relationships/hyperlink" Target="https://www.wideopenspaces.com/top-6-venison-tenderloin-recipes/" TargetMode="External"/><Relationship Id="rId655" Type="http://schemas.openxmlformats.org/officeDocument/2006/relationships/hyperlink" Target="https://realtree.com/timber-2-table-wild-game-recipes/bourbon-buttermilk-fried-deer-tenderloin" TargetMode="External"/><Relationship Id="rId654" Type="http://schemas.openxmlformats.org/officeDocument/2006/relationships/hyperlink" Target="https://www.themeateater.com/wild-and-whole/wild-recipes/butter-basted-venison-steaks-recipe" TargetMode="External"/><Relationship Id="rId659" Type="http://schemas.openxmlformats.org/officeDocument/2006/relationships/hyperlink" Target="https://www.themeateater.com/recipes/ingredients/venison" TargetMode="External"/><Relationship Id="rId658" Type="http://schemas.openxmlformats.org/officeDocument/2006/relationships/hyperlink" Target="https://realtree.com/deer-hunting/articles/how-to-hunt-the-phases-of-the-rut" TargetMode="External"/><Relationship Id="rId1480" Type="http://schemas.openxmlformats.org/officeDocument/2006/relationships/hyperlink" Target="https://realtree.com/the-realblog-with-stephanie-mallory/watch-live-cam-of-maine-deer-pantry" TargetMode="External"/><Relationship Id="rId1481" Type="http://schemas.openxmlformats.org/officeDocument/2006/relationships/hyperlink" Target="https://realtree.com/deer-hunting/articles/smack-talk-aggressive-deer-calling-strategies" TargetMode="External"/><Relationship Id="rId1482" Type="http://schemas.openxmlformats.org/officeDocument/2006/relationships/hyperlink" Target="https://www.wideopenspaces.com/catchin-up-with-catchin-deers-wide-open-spaces-speaks-with-former-nhler-mike-fisher/" TargetMode="External"/><Relationship Id="rId1483" Type="http://schemas.openxmlformats.org/officeDocument/2006/relationships/hyperlink" Target="https://realtree.com/deer-hunting/articles/5-characteristics-of-adult-does" TargetMode="External"/><Relationship Id="rId653" Type="http://schemas.openxmlformats.org/officeDocument/2006/relationships/hyperlink" Target="https://realtree.com/timber-2-table-articles/how-to-make-bacon-from-ground-deer-meat" TargetMode="External"/><Relationship Id="rId1000" Type="http://schemas.openxmlformats.org/officeDocument/2006/relationships/hyperlink" Target="https://realtree.com/deer-hunting/articles/how-to-can-deer-meat" TargetMode="External"/><Relationship Id="rId1484" Type="http://schemas.openxmlformats.org/officeDocument/2006/relationships/hyperlink" Target="https://realtree.com/food-plots-and-land-management/articles/food-plot-seed-how-to-plant-white-clover" TargetMode="External"/><Relationship Id="rId652" Type="http://schemas.openxmlformats.org/officeDocument/2006/relationships/hyperlink" Target="https://www.themeateater.com/cook/recipes/venison-bacon-bits-recipe" TargetMode="External"/><Relationship Id="rId1001" Type="http://schemas.openxmlformats.org/officeDocument/2006/relationships/hyperlink" Target="https://www.themeateater.com/cook/butchering-and-processing/how-much-fat-should-you-add-to-ground-venison" TargetMode="External"/><Relationship Id="rId1485" Type="http://schemas.openxmlformats.org/officeDocument/2006/relationships/hyperlink" Target="https://www.wideopenspaces.com/deer-hooves-what-theyre-made-from-and-indicators-of-health/" TargetMode="External"/><Relationship Id="rId651" Type="http://schemas.openxmlformats.org/officeDocument/2006/relationships/hyperlink" Target="https://www.wideopenspaces.com/where-to-shoot-a-deer-for-the-best-odds-of-a-quick-kill/" TargetMode="External"/><Relationship Id="rId1002" Type="http://schemas.openxmlformats.org/officeDocument/2006/relationships/hyperlink" Target="https://www.themeateater.com/watch/6175630772001/steven-rinella-hunts-his-first-columbia-blacktail-deer-in-california" TargetMode="External"/><Relationship Id="rId1486" Type="http://schemas.openxmlformats.org/officeDocument/2006/relationships/hyperlink" Target="https://realtree.com/" TargetMode="External"/><Relationship Id="rId650" Type="http://schemas.openxmlformats.org/officeDocument/2006/relationships/hyperlink" Target="https://realtree.com/deer-hunting/articles/the-best-shot-placement-on-deer" TargetMode="External"/><Relationship Id="rId1003" Type="http://schemas.openxmlformats.org/officeDocument/2006/relationships/hyperlink" Target="https://www.themeateater.com/hunt/big-game/what-to-do-when-you-plan-on-getting-a-deer-mounted" TargetMode="External"/><Relationship Id="rId1487" Type="http://schemas.openxmlformats.org/officeDocument/2006/relationships/hyperlink" Target="https://realtree.com/brow-tines-and-backstrap/how-long-do-white-tailed-deer-live" TargetMode="External"/><Relationship Id="rId1037" Type="http://schemas.openxmlformats.org/officeDocument/2006/relationships/hyperlink" Target="https://www.themeateater.com/wired-to-hunt/whitetail-scouting/fact-checker-can-you-identify-a-mature-buck-by-droppings" TargetMode="External"/><Relationship Id="rId1038" Type="http://schemas.openxmlformats.org/officeDocument/2006/relationships/hyperlink" Target="https://realtree.com/brow-tines-and-backstrap/everything-you-ever-wanted-to-know-about-deer-poop" TargetMode="External"/><Relationship Id="rId1039" Type="http://schemas.openxmlformats.org/officeDocument/2006/relationships/hyperlink" Target="https://www.wideopenspaces.com/deer-poop-identification/" TargetMode="External"/><Relationship Id="rId206" Type="http://schemas.openxmlformats.org/officeDocument/2006/relationships/hyperlink" Target="https://realtree.com/brow-tines-and-backstrap/2022-southeast-deer-hunting-forecast" TargetMode="External"/><Relationship Id="rId205" Type="http://schemas.openxmlformats.org/officeDocument/2006/relationships/hyperlink" Target="https://www.themeateater.com/wired-to-hunt/whitetail-hunting/rut-fresh-report-10-27-2022" TargetMode="External"/><Relationship Id="rId689" Type="http://schemas.openxmlformats.org/officeDocument/2006/relationships/hyperlink" Target="https://www.themeateater.com/wild-and-whole/wild-recipes/butter-basted-venison-steaks-recipe" TargetMode="External"/><Relationship Id="rId204" Type="http://schemas.openxmlformats.org/officeDocument/2006/relationships/hyperlink" Target="https://www.wideopenspaces.com/5-biggest-whitetail-bucks-ever-found-dead/" TargetMode="External"/><Relationship Id="rId688" Type="http://schemas.openxmlformats.org/officeDocument/2006/relationships/hyperlink" Target="https://www.wideopenspaces.com/how-to-find-and-aim-for-deer-vitals/" TargetMode="External"/><Relationship Id="rId203" Type="http://schemas.openxmlformats.org/officeDocument/2006/relationships/hyperlink" Target="https://realtree.com/brow-tines-and-backstrap/3-biggest-typical-white-tailed-bucks-of-all-time" TargetMode="External"/><Relationship Id="rId687" Type="http://schemas.openxmlformats.org/officeDocument/2006/relationships/hyperlink" Target="https://realtree.com/deer-hunting/articles/the-best-shot-placement-on-deer" TargetMode="External"/><Relationship Id="rId209" Type="http://schemas.openxmlformats.org/officeDocument/2006/relationships/hyperlink" Target="https://www.wideopenspaces.com/22-250-remington-varmint-round/" TargetMode="External"/><Relationship Id="rId208" Type="http://schemas.openxmlformats.org/officeDocument/2006/relationships/hyperlink" Target="https://realtree.com/deer-hunting/articles/the-5-best-bullet-styles-for-deer-hunting" TargetMode="External"/><Relationship Id="rId207" Type="http://schemas.openxmlformats.org/officeDocument/2006/relationships/hyperlink" Target="https://www.themeateater.com/hunt/firearm-hunting/caliber-battle-223-rem-vs-22-250-rem" TargetMode="External"/><Relationship Id="rId682" Type="http://schemas.openxmlformats.org/officeDocument/2006/relationships/hyperlink" Target="https://realtree.com/brow-tines-and-backstrap/why-you-should-use-an-ar-15-as-a-deer-rifle" TargetMode="External"/><Relationship Id="rId681" Type="http://schemas.openxmlformats.org/officeDocument/2006/relationships/hyperlink" Target="https://www.themeateater.com/hunt/firearm-hunting/5-best-rifles-for-new-hunters" TargetMode="External"/><Relationship Id="rId1030" Type="http://schemas.openxmlformats.org/officeDocument/2006/relationships/hyperlink" Target="https://www.wideopenspaces.com/oak-trees-deer/" TargetMode="External"/><Relationship Id="rId680" Type="http://schemas.openxmlformats.org/officeDocument/2006/relationships/hyperlink" Target="https://www.wideopenspaces.com/deer-sounds-making-sense-of-the-sounds-of-the-deer-woods/" TargetMode="External"/><Relationship Id="rId1031" Type="http://schemas.openxmlformats.org/officeDocument/2006/relationships/hyperlink" Target="https://www.themeateater.com/hunt/big-game/ask-meateater-where-should-i-go-on-my-first-mule-deer-hunt" TargetMode="External"/><Relationship Id="rId1032" Type="http://schemas.openxmlformats.org/officeDocument/2006/relationships/hyperlink" Target="https://www.themeateater.com/conservation/wildlife-management/why-do-female-deer-sometimes-grow-antlers" TargetMode="External"/><Relationship Id="rId202" Type="http://schemas.openxmlformats.org/officeDocument/2006/relationships/hyperlink" Target="https://www.themeateater.com/hunt/whitetail-deer/this-might-be-the-new-world-record-whitetail" TargetMode="External"/><Relationship Id="rId686" Type="http://schemas.openxmlformats.org/officeDocument/2006/relationships/hyperlink" Target="https://www.themeateater.com/wired-to-hunt/whitetail-hunting/where-to-shoot-a-deer" TargetMode="External"/><Relationship Id="rId1033" Type="http://schemas.openxmlformats.org/officeDocument/2006/relationships/hyperlink" Target="https://realtree.com/all/articles/antler-trivia" TargetMode="External"/><Relationship Id="rId201" Type="http://schemas.openxmlformats.org/officeDocument/2006/relationships/hyperlink" Target="https://www.wideopenspaces.com/whitetail-vs-mule-deer-the-differences-why-you-should-hunt-them-and-which-is-best/" TargetMode="External"/><Relationship Id="rId685" Type="http://schemas.openxmlformats.org/officeDocument/2006/relationships/hyperlink" Target="https://www.themeateater.com/wired-to-hunt/whitetail-scouting/how-to-identify-a-big-buck-track-in-snow" TargetMode="External"/><Relationship Id="rId1034" Type="http://schemas.openxmlformats.org/officeDocument/2006/relationships/hyperlink" Target="https://www.themeateater.com/hunt/whitetail-deer/how-to-crap-in-the-woods-like-a-pro" TargetMode="External"/><Relationship Id="rId200" Type="http://schemas.openxmlformats.org/officeDocument/2006/relationships/hyperlink" Target="https://realtree.com/deer-hunting/articles/8-major-differences-between-whitetails-and-mule-deer" TargetMode="External"/><Relationship Id="rId684" Type="http://schemas.openxmlformats.org/officeDocument/2006/relationships/hyperlink" Target="https://www.themeateater.com/watch/6209664304001/how-to-shock-pouch-a-deer-with-clay-newcomb" TargetMode="External"/><Relationship Id="rId1035" Type="http://schemas.openxmlformats.org/officeDocument/2006/relationships/hyperlink" Target="https://realtree.com/brow-tines-and-backstrap/everything-you-ever-wanted-to-know-about-deer-poop" TargetMode="External"/><Relationship Id="rId683" Type="http://schemas.openxmlformats.org/officeDocument/2006/relationships/hyperlink" Target="https://www.wideopenspaces.com/best-deer-hunting-rifles/" TargetMode="External"/><Relationship Id="rId1036" Type="http://schemas.openxmlformats.org/officeDocument/2006/relationships/hyperlink" Target="https://www.wideopenspaces.com/deer-poop-identification/" TargetMode="External"/><Relationship Id="rId1026" Type="http://schemas.openxmlformats.org/officeDocument/2006/relationships/hyperlink" Target="https://realtree.com/brow-tines-and-backstrap/everything-you-ever-wanted-to-know-about-deer-poop" TargetMode="External"/><Relationship Id="rId1027" Type="http://schemas.openxmlformats.org/officeDocument/2006/relationships/hyperlink" Target="https://www.wideopenspaces.com/bear-scat-how-to-identify-poop-from-the-most-common-species/" TargetMode="External"/><Relationship Id="rId1028" Type="http://schemas.openxmlformats.org/officeDocument/2006/relationships/hyperlink" Target="https://www.themeateater.com/wired-to-hunt/whitetail-scouting/how-to-whitetail-hunt-around-acorns" TargetMode="External"/><Relationship Id="rId1029" Type="http://schemas.openxmlformats.org/officeDocument/2006/relationships/hyperlink" Target="https://realtree.com/deer-hunting/articles/everything-you-need-to-know-about-acorns" TargetMode="External"/><Relationship Id="rId679" Type="http://schemas.openxmlformats.org/officeDocument/2006/relationships/hyperlink" Target="https://realtree.com/deer-hunting/articles/can-you-talk-deer" TargetMode="External"/><Relationship Id="rId678" Type="http://schemas.openxmlformats.org/officeDocument/2006/relationships/hyperlink" Target="https://www.themeateater.com/hunt/whitetail-deer/video-rutting-buck-makes-crazy-vocalizations" TargetMode="External"/><Relationship Id="rId677" Type="http://schemas.openxmlformats.org/officeDocument/2006/relationships/hyperlink" Target="https://realtree.com/deer-hunting/articles/the-new-hunter-s-guide-to-buying-your-first-deer-rifle" TargetMode="External"/><Relationship Id="rId676" Type="http://schemas.openxmlformats.org/officeDocument/2006/relationships/hyperlink" Target="https://www.themeateater.com/hunt/firearm-hunting/should-your-next-deer-rifle-be-an-ar-15" TargetMode="External"/><Relationship Id="rId671" Type="http://schemas.openxmlformats.org/officeDocument/2006/relationships/hyperlink" Target="https://realtree.com/deer-hunting/articles/the-myth-of-the-nocturnal-buck" TargetMode="External"/><Relationship Id="rId670" Type="http://schemas.openxmlformats.org/officeDocument/2006/relationships/hyperlink" Target="https://www.themeateater.com/wired-to-hunt/whitetail-hunting/how-to-kill-a-nocturnal-buck" TargetMode="External"/><Relationship Id="rId1020" Type="http://schemas.openxmlformats.org/officeDocument/2006/relationships/hyperlink" Target="https://realtree.com/brow-tines-and-backstrap/is-a-trail-camera-ban-coming-to-a-state-near-you" TargetMode="External"/><Relationship Id="rId1021" Type="http://schemas.openxmlformats.org/officeDocument/2006/relationships/hyperlink" Target="https://www.wideopenspaces.com/11-trail-cameras-tested-quality-distance-trigger-speed/" TargetMode="External"/><Relationship Id="rId675" Type="http://schemas.openxmlformats.org/officeDocument/2006/relationships/hyperlink" Target="https://www.themeateater.com/cook/recipes/pan-fried-venison-tongue-recipe" TargetMode="External"/><Relationship Id="rId1022" Type="http://schemas.openxmlformats.org/officeDocument/2006/relationships/hyperlink" Target="https://www.themeateater.com/recipes/cuts/backstrap" TargetMode="External"/><Relationship Id="rId674" Type="http://schemas.openxmlformats.org/officeDocument/2006/relationships/hyperlink" Target="https://www.wideopenspaces.com/deer-hunting-blind-spacious/" TargetMode="External"/><Relationship Id="rId1023" Type="http://schemas.openxmlformats.org/officeDocument/2006/relationships/hyperlink" Target="https://realtree.com/timber-2-table-wild-game-recipes/reverse-seared-smoked-venison-backstrap" TargetMode="External"/><Relationship Id="rId673" Type="http://schemas.openxmlformats.org/officeDocument/2006/relationships/hyperlink" Target="https://www.themeateater.com/hunt/whitetail-deer/photos-how-to-build-a-deer-blind-from-pallets" TargetMode="External"/><Relationship Id="rId1024" Type="http://schemas.openxmlformats.org/officeDocument/2006/relationships/hyperlink" Target="https://www.wideopenspaces.com/venison-backstrap-recipes/" TargetMode="External"/><Relationship Id="rId672" Type="http://schemas.openxmlformats.org/officeDocument/2006/relationships/hyperlink" Target="https://www.wideopenspaces.com/are-deer-nocturnal/" TargetMode="External"/><Relationship Id="rId1025" Type="http://schemas.openxmlformats.org/officeDocument/2006/relationships/hyperlink" Target="https://www.themeateater.com/wired-to-hunt/whitetail-scouting/fact-checker-can-you-identify-a-mature-buck-by-droppings" TargetMode="External"/><Relationship Id="rId190" Type="http://schemas.openxmlformats.org/officeDocument/2006/relationships/hyperlink" Target="https://www.themeateater.com/conservation/wildlife-management/why-do-female-deer-sometimes-grow-antlers" TargetMode="External"/><Relationship Id="rId194" Type="http://schemas.openxmlformats.org/officeDocument/2006/relationships/hyperlink" Target="https://www.themeateater.com/wild-and-whole/wild-recipes/butter-basted-venison-steaks-recipe" TargetMode="External"/><Relationship Id="rId193" Type="http://schemas.openxmlformats.org/officeDocument/2006/relationships/hyperlink" Target="https://www.wideopenspaces.com/where-do-deer-sleep/" TargetMode="External"/><Relationship Id="rId192" Type="http://schemas.openxmlformats.org/officeDocument/2006/relationships/hyperlink" Target="https://realtree.com/brow-tines-and-backstrap/8-bedding-habits-of-mature-deer" TargetMode="External"/><Relationship Id="rId191" Type="http://schemas.openxmlformats.org/officeDocument/2006/relationships/hyperlink" Target="https://www.themeateater.com/wired-to-hunt/whitetail-scouting/where-do-deer-sleep" TargetMode="External"/><Relationship Id="rId187" Type="http://schemas.openxmlformats.org/officeDocument/2006/relationships/hyperlink" Target="https://www.wideopenspaces.com/where-to-shoot-a-deer-for-the-best-odds-of-a-quick-kill/" TargetMode="External"/><Relationship Id="rId186" Type="http://schemas.openxmlformats.org/officeDocument/2006/relationships/hyperlink" Target="https://realtree.com/deer-hunting/articles/the-best-shot-placement-on-deer" TargetMode="External"/><Relationship Id="rId185" Type="http://schemas.openxmlformats.org/officeDocument/2006/relationships/hyperlink" Target="https://www.themeateater.com/wired-to-hunt/whitetail-hunting/where-to-shoot-a-deer" TargetMode="External"/><Relationship Id="rId184" Type="http://schemas.openxmlformats.org/officeDocument/2006/relationships/hyperlink" Target="https://www.wideopenspaces.com/deer-hunting-in-the-rain/" TargetMode="External"/><Relationship Id="rId189" Type="http://schemas.openxmlformats.org/officeDocument/2006/relationships/hyperlink" Target="https://realtree.com/timber-2-table-wild-game-recipes/black-pepper-and-honey-deer-steak-bites-recipe" TargetMode="External"/><Relationship Id="rId188" Type="http://schemas.openxmlformats.org/officeDocument/2006/relationships/hyperlink" Target="https://www.themeateater.com/wild-and-whole/wild-recipes/butter-basted-venison-steaks-recipe" TargetMode="External"/><Relationship Id="rId183" Type="http://schemas.openxmlformats.org/officeDocument/2006/relationships/hyperlink" Target="https://realtree.com/brow-tines-and-backstrap/why-windy-days-are-great-for-deer-hunting" TargetMode="External"/><Relationship Id="rId182" Type="http://schemas.openxmlformats.org/officeDocument/2006/relationships/hyperlink" Target="https://www.themeateater.com/wired-to-hunt/whitetail-hunting/should-you-deer-hunt-in-the-rain" TargetMode="External"/><Relationship Id="rId181" Type="http://schemas.openxmlformats.org/officeDocument/2006/relationships/hyperlink" Target="https://www.wideopenspaces.com/where-to-shoot-a-deer-for-the-best-odds-of-a-quick-kill/" TargetMode="External"/><Relationship Id="rId180" Type="http://schemas.openxmlformats.org/officeDocument/2006/relationships/hyperlink" Target="https://realtree.com/deer-hunting/articles/the-best-shot-placement-on-deer" TargetMode="External"/><Relationship Id="rId176" Type="http://schemas.openxmlformats.org/officeDocument/2006/relationships/hyperlink" Target="https://www.themeateater.com/wired-to-hunt/whitetail-hunting/where-to-shoot-a-deer" TargetMode="External"/><Relationship Id="rId175" Type="http://schemas.openxmlformats.org/officeDocument/2006/relationships/hyperlink" Target="https://www.wideopenspaces.com/deer-hunting-in-the-rain/" TargetMode="External"/><Relationship Id="rId174" Type="http://schemas.openxmlformats.org/officeDocument/2006/relationships/hyperlink" Target="https://realtree.com/brow-tines-and-backstrap/5-watering-habits-of-mature-deer" TargetMode="External"/><Relationship Id="rId173" Type="http://schemas.openxmlformats.org/officeDocument/2006/relationships/hyperlink" Target="https://www.themeateater.com/wired-to-hunt/whitetail-hunting/should-you-deer-hunt-in-the-rain" TargetMode="External"/><Relationship Id="rId179" Type="http://schemas.openxmlformats.org/officeDocument/2006/relationships/hyperlink" Target="https://www.themeateater.com/wired-to-hunt/whitetail-hunting/where-to-shoot-a-deer" TargetMode="External"/><Relationship Id="rId178" Type="http://schemas.openxmlformats.org/officeDocument/2006/relationships/hyperlink" Target="https://www.wideopenspaces.com/where-to-shoot-a-deer-for-the-best-odds-of-a-quick-kill/" TargetMode="External"/><Relationship Id="rId177" Type="http://schemas.openxmlformats.org/officeDocument/2006/relationships/hyperlink" Target="https://realtree.com/deer-hunting/articles/the-best-shot-placement-on-deer" TargetMode="External"/><Relationship Id="rId1910" Type="http://schemas.openxmlformats.org/officeDocument/2006/relationships/hyperlink" Target="https://www.wideopenspaces.com/the-difference-between-a-bull-elk-and-a-red-stag/" TargetMode="External"/><Relationship Id="rId1911" Type="http://schemas.openxmlformats.org/officeDocument/2006/relationships/hyperlink" Target="https://www.wideopenspaces.com/12-high-end-high-tech-super-redneck-deer-stands/" TargetMode="External"/><Relationship Id="rId1912" Type="http://schemas.openxmlformats.org/officeDocument/2006/relationships/hyperlink" Target="https://realtree.com/the-realblog-with-stephanie-mallory/taxidermist-discovers-third-eye-when-preparing-deer-for-european" TargetMode="External"/><Relationship Id="rId1913" Type="http://schemas.openxmlformats.org/officeDocument/2006/relationships/hyperlink" Target="https://realtree.com/deer-hunting/articles/why-deer-hunting-on-halloween-is-scary-good" TargetMode="External"/><Relationship Id="rId1914" Type="http://schemas.openxmlformats.org/officeDocument/2006/relationships/hyperlink" Target="https://realtree.com/deer-hunting/articles/the-meaning-of-deer-hunting-hunting-truth-in-life" TargetMode="External"/><Relationship Id="rId1915" Type="http://schemas.openxmlformats.org/officeDocument/2006/relationships/hyperlink" Target="https://realtree.com/big-game-hunting/articles/7-tips-for-over-the-counter-mule-deer-hunting" TargetMode="External"/><Relationship Id="rId1916" Type="http://schemas.openxmlformats.org/officeDocument/2006/relationships/hyperlink" Target="https://realtree.com/deer-hunting/articles/deer-hunting-the-late-season" TargetMode="External"/><Relationship Id="rId1917" Type="http://schemas.openxmlformats.org/officeDocument/2006/relationships/hyperlink" Target="https://www.wideopenspaces.com/tennessee-approves-3-day-archery-only-deer-season-for-august/" TargetMode="External"/><Relationship Id="rId1918" Type="http://schemas.openxmlformats.org/officeDocument/2006/relationships/hyperlink" Target="https://realtree.com/brow-tines-and-backstrap/8-things-you-can-use-to-bait-deer" TargetMode="External"/><Relationship Id="rId1919" Type="http://schemas.openxmlformats.org/officeDocument/2006/relationships/hyperlink" Target="https://www.wideopenspaces.com/what-do-deer-elk-and-moose-do-in-the-winter/" TargetMode="External"/><Relationship Id="rId1900" Type="http://schemas.openxmlformats.org/officeDocument/2006/relationships/hyperlink" Target="https://www.wideopenspaces.com/minnesota-deer-hunting/" TargetMode="External"/><Relationship Id="rId1901" Type="http://schemas.openxmlformats.org/officeDocument/2006/relationships/hyperlink" Target="https://www.wideopenspaces.com/missouri-deer-hunting-all-to-know-about-this-buck-buck-paradise/" TargetMode="External"/><Relationship Id="rId1902" Type="http://schemas.openxmlformats.org/officeDocument/2006/relationships/hyperlink" Target="https://realtree.com/deer-hunting/articles/where-to-deer-hunt-in-february" TargetMode="External"/><Relationship Id="rId1903" Type="http://schemas.openxmlformats.org/officeDocument/2006/relationships/hyperlink" Target="https://www.wideopenspaces.com/mule-deer-taxidermy/" TargetMode="External"/><Relationship Id="rId1904" Type="http://schemas.openxmlformats.org/officeDocument/2006/relationships/hyperlink" Target="https://realtree.com/brow-tines-and-backstrap/2022-southeast-deer-hunting-forecast" TargetMode="External"/><Relationship Id="rId1905" Type="http://schemas.openxmlformats.org/officeDocument/2006/relationships/hyperlink" Target="https://www.wideopenspaces.com/deer-hunting-in-ohio-what-you-should-know/" TargetMode="External"/><Relationship Id="rId1906" Type="http://schemas.openxmlformats.org/officeDocument/2006/relationships/hyperlink" Target="https://www.wideopenspaces.com/pennsylvania-deer-hunting/" TargetMode="External"/><Relationship Id="rId1907" Type="http://schemas.openxmlformats.org/officeDocument/2006/relationships/hyperlink" Target="https://realtree.com/deer-hunting/articles/10-tips-for-great-deer-pictures" TargetMode="External"/><Relationship Id="rId1908" Type="http://schemas.openxmlformats.org/officeDocument/2006/relationships/hyperlink" Target="https://www.wideopenspaces.com/whitetailwednesday-should-we-shoot-albino-and-piebald-deer/" TargetMode="External"/><Relationship Id="rId1909" Type="http://schemas.openxmlformats.org/officeDocument/2006/relationships/hyperlink" Target="https://www.wideopenspaces.com/rare-piebald-deer-herd/" TargetMode="External"/><Relationship Id="rId198" Type="http://schemas.openxmlformats.org/officeDocument/2006/relationships/hyperlink" Target="https://www.themeateater.com/watch/6175617016001/how-to-break-down-a-deer-s-hind-leg" TargetMode="External"/><Relationship Id="rId197" Type="http://schemas.openxmlformats.org/officeDocument/2006/relationships/hyperlink" Target="https://realtree.com/timber-2-table-articles/how-to-save-and-cook-venison-caul-fat" TargetMode="External"/><Relationship Id="rId196" Type="http://schemas.openxmlformats.org/officeDocument/2006/relationships/hyperlink" Target="https://www.themeateater.com/cook/butchering-and-processing/how-to-use-wild-game-fat" TargetMode="External"/><Relationship Id="rId195" Type="http://schemas.openxmlformats.org/officeDocument/2006/relationships/hyperlink" Target="https://realtree.com/timber-2-table-wild-game-recipes/black-pepper-and-honey-deer-steak-bites-recipe" TargetMode="External"/><Relationship Id="rId199" Type="http://schemas.openxmlformats.org/officeDocument/2006/relationships/hyperlink" Target="https://www.themeateater.com/wired-to-hunt/whitetail-management/whitetails-and-mulies-a-comparison" TargetMode="External"/><Relationship Id="rId150" Type="http://schemas.openxmlformats.org/officeDocument/2006/relationships/hyperlink" Target="https://www.wideopenspaces.com/best-deer-hunting-rifles/" TargetMode="External"/><Relationship Id="rId149" Type="http://schemas.openxmlformats.org/officeDocument/2006/relationships/hyperlink" Target="https://realtree.com/deer-hunting/articles/the-new-hunter-s-guide-to-buying-your-first-deer-rifle" TargetMode="External"/><Relationship Id="rId148" Type="http://schemas.openxmlformats.org/officeDocument/2006/relationships/hyperlink" Target="https://www.themeateater.com/hunt/firearm-hunting/5-best-rifles-for-new-hunters" TargetMode="External"/><Relationship Id="rId1090" Type="http://schemas.openxmlformats.org/officeDocument/2006/relationships/hyperlink" Target="https://www.themeateater.com/recipes/cuts/backstrap" TargetMode="External"/><Relationship Id="rId1091" Type="http://schemas.openxmlformats.org/officeDocument/2006/relationships/hyperlink" Target="https://realtree.com/timber-2-table-wild-game-recipes/reverse-seared-smoked-venison-backstrap" TargetMode="External"/><Relationship Id="rId1092" Type="http://schemas.openxmlformats.org/officeDocument/2006/relationships/hyperlink" Target="https://www.wideopenspaces.com/grilled-venison-backstrap-recipe-is-a-mouthwatering-favorite/" TargetMode="External"/><Relationship Id="rId1093" Type="http://schemas.openxmlformats.org/officeDocument/2006/relationships/hyperlink" Target="https://www.themeateater.com/hunt/black-tailed-deer/a-guide-to-hunting-blacktail-deer" TargetMode="External"/><Relationship Id="rId1094" Type="http://schemas.openxmlformats.org/officeDocument/2006/relationships/hyperlink" Target="https://www.themeateater.com/wired-to-hunt/whitetail-hunting/how-mark-drury-predicts-buck-movement-based-on-wind" TargetMode="External"/><Relationship Id="rId143" Type="http://schemas.openxmlformats.org/officeDocument/2006/relationships/hyperlink" Target="https://www.themeateater.com/wired-to-hunt/whitetail-management/why-some-whitetails-grow-fangs" TargetMode="External"/><Relationship Id="rId1095" Type="http://schemas.openxmlformats.org/officeDocument/2006/relationships/hyperlink" Target="https://www.wideopenspaces.com/a-more-detailed-look-at-the-drury-outdoors-deercast-hunting-app/" TargetMode="External"/><Relationship Id="rId142" Type="http://schemas.openxmlformats.org/officeDocument/2006/relationships/hyperlink" Target="https://realtree.com/timber-2-table-wild-game-recipes/easy-deer-camp-red-beans-and-rice-with-venison-and-sausage" TargetMode="External"/><Relationship Id="rId1096" Type="http://schemas.openxmlformats.org/officeDocument/2006/relationships/hyperlink" Target="https://www.themeateater.com/cook/recipes/guinness-venison-stew" TargetMode="External"/><Relationship Id="rId141" Type="http://schemas.openxmlformats.org/officeDocument/2006/relationships/hyperlink" Target="https://www.themeateater.com/cook/recipes/the-only-venison-breakfast-sausage-recipe-you-need" TargetMode="External"/><Relationship Id="rId1097" Type="http://schemas.openxmlformats.org/officeDocument/2006/relationships/hyperlink" Target="https://realtree.com/timber-2-table-wild-game-recipes/bonnies-easy-venison-stew" TargetMode="External"/><Relationship Id="rId140" Type="http://schemas.openxmlformats.org/officeDocument/2006/relationships/hyperlink" Target="https://www.wideopenspaces.com/deer-hunting-in-the-rain/" TargetMode="External"/><Relationship Id="rId1098" Type="http://schemas.openxmlformats.org/officeDocument/2006/relationships/hyperlink" Target="https://www.themeateater.com/cook/recipes/guinness-venison-stew" TargetMode="External"/><Relationship Id="rId147" Type="http://schemas.openxmlformats.org/officeDocument/2006/relationships/hyperlink" Target="https://realtree.com/deer-hunting/articles/smack-talk-aggressive-deer-calling-strategies" TargetMode="External"/><Relationship Id="rId1099" Type="http://schemas.openxmlformats.org/officeDocument/2006/relationships/hyperlink" Target="https://realtree.com/timber-2-table-wild-game-recipes/muley-caldillo-mexican-style-mule-deer-stew" TargetMode="External"/><Relationship Id="rId146" Type="http://schemas.openxmlformats.org/officeDocument/2006/relationships/hyperlink" Target="https://www.themeateater.com/wired-to-hunt/whitetail-hunting/how-to-call-in-bucks-during-each-phase-of-the-season" TargetMode="External"/><Relationship Id="rId145" Type="http://schemas.openxmlformats.org/officeDocument/2006/relationships/hyperlink" Target="https://www.wideopenspaces.com/have-you-ever-seen-a-mule-deer-with-fangs-before/" TargetMode="External"/><Relationship Id="rId144" Type="http://schemas.openxmlformats.org/officeDocument/2006/relationships/hyperlink" Target="https://realtree.com/brow-tines-and-backstrap/some-deer-have-fangs" TargetMode="External"/><Relationship Id="rId139" Type="http://schemas.openxmlformats.org/officeDocument/2006/relationships/hyperlink" Target="https://realtree.com/brow-tines-and-backstrap/why-windy-days-are-great-for-deer-hunting" TargetMode="External"/><Relationship Id="rId138" Type="http://schemas.openxmlformats.org/officeDocument/2006/relationships/hyperlink" Target="https://www.themeateater.com/wired-to-hunt/whitetail-hunting/should-you-deer-hunt-in-the-rain" TargetMode="External"/><Relationship Id="rId137" Type="http://schemas.openxmlformats.org/officeDocument/2006/relationships/hyperlink" Target="https://realtree.com/deer-hunting/articles/8-major-differences-between-whitetails-and-mule-deer" TargetMode="External"/><Relationship Id="rId1080" Type="http://schemas.openxmlformats.org/officeDocument/2006/relationships/hyperlink" Target="https://www.themeateater.com/wired-to-hunt/whitetail-scouting/where-do-deer-sleep" TargetMode="External"/><Relationship Id="rId1081" Type="http://schemas.openxmlformats.org/officeDocument/2006/relationships/hyperlink" Target="https://www.themeateater.com/watch/6174832058001/steven-rinella-tracks-coues-deer-in-arizona" TargetMode="External"/><Relationship Id="rId1082" Type="http://schemas.openxmlformats.org/officeDocument/2006/relationships/hyperlink" Target="https://www.themeateater.com/cook/butchering-and-processing/video-how-to-remove-a-venison-hindquarter" TargetMode="External"/><Relationship Id="rId1083" Type="http://schemas.openxmlformats.org/officeDocument/2006/relationships/hyperlink" Target="https://www.wideopenspaces.com/deer-bone-marrow/" TargetMode="External"/><Relationship Id="rId132" Type="http://schemas.openxmlformats.org/officeDocument/2006/relationships/hyperlink" Target="https://www.themeateater.com/conservation/wildlife-management/why-do-female-deer-sometimes-grow-antlers" TargetMode="External"/><Relationship Id="rId1084" Type="http://schemas.openxmlformats.org/officeDocument/2006/relationships/hyperlink" Target="https://www.themeateater.com/conservation/wildlife-management/is-killing-more-deer-the-answer-to-reducing-tick-diseases" TargetMode="External"/><Relationship Id="rId131" Type="http://schemas.openxmlformats.org/officeDocument/2006/relationships/hyperlink" Target="https://www.wideopenspaces.com/top-5-youth-hunting-rifles-deer-hunting-pics/" TargetMode="External"/><Relationship Id="rId1085" Type="http://schemas.openxmlformats.org/officeDocument/2006/relationships/hyperlink" Target="https://www.themeateater.com/hunt/whitetail-deer/is-this-50-point-whitetail-the-new-world-record" TargetMode="External"/><Relationship Id="rId130" Type="http://schemas.openxmlformats.org/officeDocument/2006/relationships/hyperlink" Target="https://realtree.com/brow-tines-and-backstrap/why-you-should-use-an-ar-15-as-a-deer-rifle" TargetMode="External"/><Relationship Id="rId1086" Type="http://schemas.openxmlformats.org/officeDocument/2006/relationships/hyperlink" Target="https://www.wideopenspaces.com/check-25-awesome-vintage-deer-hunting-photos-whitetailwednesday/" TargetMode="External"/><Relationship Id="rId1087" Type="http://schemas.openxmlformats.org/officeDocument/2006/relationships/hyperlink" Target="https://www.themeateater.com/hunt/big-game/what-to-do-when-you-plan-on-getting-a-deer-mounted" TargetMode="External"/><Relationship Id="rId136" Type="http://schemas.openxmlformats.org/officeDocument/2006/relationships/hyperlink" Target="https://www.themeateater.com/wired-to-hunt/whitetail-management/whitetails-and-mulies-a-comparison" TargetMode="External"/><Relationship Id="rId1088" Type="http://schemas.openxmlformats.org/officeDocument/2006/relationships/hyperlink" Target="https://realtree.com/brow-tines-and-backstrap/20-crazy-good-deer-mounts-from-the-nwtf-convention" TargetMode="External"/><Relationship Id="rId135" Type="http://schemas.openxmlformats.org/officeDocument/2006/relationships/hyperlink" Target="https://www.wideopenspaces.com/field-dressing-deer-with-gloves/" TargetMode="External"/><Relationship Id="rId1089" Type="http://schemas.openxmlformats.org/officeDocument/2006/relationships/hyperlink" Target="https://www.wideopenspaces.com/taxidermy-deer-mount-how-much/" TargetMode="External"/><Relationship Id="rId134" Type="http://schemas.openxmlformats.org/officeDocument/2006/relationships/hyperlink" Target="https://realtree.com/deer-hunting/articles/7-serious-field-dressing-mistakes" TargetMode="External"/><Relationship Id="rId133" Type="http://schemas.openxmlformats.org/officeDocument/2006/relationships/hyperlink" Target="https://www.themeateater.com/watch/6175620095001/how-to-field-dress-a-deer-with-steven-rinella" TargetMode="External"/><Relationship Id="rId172" Type="http://schemas.openxmlformats.org/officeDocument/2006/relationships/hyperlink" Target="https://realtree.com/deer-hunting/articles/smack-talk-aggressive-deer-calling-strategies" TargetMode="External"/><Relationship Id="rId171" Type="http://schemas.openxmlformats.org/officeDocument/2006/relationships/hyperlink" Target="https://www.themeateater.com/wired-to-hunt/whitetail-hunting/how-to-call-in-bucks-during-each-phase-of-the-season" TargetMode="External"/><Relationship Id="rId170" Type="http://schemas.openxmlformats.org/officeDocument/2006/relationships/hyperlink" Target="https://www.wideopenspaces.com/where-to-shoot-a-deer-for-the-best-odds-of-a-quick-kill/" TargetMode="External"/><Relationship Id="rId165" Type="http://schemas.openxmlformats.org/officeDocument/2006/relationships/hyperlink" Target="https://www.themeateater.com/wired-to-hunt/whitetail-hunting/should-you-deer-hunt-in-the-rain" TargetMode="External"/><Relationship Id="rId164" Type="http://schemas.openxmlformats.org/officeDocument/2006/relationships/hyperlink" Target="https://realtree.com/deer-hunting/articles/smack-talk-aggressive-deer-calling-strategies" TargetMode="External"/><Relationship Id="rId163" Type="http://schemas.openxmlformats.org/officeDocument/2006/relationships/hyperlink" Target="https://www.themeateater.com/wired-to-hunt/whitetail-hunting/how-to-call-in-bucks-during-each-phase-of-the-season" TargetMode="External"/><Relationship Id="rId162" Type="http://schemas.openxmlformats.org/officeDocument/2006/relationships/hyperlink" Target="https://realtree.com/brow-tines-and-backstrap/do-bucks-delay-their-response-to-grunt-calls" TargetMode="External"/><Relationship Id="rId169" Type="http://schemas.openxmlformats.org/officeDocument/2006/relationships/hyperlink" Target="https://realtree.com/deer-hunting/articles/the-best-shot-placement-on-deer" TargetMode="External"/><Relationship Id="rId168" Type="http://schemas.openxmlformats.org/officeDocument/2006/relationships/hyperlink" Target="https://www.themeateater.com/wired-to-hunt/whitetail-hunting/where-to-shoot-a-deer" TargetMode="External"/><Relationship Id="rId167" Type="http://schemas.openxmlformats.org/officeDocument/2006/relationships/hyperlink" Target="https://www.themeateater.com/hunt/firearm-hunting/caliber-battle-223-rem-vs-22-250-rem" TargetMode="External"/><Relationship Id="rId166" Type="http://schemas.openxmlformats.org/officeDocument/2006/relationships/hyperlink" Target="https://www.wideopenspaces.com/deer-hunting-in-the-rain/" TargetMode="External"/><Relationship Id="rId161" Type="http://schemas.openxmlformats.org/officeDocument/2006/relationships/hyperlink" Target="https://www.themeateater.com/wired-to-hunt/whitetail-hunting/3-grunt-call-vocalizations-every-whitetail-hunter-should-know" TargetMode="External"/><Relationship Id="rId160" Type="http://schemas.openxmlformats.org/officeDocument/2006/relationships/hyperlink" Target="https://www.themeateater.com/wired-to-hunt/whitetail-scouting/where-do-deer-sleep" TargetMode="External"/><Relationship Id="rId159" Type="http://schemas.openxmlformats.org/officeDocument/2006/relationships/hyperlink" Target="https://www.wideopenspaces.com/mel-johnson-buck/" TargetMode="External"/><Relationship Id="rId154" Type="http://schemas.openxmlformats.org/officeDocument/2006/relationships/hyperlink" Target="https://www.themeateater.com/hunt/whitetail-deer/how-to-gut-a-deer" TargetMode="External"/><Relationship Id="rId153" Type="http://schemas.openxmlformats.org/officeDocument/2006/relationships/hyperlink" Target="https://www.wideopenspaces.com/where-to-shoot-a-deer-for-the-best-odds-of-a-quick-kill/" TargetMode="External"/><Relationship Id="rId152" Type="http://schemas.openxmlformats.org/officeDocument/2006/relationships/hyperlink" Target="https://realtree.com/deer-hunting/articles/the-best-shot-placement-on-deer" TargetMode="External"/><Relationship Id="rId151" Type="http://schemas.openxmlformats.org/officeDocument/2006/relationships/hyperlink" Target="https://www.themeateater.com/wired-to-hunt/whitetail-hunting/where-to-shoot-a-deer" TargetMode="External"/><Relationship Id="rId158" Type="http://schemas.openxmlformats.org/officeDocument/2006/relationships/hyperlink" Target="https://realtree.com/deer-hunting/articles/heads-of-state-all-about-state-record-bucks" TargetMode="External"/><Relationship Id="rId157" Type="http://schemas.openxmlformats.org/officeDocument/2006/relationships/hyperlink" Target="https://www.themeateater.com/hunt/whitetail-deer/this-might-be-the-new-world-record-whitetail" TargetMode="External"/><Relationship Id="rId156" Type="http://schemas.openxmlformats.org/officeDocument/2006/relationships/hyperlink" Target="https://www.wideopenspaces.com/hunting-myth-buster-never-gut-a-deer-near-your-treestand/" TargetMode="External"/><Relationship Id="rId155" Type="http://schemas.openxmlformats.org/officeDocument/2006/relationships/hyperlink" Target="https://realtree.com/timber-2-table-wild-game-recipes/how-to-gut-a-deer-in-6-steps" TargetMode="External"/><Relationship Id="rId1972" Type="http://schemas.openxmlformats.org/officeDocument/2006/relationships/hyperlink" Target="https://www.wideopenspaces.com/do-deer-eat-meat/" TargetMode="External"/><Relationship Id="rId1973" Type="http://schemas.openxmlformats.org/officeDocument/2006/relationships/hyperlink" Target="https://realtree.com/the-realblog-with-stephanie-mallory/did-you-know-deer-eat-meat" TargetMode="External"/><Relationship Id="rId1974" Type="http://schemas.openxmlformats.org/officeDocument/2006/relationships/hyperlink" Target="https://www.wideopenspaces.com/deer-eats-bird/" TargetMode="External"/><Relationship Id="rId1975" Type="http://schemas.openxmlformats.org/officeDocument/2006/relationships/hyperlink" Target="https://www.wideopenspaces.com/deer-eats-bird/" TargetMode="External"/><Relationship Id="rId1976" Type="http://schemas.openxmlformats.org/officeDocument/2006/relationships/hyperlink" Target="https://realtree.com/brow-tines-and-backstrap/2022-southeast-deer-hunting-forecast" TargetMode="External"/><Relationship Id="rId1977" Type="http://schemas.openxmlformats.org/officeDocument/2006/relationships/hyperlink" Target="https://business.realtree.com/business-blog/deer-are-no-1-driver-hunter-spending" TargetMode="External"/><Relationship Id="rId1978" Type="http://schemas.openxmlformats.org/officeDocument/2006/relationships/hyperlink" Target="https://realtree.com/brow-tines-and-backstrap/debate-settled-deep-south-deer-are-the-toughest-to-hunt" TargetMode="External"/><Relationship Id="rId1979" Type="http://schemas.openxmlformats.org/officeDocument/2006/relationships/hyperlink" Target="https://www.wideopenspaces.com/alabama-hunting-license/" TargetMode="External"/><Relationship Id="rId1970" Type="http://schemas.openxmlformats.org/officeDocument/2006/relationships/hyperlink" Target="https://realtree.com/brow-tines-and-backstrap/5-watering-habits-of-mature-deer" TargetMode="External"/><Relationship Id="rId1971" Type="http://schemas.openxmlformats.org/officeDocument/2006/relationships/hyperlink" Target="https://realtree.com/brow-tines-and-backstrap/10-feeding-habits-of-mature-deer" TargetMode="External"/><Relationship Id="rId1961" Type="http://schemas.openxmlformats.org/officeDocument/2006/relationships/hyperlink" Target="https://realtree.com/deer-hunting/articles/10-tips-for-great-deer-pictures" TargetMode="External"/><Relationship Id="rId1962" Type="http://schemas.openxmlformats.org/officeDocument/2006/relationships/hyperlink" Target="https://realtree.com/brow-tines-and-backstrap/7-different-deer-taxidermy-options-and-their-costs" TargetMode="External"/><Relationship Id="rId1963" Type="http://schemas.openxmlformats.org/officeDocument/2006/relationships/hyperlink" Target="https://realtree.com/deer-hunting/articles/can-you-talk-deer" TargetMode="External"/><Relationship Id="rId1964" Type="http://schemas.openxmlformats.org/officeDocument/2006/relationships/hyperlink" Target="https://www.wideopenspaces.com/deer-sounds-making-sense-of-the-sounds-of-the-deer-woods/" TargetMode="External"/><Relationship Id="rId1965" Type="http://schemas.openxmlformats.org/officeDocument/2006/relationships/hyperlink" Target="https://realtree.com/deer-hunting/articles/smack-talk-aggressive-deer-calling-strategies" TargetMode="External"/><Relationship Id="rId1966" Type="http://schemas.openxmlformats.org/officeDocument/2006/relationships/hyperlink" Target="https://realtree.com/brow-tines-and-backstrap/10-best-deer-hunting-apps-for-2019" TargetMode="External"/><Relationship Id="rId1967" Type="http://schemas.openxmlformats.org/officeDocument/2006/relationships/hyperlink" Target="https://www.wideopenspaces.com/review-of-deercast-by-drury-outdoors/" TargetMode="External"/><Relationship Id="rId1968" Type="http://schemas.openxmlformats.org/officeDocument/2006/relationships/hyperlink" Target="https://realtree.com/deer-hunting/articles/deer-hunting-debate-does-culling-really-work" TargetMode="External"/><Relationship Id="rId1969" Type="http://schemas.openxmlformats.org/officeDocument/2006/relationships/hyperlink" Target="https://www.wideopenspaces.com/video-bedded-buck-finds-ease-christmas-deer-decorations/" TargetMode="External"/><Relationship Id="rId1960" Type="http://schemas.openxmlformats.org/officeDocument/2006/relationships/hyperlink" Target="https://www.wideopenspaces.com/5-deer-attractants-drive-whitetail-bucks-crazy-pics/" TargetMode="External"/><Relationship Id="rId1510" Type="http://schemas.openxmlformats.org/officeDocument/2006/relationships/hyperlink" Target="https://www.wideopenspaces.com/pennsylvania-deer-hunting/" TargetMode="External"/><Relationship Id="rId1994" Type="http://schemas.openxmlformats.org/officeDocument/2006/relationships/hyperlink" Target="https://realtree.com/deer-hunting/articles/10-tips-for-great-deer-pictures" TargetMode="External"/><Relationship Id="rId1511" Type="http://schemas.openxmlformats.org/officeDocument/2006/relationships/hyperlink" Target="https://www.wideopenspaces.com/the-difference-between-a-bull-elk-and-a-red-stag/" TargetMode="External"/><Relationship Id="rId1995" Type="http://schemas.openxmlformats.org/officeDocument/2006/relationships/hyperlink" Target="https://realtree.com/brow-tines-and-backstrap/whitetail-taxidermy-poses-for-your-next-deer-mount" TargetMode="External"/><Relationship Id="rId1512" Type="http://schemas.openxmlformats.org/officeDocument/2006/relationships/hyperlink" Target="https://www.wideopenspaces.com/when-does-deer-season-end-in-texas/" TargetMode="External"/><Relationship Id="rId1996" Type="http://schemas.openxmlformats.org/officeDocument/2006/relationships/hyperlink" Target="https://www.wideopenspaces.com/deer-hunting-in-ohio-what-you-should-know/" TargetMode="External"/><Relationship Id="rId1513" Type="http://schemas.openxmlformats.org/officeDocument/2006/relationships/hyperlink" Target="https://www.wideopenspaces.com/when-does-deer-season-end-in-texas/" TargetMode="External"/><Relationship Id="rId1997" Type="http://schemas.openxmlformats.org/officeDocument/2006/relationships/hyperlink" Target="https://www.wideopenspaces.com/georgia-deer-hunting/" TargetMode="External"/><Relationship Id="rId1514" Type="http://schemas.openxmlformats.org/officeDocument/2006/relationships/hyperlink" Target="https://realtree.com/brow-tines-and-backstrap/wisconsin-hunters-reject-changes-to-deer-season" TargetMode="External"/><Relationship Id="rId1998" Type="http://schemas.openxmlformats.org/officeDocument/2006/relationships/hyperlink" Target="https://realtree.com/deer-hunting/articles/where-to-deer-hunt-in-february" TargetMode="External"/><Relationship Id="rId1515" Type="http://schemas.openxmlformats.org/officeDocument/2006/relationships/hyperlink" Target="https://www.wideopenspaces.com/invasion-axis-deer/" TargetMode="External"/><Relationship Id="rId1999" Type="http://schemas.openxmlformats.org/officeDocument/2006/relationships/hyperlink" Target="https://www.wideopenspaces.com/hunt-deer-january-february/" TargetMode="External"/><Relationship Id="rId1516" Type="http://schemas.openxmlformats.org/officeDocument/2006/relationships/hyperlink" Target="https://realtree.com/brow-tines-and-backstrap/8-things-you-can-use-to-bait-deer" TargetMode="External"/><Relationship Id="rId1517" Type="http://schemas.openxmlformats.org/officeDocument/2006/relationships/hyperlink" Target="https://www.wideopenspaces.com/5-deer-attractants-drive-whitetail-bucks-crazy-pics/" TargetMode="External"/><Relationship Id="rId1518" Type="http://schemas.openxmlformats.org/officeDocument/2006/relationships/hyperlink" Target="https://www.wideopenspaces.com/blue-tongue-disease-in-deer/" TargetMode="External"/><Relationship Id="rId1519" Type="http://schemas.openxmlformats.org/officeDocument/2006/relationships/hyperlink" Target="https://realtree.com/brow-tines-and-backstrap/8-things-you-can-use-to-bait-deer" TargetMode="External"/><Relationship Id="rId1990" Type="http://schemas.openxmlformats.org/officeDocument/2006/relationships/hyperlink" Target="https://realtree.com/brow-tines-and-backstrap/10-amazing-facts-about-velvet-antlers" TargetMode="External"/><Relationship Id="rId1991" Type="http://schemas.openxmlformats.org/officeDocument/2006/relationships/hyperlink" Target="https://realtree.com/brow-tines-and-backstrap/wisconsin-hunters-reject-changes-to-deer-season" TargetMode="External"/><Relationship Id="rId1992" Type="http://schemas.openxmlformats.org/officeDocument/2006/relationships/hyperlink" Target="https://realtree.com/brow-tines-and-backstrap/2022-midwest-deer-hunting-forecast" TargetMode="External"/><Relationship Id="rId1993" Type="http://schemas.openxmlformats.org/officeDocument/2006/relationships/hyperlink" Target="https://realtree.com/brow-tines-and-backstrap/7-different-deer-taxidermy-options-and-their-costs" TargetMode="External"/><Relationship Id="rId1983" Type="http://schemas.openxmlformats.org/officeDocument/2006/relationships/hyperlink" Target="https://www.wideopenspaces.com/pennsylvania-deer-hunting/" TargetMode="External"/><Relationship Id="rId1500" Type="http://schemas.openxmlformats.org/officeDocument/2006/relationships/hyperlink" Target="https://www.wideopenspaces.com/when-does-deer-season-end-in-georgia/" TargetMode="External"/><Relationship Id="rId1984" Type="http://schemas.openxmlformats.org/officeDocument/2006/relationships/hyperlink" Target="https://www.wideopenspaces.com/indiana-shotgun-deer-season/" TargetMode="External"/><Relationship Id="rId1501" Type="http://schemas.openxmlformats.org/officeDocument/2006/relationships/hyperlink" Target="https://realtree.com/brow-tines-and-backstrap/kentucky-proposes-massive-changes-to-deer-hunting-seasons-and-regulations" TargetMode="External"/><Relationship Id="rId1985" Type="http://schemas.openxmlformats.org/officeDocument/2006/relationships/hyperlink" Target="https://www.wideopenspaces.com/deer-hunting-in-ohio-what-you-should-know/" TargetMode="External"/><Relationship Id="rId1502" Type="http://schemas.openxmlformats.org/officeDocument/2006/relationships/hyperlink" Target="https://realtree.com/brow-tines-and-backstrap/don-t-let-a-dead-deer-kill-you" TargetMode="External"/><Relationship Id="rId1986" Type="http://schemas.openxmlformats.org/officeDocument/2006/relationships/hyperlink" Target="https://realtree.com/deer-hunting/articles/5-no-draw-bargain-whitetail-hunts-you-can-do-this-year" TargetMode="External"/><Relationship Id="rId1503" Type="http://schemas.openxmlformats.org/officeDocument/2006/relationships/hyperlink" Target="https://www.wideopenspaces.com/heres-michigans-early-antlerless-deer-season-explained-quickly-easily/" TargetMode="External"/><Relationship Id="rId1987" Type="http://schemas.openxmlformats.org/officeDocument/2006/relationships/hyperlink" Target="https://www.wideopenspaces.com/indiana-shotgun-deer-season/" TargetMode="External"/><Relationship Id="rId1504" Type="http://schemas.openxmlformats.org/officeDocument/2006/relationships/hyperlink" Target="https://www.wideopenspaces.com/michigan-muzzleloader-season/" TargetMode="External"/><Relationship Id="rId1988" Type="http://schemas.openxmlformats.org/officeDocument/2006/relationships/hyperlink" Target="https://realtree.com/the-realblog-with-stephanie-mallory/texas-rancher-fights-back-as-state-plans-to-kill-500-penned-deer" TargetMode="External"/><Relationship Id="rId1505" Type="http://schemas.openxmlformats.org/officeDocument/2006/relationships/hyperlink" Target="https://realtree.com/brow-tines-and-backstrap/2022-southeast-deer-hunting-forecast" TargetMode="External"/><Relationship Id="rId1989" Type="http://schemas.openxmlformats.org/officeDocument/2006/relationships/hyperlink" Target="https://www.wideopenspaces.com/when-does-deer-season-end-in-texas/" TargetMode="External"/><Relationship Id="rId1506" Type="http://schemas.openxmlformats.org/officeDocument/2006/relationships/hyperlink" Target="https://www.wideopenspaces.com/hunt-deer-january-february/" TargetMode="External"/><Relationship Id="rId1507" Type="http://schemas.openxmlformats.org/officeDocument/2006/relationships/hyperlink" Target="https://www.wideopenspaces.com/mn-deer-hunting-zones/" TargetMode="External"/><Relationship Id="rId1508" Type="http://schemas.openxmlformats.org/officeDocument/2006/relationships/hyperlink" Target="https://www.wideopenspaces.com/when-does-deer-season-end-in-texas/" TargetMode="External"/><Relationship Id="rId1509" Type="http://schemas.openxmlformats.org/officeDocument/2006/relationships/hyperlink" Target="https://realtree.com/deer-hunting/articles/the-best-times-to-deer-hunt-in-2022" TargetMode="External"/><Relationship Id="rId1980" Type="http://schemas.openxmlformats.org/officeDocument/2006/relationships/hyperlink" Target="https://www.wideopenspaces.com/whitetailwednesday-15-hilarious-deer-hunting-memes-true/" TargetMode="External"/><Relationship Id="rId1981" Type="http://schemas.openxmlformats.org/officeDocument/2006/relationships/hyperlink" Target="https://realtree.com/brow-tines-and-backstrap/2022-midwest-deer-hunting-forecast" TargetMode="External"/><Relationship Id="rId1982" Type="http://schemas.openxmlformats.org/officeDocument/2006/relationships/hyperlink" Target="https://www.wideopenspaces.com/mn-deer-hunting-zones/" TargetMode="External"/><Relationship Id="rId1930" Type="http://schemas.openxmlformats.org/officeDocument/2006/relationships/hyperlink" Target="https://www.wideopenspaces.com/everything-you-wanted-to-know-about-winchester-deer-season-xp-ammo/" TargetMode="External"/><Relationship Id="rId1931" Type="http://schemas.openxmlformats.org/officeDocument/2006/relationships/hyperlink" Target="https://realtree.com/" TargetMode="External"/><Relationship Id="rId1932" Type="http://schemas.openxmlformats.org/officeDocument/2006/relationships/hyperlink" Target="https://www.wideopenspaces.com/missouri-youth-hunt-records-astounding-deer-kill-number/" TargetMode="External"/><Relationship Id="rId1933" Type="http://schemas.openxmlformats.org/officeDocument/2006/relationships/hyperlink" Target="https://www.wideopenspaces.com/10-best-reasonably-priced-deer-stand-options/" TargetMode="External"/><Relationship Id="rId1934" Type="http://schemas.openxmlformats.org/officeDocument/2006/relationships/hyperlink" Target="https://realtree.com/deer-hunting/articles/how-to-score-a-buck-on-the-boone-and-crocket-scale" TargetMode="External"/><Relationship Id="rId1935" Type="http://schemas.openxmlformats.org/officeDocument/2006/relationships/hyperlink" Target="https://www.wideopenspaces.com/8-point-buck/" TargetMode="External"/><Relationship Id="rId1936" Type="http://schemas.openxmlformats.org/officeDocument/2006/relationships/hyperlink" Target="https://www.wideopenspaces.com/whitetailwednesday-should-we-shoot-albino-and-piebald-deer/" TargetMode="External"/><Relationship Id="rId1937" Type="http://schemas.openxmlformats.org/officeDocument/2006/relationships/hyperlink" Target="https://www.wideopenspaces.com/biologists-studying-utahs-antelope-island-mule-deer-herd-through-radio-collar-study/" TargetMode="External"/><Relationship Id="rId1938" Type="http://schemas.openxmlformats.org/officeDocument/2006/relationships/hyperlink" Target="https://www.wideopenspaces.com/deer-sounds-making-sense-of-the-sounds-of-the-deer-woods/" TargetMode="External"/><Relationship Id="rId1939" Type="http://schemas.openxmlformats.org/officeDocument/2006/relationships/hyperlink" Target="https://www.wideopenspaces.com/concrete-evidence-bear-proof-feeders-need/" TargetMode="External"/><Relationship Id="rId1920" Type="http://schemas.openxmlformats.org/officeDocument/2006/relationships/hyperlink" Target="https://realtree.com/deer-hunting/articles/how-mature-bucks-use-the-wind" TargetMode="External"/><Relationship Id="rId1921" Type="http://schemas.openxmlformats.org/officeDocument/2006/relationships/hyperlink" Target="https://realtree.com/brow-tines-and-backstrap/alabama-rut-kicking-police-dog-saves-deer-hunter-from-icy-river-and-more" TargetMode="External"/><Relationship Id="rId1922" Type="http://schemas.openxmlformats.org/officeDocument/2006/relationships/hyperlink" Target="https://realtree.com/deer-hunting/articles/how-to-deer-hunt-in-december" TargetMode="External"/><Relationship Id="rId1923" Type="http://schemas.openxmlformats.org/officeDocument/2006/relationships/hyperlink" Target="https://www.wideopenspaces.com/when-does-deer-season-end-in-georgia/" TargetMode="External"/><Relationship Id="rId1924" Type="http://schemas.openxmlformats.org/officeDocument/2006/relationships/hyperlink" Target="https://www.wideopenspaces.com/when-does-deer-season-end-in-georgia/" TargetMode="External"/><Relationship Id="rId1925" Type="http://schemas.openxmlformats.org/officeDocument/2006/relationships/hyperlink" Target="https://www.wideopenspaces.com/when-does-deer-season-end-in-georgia/" TargetMode="External"/><Relationship Id="rId1926" Type="http://schemas.openxmlformats.org/officeDocument/2006/relationships/hyperlink" Target="https://www.wideopenspaces.com/invasion-axis-deer/" TargetMode="External"/><Relationship Id="rId1927" Type="http://schemas.openxmlformats.org/officeDocument/2006/relationships/hyperlink" Target="https://www.wideopenspaces.com/whitetail-deer-gestation-period/" TargetMode="External"/><Relationship Id="rId1928" Type="http://schemas.openxmlformats.org/officeDocument/2006/relationships/hyperlink" Target="https://realtree.com/brow-tines-and-backstrap/how-long-do-white-tailed-deer-live" TargetMode="External"/><Relationship Id="rId1929" Type="http://schemas.openxmlformats.org/officeDocument/2006/relationships/hyperlink" Target="https://www.wideopenspaces.com/lifespan-whitetail-deer/" TargetMode="External"/><Relationship Id="rId1950" Type="http://schemas.openxmlformats.org/officeDocument/2006/relationships/hyperlink" Target="https://www.wideopenspaces.com/invasion-axis-deer/" TargetMode="External"/><Relationship Id="rId1951" Type="http://schemas.openxmlformats.org/officeDocument/2006/relationships/hyperlink" Target="https://realtree.com/brow-tines-and-backstrap/how-to-use-a-trail-camera" TargetMode="External"/><Relationship Id="rId1952" Type="http://schemas.openxmlformats.org/officeDocument/2006/relationships/hyperlink" Target="https://www.wideopenspaces.com/wild-game-innovations-unveils-new-trail-cameras-for-ata-show/" TargetMode="External"/><Relationship Id="rId1953" Type="http://schemas.openxmlformats.org/officeDocument/2006/relationships/hyperlink" Target="https://realtree.com/deer-hunting/articles/deer-hunting-debate-does-culling-really-work" TargetMode="External"/><Relationship Id="rId1954" Type="http://schemas.openxmlformats.org/officeDocument/2006/relationships/hyperlink" Target="https://realtree.com/deer-hunting/articles/how-to-score-a-buck-on-the-boone-and-crocket-scale" TargetMode="External"/><Relationship Id="rId1955" Type="http://schemas.openxmlformats.org/officeDocument/2006/relationships/hyperlink" Target="https://www.wideopenspaces.com/you-wont-believe-this-video-is-just-an-8-point-buck/" TargetMode="External"/><Relationship Id="rId1956" Type="http://schemas.openxmlformats.org/officeDocument/2006/relationships/hyperlink" Target="https://realtree.com/brow-tines-and-backstrap/why-bucks-shed-antlers-and-how-to-hunt-them" TargetMode="External"/><Relationship Id="rId1957" Type="http://schemas.openxmlformats.org/officeDocument/2006/relationships/hyperlink" Target="https://www.wideopenspaces.com/deer-shed-antlers-pics/" TargetMode="External"/><Relationship Id="rId1958" Type="http://schemas.openxmlformats.org/officeDocument/2006/relationships/hyperlink" Target="https://realtree.com/the-realblog-with-stephanie-mallory/watch-buck-attack-during-filming-of-kentucky-afield-television" TargetMode="External"/><Relationship Id="rId1959" Type="http://schemas.openxmlformats.org/officeDocument/2006/relationships/hyperlink" Target="https://realtree.com/brow-tines-and-backstrap/8-things-you-can-use-to-bait-deer" TargetMode="External"/><Relationship Id="rId1940" Type="http://schemas.openxmlformats.org/officeDocument/2006/relationships/hyperlink" Target="https://realtree.com/brow-tines-and-backstrap/8-things-you-can-use-to-bait-deer" TargetMode="External"/><Relationship Id="rId1941" Type="http://schemas.openxmlformats.org/officeDocument/2006/relationships/hyperlink" Target="https://www.wideopenspaces.com/5-deer-attractants-drive-whitetail-bucks-crazy-pics/" TargetMode="External"/><Relationship Id="rId1942" Type="http://schemas.openxmlformats.org/officeDocument/2006/relationships/hyperlink" Target="https://www.wideopenspaces.com/best-deer-feeders/" TargetMode="External"/><Relationship Id="rId1943" Type="http://schemas.openxmlformats.org/officeDocument/2006/relationships/hyperlink" Target="https://realtree.com/brow-tines-and-backstrap/have-you-ever-seen-a-melanistic-whitetail" TargetMode="External"/><Relationship Id="rId1944" Type="http://schemas.openxmlformats.org/officeDocument/2006/relationships/hyperlink" Target="https://www.wideopenspaces.com/whitetailwednesday-the-rarest-deer-color-phase-of-all-melanistic/" TargetMode="External"/><Relationship Id="rId1945" Type="http://schemas.openxmlformats.org/officeDocument/2006/relationships/hyperlink" Target="https://realtree.com/brow-tines-and-backstrap" TargetMode="External"/><Relationship Id="rId1946" Type="http://schemas.openxmlformats.org/officeDocument/2006/relationships/hyperlink" Target="https://realtree.com/the-realblog-with-stephanie-mallory/watch-live-cam-of-maine-deer-pantry" TargetMode="External"/><Relationship Id="rId1947" Type="http://schemas.openxmlformats.org/officeDocument/2006/relationships/hyperlink" Target="https://realtree.com/brow-tines-and-backstrap/will-skyrocketing-corn-prices-affect-your-deer-season" TargetMode="External"/><Relationship Id="rId1948" Type="http://schemas.openxmlformats.org/officeDocument/2006/relationships/hyperlink" Target="https://www.wideopenspaces.com/venison-dog-food/" TargetMode="External"/><Relationship Id="rId1949" Type="http://schemas.openxmlformats.org/officeDocument/2006/relationships/hyperlink" Target="https://www.wideopenspaces.com/catchin-up-with-catchin-deers-wide-open-spaces-speaks-with-former-nhler-mike-fisher/" TargetMode="External"/><Relationship Id="rId1576" Type="http://schemas.openxmlformats.org/officeDocument/2006/relationships/hyperlink" Target="https://www.wideopenspaces.com/best-deer-carts/" TargetMode="External"/><Relationship Id="rId1577" Type="http://schemas.openxmlformats.org/officeDocument/2006/relationships/hyperlink" Target="https://realtree.com/" TargetMode="External"/><Relationship Id="rId1578" Type="http://schemas.openxmlformats.org/officeDocument/2006/relationships/hyperlink" Target="https://www.wideopenspaces.com/best-camo-face-paint/" TargetMode="External"/><Relationship Id="rId1579" Type="http://schemas.openxmlformats.org/officeDocument/2006/relationships/hyperlink" Target="https://realtree.com/fish-game-forecaster" TargetMode="External"/><Relationship Id="rId509" Type="http://schemas.openxmlformats.org/officeDocument/2006/relationships/hyperlink" Target="https://www.themeateater.com/cook/recipes/garlic-herb-venison-marinade-recipe" TargetMode="External"/><Relationship Id="rId508" Type="http://schemas.openxmlformats.org/officeDocument/2006/relationships/hyperlink" Target="https://www.themeateater.com/conservation/wildlife-management/why-do-female-deer-sometimes-grow-antlers" TargetMode="External"/><Relationship Id="rId503" Type="http://schemas.openxmlformats.org/officeDocument/2006/relationships/hyperlink" Target="https://realtree.com/deer-hunting/articles/smack-talk-aggressive-deer-calling-strategies" TargetMode="External"/><Relationship Id="rId987" Type="http://schemas.openxmlformats.org/officeDocument/2006/relationships/hyperlink" Target="https://www.themeateater.com/watch/6175630772001/steven-rinella-hunts-his-first-columbia-blacktail-deer-in-california" TargetMode="External"/><Relationship Id="rId502" Type="http://schemas.openxmlformats.org/officeDocument/2006/relationships/hyperlink" Target="https://www.themeateater.com/wired-to-hunt/whitetail-hunting/3-grunt-call-vocalizations-every-whitetail-hunter-should-know" TargetMode="External"/><Relationship Id="rId986" Type="http://schemas.openxmlformats.org/officeDocument/2006/relationships/hyperlink" Target="https://www.wideopenspaces.com/what-are-the-best-deer-hunting-times-throughout-the-day/" TargetMode="External"/><Relationship Id="rId501" Type="http://schemas.openxmlformats.org/officeDocument/2006/relationships/hyperlink" Target="https://www.wideopenspaces.com/top-5-venison-marinades/" TargetMode="External"/><Relationship Id="rId985" Type="http://schemas.openxmlformats.org/officeDocument/2006/relationships/hyperlink" Target="https://realtree.com/deer-hunting/articles/the-best-times-to-deer-hunt-in-2022" TargetMode="External"/><Relationship Id="rId500" Type="http://schemas.openxmlformats.org/officeDocument/2006/relationships/hyperlink" Target="https://realtree.com/timber-2-table-wild-game-recipes/miso-marinated-venison-backstrap" TargetMode="External"/><Relationship Id="rId984" Type="http://schemas.openxmlformats.org/officeDocument/2006/relationships/hyperlink" Target="https://www.themeateater.com/wired-to-hunt/whitetail-hunting/the-debate-about-lunar-effects-on-whitetails" TargetMode="External"/><Relationship Id="rId507" Type="http://schemas.openxmlformats.org/officeDocument/2006/relationships/hyperlink" Target="https://realtree.com/bowhunting/articles/8-tips-for-bowhunting-deer-from-a-ground-blind" TargetMode="External"/><Relationship Id="rId506" Type="http://schemas.openxmlformats.org/officeDocument/2006/relationships/hyperlink" Target="https://www.themeateater.com/wired-to-hunt/whitetail-hunting/how-far-is-too-far-to-shoot-a-deer-with-a-bow" TargetMode="External"/><Relationship Id="rId505" Type="http://schemas.openxmlformats.org/officeDocument/2006/relationships/hyperlink" Target="https://www.themeateater.com/wired-to-hunt/whitetail-hunting/how-to-call-in-bucks-during-each-phase-of-the-season" TargetMode="External"/><Relationship Id="rId989" Type="http://schemas.openxmlformats.org/officeDocument/2006/relationships/hyperlink" Target="https://realtree.com/brow-tines-and-backstrap/why-bucks-shed-antlers-and-how-to-hunt-them" TargetMode="External"/><Relationship Id="rId504" Type="http://schemas.openxmlformats.org/officeDocument/2006/relationships/hyperlink" Target="https://www.wideopenspaces.com/deer-sounds-making-sense-of-the-sounds-of-the-deer-woods/" TargetMode="External"/><Relationship Id="rId988" Type="http://schemas.openxmlformats.org/officeDocument/2006/relationships/hyperlink" Target="https://www.themeateater.com/wired-to-hunt/whitetail-scouting/ask-wired-to-hunt-when-should-you-start-shed-hunting" TargetMode="External"/><Relationship Id="rId1570" Type="http://schemas.openxmlformats.org/officeDocument/2006/relationships/hyperlink" Target="https://www.wideopenspaces.com/best-deer-feeders/" TargetMode="External"/><Relationship Id="rId1571" Type="http://schemas.openxmlformats.org/officeDocument/2006/relationships/hyperlink" Target="https://realtree.com/brow-tines-and-backstrap/7-different-deer-taxidermy-options-and-their-costs" TargetMode="External"/><Relationship Id="rId983" Type="http://schemas.openxmlformats.org/officeDocument/2006/relationships/hyperlink" Target="https://www.wideopenspaces.com/8-homemade-hunting-blinds-pics/" TargetMode="External"/><Relationship Id="rId1572" Type="http://schemas.openxmlformats.org/officeDocument/2006/relationships/hyperlink" Target="https://realtree.com/deer-hunting/articles/the-deer-pee-empire" TargetMode="External"/><Relationship Id="rId982" Type="http://schemas.openxmlformats.org/officeDocument/2006/relationships/hyperlink" Target="https://www.themeateater.com/hunt/whitetail-deer/photos-how-to-build-a-deer-blind-from-pallets" TargetMode="External"/><Relationship Id="rId1573" Type="http://schemas.openxmlformats.org/officeDocument/2006/relationships/hyperlink" Target="https://www.wideopenspaces.com/10-hunting-halloween-costumes/" TargetMode="External"/><Relationship Id="rId981" Type="http://schemas.openxmlformats.org/officeDocument/2006/relationships/hyperlink" Target="https://realtree.com/deer-hunting/articles/predators-are-decimating-mule-deer-herds" TargetMode="External"/><Relationship Id="rId1574" Type="http://schemas.openxmlformats.org/officeDocument/2006/relationships/hyperlink" Target="https://realtree.com/brow-tines-and-backstrap/7-different-deer-taxidermy-options-and-their-costs" TargetMode="External"/><Relationship Id="rId980" Type="http://schemas.openxmlformats.org/officeDocument/2006/relationships/hyperlink" Target="https://www.themeateater.com/wired-to-hunt/whitetail-management/the-predator-that-deer-fear-most" TargetMode="External"/><Relationship Id="rId1575" Type="http://schemas.openxmlformats.org/officeDocument/2006/relationships/hyperlink" Target="https://realtree.com/all/articles/antler-trivia" TargetMode="External"/><Relationship Id="rId1565" Type="http://schemas.openxmlformats.org/officeDocument/2006/relationships/hyperlink" Target="https://www.wideopenspaces.com/tennessee-approves-3-day-archery-only-deer-season-for-august/" TargetMode="External"/><Relationship Id="rId1566" Type="http://schemas.openxmlformats.org/officeDocument/2006/relationships/hyperlink" Target="https://realtree.com/brow-tines-and-backstrap/will-ehd-be-a-factor-this-deer-season" TargetMode="External"/><Relationship Id="rId1567" Type="http://schemas.openxmlformats.org/officeDocument/2006/relationships/hyperlink" Target="https://realtree.com/brow-tines-and-backstrap/2022-southeast-deer-hunting-forecast" TargetMode="External"/><Relationship Id="rId1568" Type="http://schemas.openxmlformats.org/officeDocument/2006/relationships/hyperlink" Target="https://www.wideopenspaces.com/alabama-hunting-license/" TargetMode="External"/><Relationship Id="rId1569" Type="http://schemas.openxmlformats.org/officeDocument/2006/relationships/hyperlink" Target="https://realtree.com/brow-tines-and-backstrap/2022-southeast-deer-hunting-forecast" TargetMode="External"/><Relationship Id="rId976" Type="http://schemas.openxmlformats.org/officeDocument/2006/relationships/hyperlink" Target="https://realtree.com/brow-tines-and-backstrap/does-a-snorting-deer-mean-your-hunt-s-over" TargetMode="External"/><Relationship Id="rId975" Type="http://schemas.openxmlformats.org/officeDocument/2006/relationships/hyperlink" Target="https://www.themeateater.com/wired-to-hunt/whitetail-scouting/where-do-deer-sleep" TargetMode="External"/><Relationship Id="rId974" Type="http://schemas.openxmlformats.org/officeDocument/2006/relationships/hyperlink" Target="https://www.wideopenspaces.com/european-skull-mount/" TargetMode="External"/><Relationship Id="rId973" Type="http://schemas.openxmlformats.org/officeDocument/2006/relationships/hyperlink" Target="https://www.themeateater.com/hunt/general/ask-meateater-how-do-you-make-a-skull-mount" TargetMode="External"/><Relationship Id="rId979" Type="http://schemas.openxmlformats.org/officeDocument/2006/relationships/hyperlink" Target="https://www.wideopenspaces.com/venison-backstrap-recipes/" TargetMode="External"/><Relationship Id="rId978" Type="http://schemas.openxmlformats.org/officeDocument/2006/relationships/hyperlink" Target="https://realtree.com/timber-2-table-wild-game-recipes/reverse-seared-smoked-venison-backstrap" TargetMode="External"/><Relationship Id="rId977" Type="http://schemas.openxmlformats.org/officeDocument/2006/relationships/hyperlink" Target="https://www.themeateater.com/cook/cooking-techniques/how-to-cook-a-backstrap-steak" TargetMode="External"/><Relationship Id="rId1560" Type="http://schemas.openxmlformats.org/officeDocument/2006/relationships/hyperlink" Target="https://realtree.com/deer-hunting/articles/10-tips-for-great-deer-pictures" TargetMode="External"/><Relationship Id="rId972" Type="http://schemas.openxmlformats.org/officeDocument/2006/relationships/hyperlink" Target="https://www.wideopenspaces.com/deer-sounds-making-sense-of-the-sounds-of-the-deer-woods/" TargetMode="External"/><Relationship Id="rId1561" Type="http://schemas.openxmlformats.org/officeDocument/2006/relationships/hyperlink" Target="https://www.wideopenspaces.com/spike-deer-science/" TargetMode="External"/><Relationship Id="rId971" Type="http://schemas.openxmlformats.org/officeDocument/2006/relationships/hyperlink" Target="https://realtree.com/deer-hunting/articles/can-you-talk-deer" TargetMode="External"/><Relationship Id="rId1562" Type="http://schemas.openxmlformats.org/officeDocument/2006/relationships/hyperlink" Target="https://www.wideopenspaces.com/invasion-axis-deer/" TargetMode="External"/><Relationship Id="rId970" Type="http://schemas.openxmlformats.org/officeDocument/2006/relationships/hyperlink" Target="https://www.themeateater.com/hunt/whitetail-deer/video-rutting-buck-makes-crazy-vocalizations" TargetMode="External"/><Relationship Id="rId1563" Type="http://schemas.openxmlformats.org/officeDocument/2006/relationships/hyperlink" Target="https://www.wideopenspaces.com/the-legacy-of-a-whitetail-deer-hunter/" TargetMode="External"/><Relationship Id="rId1564" Type="http://schemas.openxmlformats.org/officeDocument/2006/relationships/hyperlink" Target="https://realtree.com/deer-hunting/articles/deer-hunting-the-late-season" TargetMode="External"/><Relationship Id="rId1114" Type="http://schemas.openxmlformats.org/officeDocument/2006/relationships/hyperlink" Target="https://www.wideopenspaces.com/deer-poop-identification/" TargetMode="External"/><Relationship Id="rId1598" Type="http://schemas.openxmlformats.org/officeDocument/2006/relationships/hyperlink" Target="https://realtree.com/deer-hunting/articles/how-managing-for-older-bigger-bucks-helps-the-entire-deer-herd" TargetMode="External"/><Relationship Id="rId1115" Type="http://schemas.openxmlformats.org/officeDocument/2006/relationships/hyperlink" Target="https://www.themeateater.com/hunt/whitetail-deer/how-to-gut-a-deer" TargetMode="External"/><Relationship Id="rId1599" Type="http://schemas.openxmlformats.org/officeDocument/2006/relationships/hyperlink" Target="https://realtree.com/brow-tines-and-backstrap/how-to-make-a-homemade-deer-feeder" TargetMode="External"/><Relationship Id="rId1116" Type="http://schemas.openxmlformats.org/officeDocument/2006/relationships/hyperlink" Target="https://realtree.com/timber-2-table-wild-game-recipes/how-to-quarter-a-deer-in-7-steps" TargetMode="External"/><Relationship Id="rId1117" Type="http://schemas.openxmlformats.org/officeDocument/2006/relationships/hyperlink" Target="https://www.themeateater.com/wired-to-hunt/whitetail-hunting/5-games-every-deer-camp-should-have" TargetMode="External"/><Relationship Id="rId1118" Type="http://schemas.openxmlformats.org/officeDocument/2006/relationships/hyperlink" Target="https://www.wideopenspaces.com/5-of-the-best-hunting-video-games-ever-made/" TargetMode="External"/><Relationship Id="rId1119" Type="http://schemas.openxmlformats.org/officeDocument/2006/relationships/hyperlink" Target="https://www.themeateater.com/wired-to-hunt/whitetail-hunting/photos-whitetail-antler-growth-timeline" TargetMode="External"/><Relationship Id="rId525" Type="http://schemas.openxmlformats.org/officeDocument/2006/relationships/hyperlink" Target="https://www.themeateater.com/wired-to-hunt/whitetail-hunting/deer-vision-how-whitetails-see-color-light-and-movement" TargetMode="External"/><Relationship Id="rId524" Type="http://schemas.openxmlformats.org/officeDocument/2006/relationships/hyperlink" Target="https://www.wideopenspaces.com/how-to-score-a-deer-measuring-your-trophy-step-by-step/" TargetMode="External"/><Relationship Id="rId523" Type="http://schemas.openxmlformats.org/officeDocument/2006/relationships/hyperlink" Target="https://realtree.com/all/articles/scoring-your-whitetail-trophy" TargetMode="External"/><Relationship Id="rId522" Type="http://schemas.openxmlformats.org/officeDocument/2006/relationships/hyperlink" Target="https://www.themeateater.com/watch/6259336077001/how-to-score-a-whitetail-deer" TargetMode="External"/><Relationship Id="rId529" Type="http://schemas.openxmlformats.org/officeDocument/2006/relationships/hyperlink" Target="https://www.wideopenspaces.com/where-do-deer-sleep/" TargetMode="External"/><Relationship Id="rId528" Type="http://schemas.openxmlformats.org/officeDocument/2006/relationships/hyperlink" Target="https://realtree.com/brow-tines-and-backstrap/8-bedding-habits-of-mature-deer" TargetMode="External"/><Relationship Id="rId527" Type="http://schemas.openxmlformats.org/officeDocument/2006/relationships/hyperlink" Target="https://www.themeateater.com/wired-to-hunt/whitetail-scouting/where-do-deer-sleep" TargetMode="External"/><Relationship Id="rId526" Type="http://schemas.openxmlformats.org/officeDocument/2006/relationships/hyperlink" Target="https://www.wideopenspaces.com/whitetailwednesday-the-rarest-deer-color-phase-of-all-melanistic/" TargetMode="External"/><Relationship Id="rId1590" Type="http://schemas.openxmlformats.org/officeDocument/2006/relationships/hyperlink" Target="https://www.wideopenspaces.com/heres-michigans-early-antlerless-deer-season-explained-quickly-easily/" TargetMode="External"/><Relationship Id="rId1591" Type="http://schemas.openxmlformats.org/officeDocument/2006/relationships/hyperlink" Target="https://realtree.com/brow-tines-and-backstrap/2022-midwest-deer-hunting-forecast" TargetMode="External"/><Relationship Id="rId1592" Type="http://schemas.openxmlformats.org/officeDocument/2006/relationships/hyperlink" Target="https://www.wideopenspaces.com/when-does-deer-season-end-in-missouri/" TargetMode="External"/><Relationship Id="rId1593" Type="http://schemas.openxmlformats.org/officeDocument/2006/relationships/hyperlink" Target="https://realtree.com/brow-tines-and-backstrap/2022-southeast-deer-hunting-forecast" TargetMode="External"/><Relationship Id="rId521" Type="http://schemas.openxmlformats.org/officeDocument/2006/relationships/hyperlink" Target="https://www.wideopenspaces.com/where-to-shoot-a-deer-for-the-best-odds-of-a-quick-kill/" TargetMode="External"/><Relationship Id="rId1110" Type="http://schemas.openxmlformats.org/officeDocument/2006/relationships/hyperlink" Target="https://www.wideopenspaces.com/antlered-doe/" TargetMode="External"/><Relationship Id="rId1594" Type="http://schemas.openxmlformats.org/officeDocument/2006/relationships/hyperlink" Target="https://www.wideopenspaces.com/how-to-clean-a-deer-skull/" TargetMode="External"/><Relationship Id="rId520" Type="http://schemas.openxmlformats.org/officeDocument/2006/relationships/hyperlink" Target="https://realtree.com/deer-hunting/articles/the-best-shot-placement-on-deer" TargetMode="External"/><Relationship Id="rId1111" Type="http://schemas.openxmlformats.org/officeDocument/2006/relationships/hyperlink" Target="https://www.themeateater.com/conservation/wildlife-management/why-do-female-deer-sometimes-grow-antlers" TargetMode="External"/><Relationship Id="rId1595" Type="http://schemas.openxmlformats.org/officeDocument/2006/relationships/hyperlink" Target="https://realtree.com/the-realblog-with-stephanie-mallory/did-you-know-deer-eat-meat" TargetMode="External"/><Relationship Id="rId1112" Type="http://schemas.openxmlformats.org/officeDocument/2006/relationships/hyperlink" Target="https://www.wideopenspaces.com/deer-shed-antlers-pics/" TargetMode="External"/><Relationship Id="rId1596" Type="http://schemas.openxmlformats.org/officeDocument/2006/relationships/hyperlink" Target="https://www.wideopenspaces.com/do-deer-eat-meat/" TargetMode="External"/><Relationship Id="rId1113" Type="http://schemas.openxmlformats.org/officeDocument/2006/relationships/hyperlink" Target="https://www.themeateater.com/wired-to-hunt/whitetail-scouting/fact-checker-can-you-identify-a-mature-buck-by-droppings" TargetMode="External"/><Relationship Id="rId1597" Type="http://schemas.openxmlformats.org/officeDocument/2006/relationships/hyperlink" Target="https://realtree.com/brow-tines-and-backstrap/when-to-draw-your-bow-on-deer" TargetMode="External"/><Relationship Id="rId1103" Type="http://schemas.openxmlformats.org/officeDocument/2006/relationships/hyperlink" Target="https://realtree.com/timber-2-table-articles/the-10-best-snacks-for-the-deer-stand" TargetMode="External"/><Relationship Id="rId1587" Type="http://schemas.openxmlformats.org/officeDocument/2006/relationships/hyperlink" Target="https://www.wideopenspaces.com/19-deer-hunting-jokes/" TargetMode="External"/><Relationship Id="rId1104" Type="http://schemas.openxmlformats.org/officeDocument/2006/relationships/hyperlink" Target="https://www.themeateater.com/conservation/wildlife-management/video-texas-biologists-spot-one-in-a-million-deer" TargetMode="External"/><Relationship Id="rId1588" Type="http://schemas.openxmlformats.org/officeDocument/2006/relationships/hyperlink" Target="https://realtree.com/brow-tines-and-backstrap/2022-southeast-deer-hunting-forecast" TargetMode="External"/><Relationship Id="rId1105" Type="http://schemas.openxmlformats.org/officeDocument/2006/relationships/hyperlink" Target="https://realtree.com/brow-tines-and-backstrap/have-you-ever-seen-a-melanistic-whitetail" TargetMode="External"/><Relationship Id="rId1589" Type="http://schemas.openxmlformats.org/officeDocument/2006/relationships/hyperlink" Target="https://www.wideopenspaces.com/when-does-deer-season-end-in-georgia/" TargetMode="External"/><Relationship Id="rId1106" Type="http://schemas.openxmlformats.org/officeDocument/2006/relationships/hyperlink" Target="https://www.wideopenspaces.com/whitetailwednesday-the-rarest-deer-color-phase-of-all-melanistic/" TargetMode="External"/><Relationship Id="rId1107" Type="http://schemas.openxmlformats.org/officeDocument/2006/relationships/hyperlink" Target="https://www.themeateater.com/wired-to-hunt/whitetail-management/why-some-whitetails-grow-fangs" TargetMode="External"/><Relationship Id="rId1108" Type="http://schemas.openxmlformats.org/officeDocument/2006/relationships/hyperlink" Target="https://www.themeateater.com/conservation/wildlife-management/why-do-female-deer-sometimes-grow-antlers" TargetMode="External"/><Relationship Id="rId1109" Type="http://schemas.openxmlformats.org/officeDocument/2006/relationships/hyperlink" Target="https://realtree.com/brow-tines-and-backstrap/5-signs-a-doe-is-in-estrous" TargetMode="External"/><Relationship Id="rId519" Type="http://schemas.openxmlformats.org/officeDocument/2006/relationships/hyperlink" Target="https://www.themeateater.com/wired-to-hunt/whitetail-hunting/where-to-shoot-a-deer" TargetMode="External"/><Relationship Id="rId514" Type="http://schemas.openxmlformats.org/officeDocument/2006/relationships/hyperlink" Target="https://www.themeateater.com/wired-to-hunt/whitetail-hunting/photos-whitetail-antler-growth-timeline" TargetMode="External"/><Relationship Id="rId998" Type="http://schemas.openxmlformats.org/officeDocument/2006/relationships/hyperlink" Target="https://www.wideopenspaces.com/check-25-awesome-vintage-deer-hunting-photos-whitetailwednesday/" TargetMode="External"/><Relationship Id="rId513" Type="http://schemas.openxmlformats.org/officeDocument/2006/relationships/hyperlink" Target="https://www.wideopenspaces.com/quarter-deer-living-room/" TargetMode="External"/><Relationship Id="rId997" Type="http://schemas.openxmlformats.org/officeDocument/2006/relationships/hyperlink" Target="https://www.themeateater.com/hunt/whitetail-deer/is-this-50-point-whitetail-the-new-world-record" TargetMode="External"/><Relationship Id="rId512" Type="http://schemas.openxmlformats.org/officeDocument/2006/relationships/hyperlink" Target="https://realtree.com/timber-2-table-wild-game-recipes/how-to-quarter-a-deer-in-7-steps" TargetMode="External"/><Relationship Id="rId996" Type="http://schemas.openxmlformats.org/officeDocument/2006/relationships/hyperlink" Target="https://www.themeateater.com/conservation/wildlife-management/why-do-female-deer-sometimes-grow-antlers" TargetMode="External"/><Relationship Id="rId511" Type="http://schemas.openxmlformats.org/officeDocument/2006/relationships/hyperlink" Target="https://www.themeateater.com/watch/6185157028001/how-to-quarter-and-pack-game-out-of-the-backcountry-conservation-field-notes-with-steven-rinella" TargetMode="External"/><Relationship Id="rId995" Type="http://schemas.openxmlformats.org/officeDocument/2006/relationships/hyperlink" Target="https://realtree.com/all/articles/are-mule-deer-getting-the-boot-from-whitetails" TargetMode="External"/><Relationship Id="rId518" Type="http://schemas.openxmlformats.org/officeDocument/2006/relationships/hyperlink" Target="https://www.wideopenspaces.com/deer-sounds-making-sense-of-the-sounds-of-the-deer-woods/" TargetMode="External"/><Relationship Id="rId517" Type="http://schemas.openxmlformats.org/officeDocument/2006/relationships/hyperlink" Target="https://realtree.com/deer-hunting/articles/don-t-get-killed-in-the-deer-woods" TargetMode="External"/><Relationship Id="rId516" Type="http://schemas.openxmlformats.org/officeDocument/2006/relationships/hyperlink" Target="https://www.themeateater.com/wired-to-hunt/whitetail-hunting/3-ways-to-get-your-deer-out-of-the-woods" TargetMode="External"/><Relationship Id="rId515" Type="http://schemas.openxmlformats.org/officeDocument/2006/relationships/hyperlink" Target="https://realtree.com/deer-hunting/articles/how-to-score-a-buck-on-the-boone-and-crocket-scale" TargetMode="External"/><Relationship Id="rId999" Type="http://schemas.openxmlformats.org/officeDocument/2006/relationships/hyperlink" Target="https://www.themeateater.com/cook/butchering-and-processing/how-much-fat-should-you-add-to-ground-venison" TargetMode="External"/><Relationship Id="rId990" Type="http://schemas.openxmlformats.org/officeDocument/2006/relationships/hyperlink" Target="https://www.wideopenspaces.com/deer-shed-antlers-pics/" TargetMode="External"/><Relationship Id="rId1580" Type="http://schemas.openxmlformats.org/officeDocument/2006/relationships/hyperlink" Target="https://www.wideopenspaces.com/deer-feeding-times/" TargetMode="External"/><Relationship Id="rId1581" Type="http://schemas.openxmlformats.org/officeDocument/2006/relationships/hyperlink" Target="https://www.wideopenspaces.com/deer-hooves-what-theyre-made-from-and-indicators-of-health/" TargetMode="External"/><Relationship Id="rId1582" Type="http://schemas.openxmlformats.org/officeDocument/2006/relationships/hyperlink" Target="https://realtree.com/deer-hunting/articles/the-best-times-to-deer-hunt-in-2022" TargetMode="External"/><Relationship Id="rId510" Type="http://schemas.openxmlformats.org/officeDocument/2006/relationships/hyperlink" Target="https://www.wideopenspaces.com/top-5-venison-marinades/" TargetMode="External"/><Relationship Id="rId994" Type="http://schemas.openxmlformats.org/officeDocument/2006/relationships/hyperlink" Target="https://www.themeateater.com/hunt/big-game/ask-meateater-where-should-i-go-on-my-first-mule-deer-hunt" TargetMode="External"/><Relationship Id="rId1583" Type="http://schemas.openxmlformats.org/officeDocument/2006/relationships/hyperlink" Target="https://www.wideopenspaces.com/what-are-the-best-deer-hunting-times-throughout-the-day/" TargetMode="External"/><Relationship Id="rId993" Type="http://schemas.openxmlformats.org/officeDocument/2006/relationships/hyperlink" Target="https://www.wideopenspaces.com/deer-survive-winter/" TargetMode="External"/><Relationship Id="rId1100" Type="http://schemas.openxmlformats.org/officeDocument/2006/relationships/hyperlink" Target="https://www.themeateater.com/cook/cooking-techniques/5-organs-you-should-save-from-deer" TargetMode="External"/><Relationship Id="rId1584" Type="http://schemas.openxmlformats.org/officeDocument/2006/relationships/hyperlink" Target="https://www.wideopenspaces.com/trouble-naming-your-hit-list-buck-65-buck-nicknames/" TargetMode="External"/><Relationship Id="rId992" Type="http://schemas.openxmlformats.org/officeDocument/2006/relationships/hyperlink" Target="https://realtree.com/brow-tines-and-backstrap/7-hot-tactics-for-cold-weather-deer-hunting" TargetMode="External"/><Relationship Id="rId1101" Type="http://schemas.openxmlformats.org/officeDocument/2006/relationships/hyperlink" Target="https://www.themeateater.com/wired-to-hunt/whitetail-management/the-most-underrated-type-of-food-plot" TargetMode="External"/><Relationship Id="rId1585" Type="http://schemas.openxmlformats.org/officeDocument/2006/relationships/hyperlink" Target="https://realtree.com/brow-tines-and-backstrap/everything-you-ever-wanted-to-know-about-deer-poop" TargetMode="External"/><Relationship Id="rId991" Type="http://schemas.openxmlformats.org/officeDocument/2006/relationships/hyperlink" Target="https://www.themeateater.com/wired-to-hunt/whitetail-hunting/does-temperature-affect-deer-movement" TargetMode="External"/><Relationship Id="rId1102" Type="http://schemas.openxmlformats.org/officeDocument/2006/relationships/hyperlink" Target="https://www.themeateater.com/wired-to-hunt/whitetail-scouting/how-to-pick-the-perfect-tree-stand-location-in-summer" TargetMode="External"/><Relationship Id="rId1586" Type="http://schemas.openxmlformats.org/officeDocument/2006/relationships/hyperlink" Target="https://www.wideopenspaces.com/deer-poop-identification/" TargetMode="External"/><Relationship Id="rId1532" Type="http://schemas.openxmlformats.org/officeDocument/2006/relationships/hyperlink" Target="https://www.wideopenspaces.com/deer-shed-antlers-pics/" TargetMode="External"/><Relationship Id="rId1533" Type="http://schemas.openxmlformats.org/officeDocument/2006/relationships/hyperlink" Target="https://www.wideopenspaces.com/10-awesome-photos-of-deer-shedding-their-velvet-pics/" TargetMode="External"/><Relationship Id="rId1534" Type="http://schemas.openxmlformats.org/officeDocument/2006/relationships/hyperlink" Target="https://realtree.com/deer-hunting/articles/talk-to-the-tail-understanding-whitetail-body-language" TargetMode="External"/><Relationship Id="rId1535" Type="http://schemas.openxmlformats.org/officeDocument/2006/relationships/hyperlink" Target="https://realtree.com/deer-hunting/all-about-deer-warts" TargetMode="External"/><Relationship Id="rId1536" Type="http://schemas.openxmlformats.org/officeDocument/2006/relationships/hyperlink" Target="https://www.wideopenspaces.com/deer-warts/" TargetMode="External"/><Relationship Id="rId1537" Type="http://schemas.openxmlformats.org/officeDocument/2006/relationships/hyperlink" Target="https://realtree.com/timber-2-table-articles/the-10-best-snacks-for-the-deer-stand" TargetMode="External"/><Relationship Id="rId1538" Type="http://schemas.openxmlformats.org/officeDocument/2006/relationships/hyperlink" Target="https://realtree.com/brow-tines-and-backstrap/how-to-make-a-homemade-deer-feeder" TargetMode="External"/><Relationship Id="rId1539" Type="http://schemas.openxmlformats.org/officeDocument/2006/relationships/hyperlink" Target="https://www.wideopenspaces.com/make-poor-mans-deer-feeder/" TargetMode="External"/><Relationship Id="rId949" Type="http://schemas.openxmlformats.org/officeDocument/2006/relationships/hyperlink" Target="https://realtree.com/deer-hunting/articles/the-toughest-deer" TargetMode="External"/><Relationship Id="rId948" Type="http://schemas.openxmlformats.org/officeDocument/2006/relationships/hyperlink" Target="https://www.themeateater.com/watch/6174832058001/steven-rinella-tracks-coues-deer-in-arizona" TargetMode="External"/><Relationship Id="rId943" Type="http://schemas.openxmlformats.org/officeDocument/2006/relationships/hyperlink" Target="https://www.themeateater.com/hunt/whitetail-deer/deer-fart-almost-ruins-hunt-for-potential-oklahoma-record-buck" TargetMode="External"/><Relationship Id="rId942" Type="http://schemas.openxmlformats.org/officeDocument/2006/relationships/hyperlink" Target="https://realtree.com/brow-tines-and-backstrap/is-it-safe-to-leave-treestands-out-all-year" TargetMode="External"/><Relationship Id="rId941" Type="http://schemas.openxmlformats.org/officeDocument/2006/relationships/hyperlink" Target="https://www.themeateater.com/wired-to-hunt/whitetail-scouting/ask-meateater-how-high-do-you-hang-tree-stands" TargetMode="External"/><Relationship Id="rId940" Type="http://schemas.openxmlformats.org/officeDocument/2006/relationships/hyperlink" Target="https://realtree.com/brow-tines-and-backstrap/is-a-trail-camera-ban-coming-to-a-state-near-you" TargetMode="External"/><Relationship Id="rId947" Type="http://schemas.openxmlformats.org/officeDocument/2006/relationships/hyperlink" Target="https://www.wideopenspaces.com/the-great-deer-anatomy-explainer-and-what-you-need-to-know-as-a-hunter/" TargetMode="External"/><Relationship Id="rId946" Type="http://schemas.openxmlformats.org/officeDocument/2006/relationships/hyperlink" Target="https://realtree.com/deer-hunting/articles/the-best-shot-placement-on-deer" TargetMode="External"/><Relationship Id="rId945" Type="http://schemas.openxmlformats.org/officeDocument/2006/relationships/hyperlink" Target="https://www.themeateater.com/listen/wired-to-hunt/ep-546-the-story-of-deer-survival-whitetail-anatom" TargetMode="External"/><Relationship Id="rId944" Type="http://schemas.openxmlformats.org/officeDocument/2006/relationships/hyperlink" Target="https://www.wideopenspaces.com/the-great-big-oklahoma-deer-hunting-guide/" TargetMode="External"/><Relationship Id="rId1530" Type="http://schemas.openxmlformats.org/officeDocument/2006/relationships/hyperlink" Target="https://realtree.com/food-plots-and-land-management/articles/mess-hall-mixtures-5-food-plot-combos-for-full-season" TargetMode="External"/><Relationship Id="rId1531" Type="http://schemas.openxmlformats.org/officeDocument/2006/relationships/hyperlink" Target="https://realtree.com/brow-tines-and-backstrap/why-bucks-shed-antlers-and-how-to-hunt-them" TargetMode="External"/><Relationship Id="rId1521" Type="http://schemas.openxmlformats.org/officeDocument/2006/relationships/hyperlink" Target="https://realtree.com/timber-2-table-articles/5-things-your-deer-processor-hates" TargetMode="External"/><Relationship Id="rId1522" Type="http://schemas.openxmlformats.org/officeDocument/2006/relationships/hyperlink" Target="https://realtree.com/brow-tines-and-backstrap/will-ehd-be-a-factor-this-deer-season" TargetMode="External"/><Relationship Id="rId1523" Type="http://schemas.openxmlformats.org/officeDocument/2006/relationships/hyperlink" Target="https://www.wideopenspaces.com/whitetail-deer-gestation-period/" TargetMode="External"/><Relationship Id="rId1524" Type="http://schemas.openxmlformats.org/officeDocument/2006/relationships/hyperlink" Target="https://realtree.com/brow-tines-and-backstrap/15-places-big-bucks-bed-that-deer-hunters-should-hunt" TargetMode="External"/><Relationship Id="rId1525" Type="http://schemas.openxmlformats.org/officeDocument/2006/relationships/hyperlink" Target="https://www.wideopenspaces.com/find-7-deer-hiding-images/" TargetMode="External"/><Relationship Id="rId1526" Type="http://schemas.openxmlformats.org/officeDocument/2006/relationships/hyperlink" Target="https://realtree.com/brow-tines-and-backstrap/whitetail-taxidermy-poses-for-your-next-deer-mount" TargetMode="External"/><Relationship Id="rId1527" Type="http://schemas.openxmlformats.org/officeDocument/2006/relationships/hyperlink" Target="https://www.wideopenspaces.com/deer-taxidermy-options/" TargetMode="External"/><Relationship Id="rId1528" Type="http://schemas.openxmlformats.org/officeDocument/2006/relationships/hyperlink" Target="https://realtree.com/timber-2-table-wild-game-recipes/deer-heart-and-mushroom-steak-sandwiches" TargetMode="External"/><Relationship Id="rId1529" Type="http://schemas.openxmlformats.org/officeDocument/2006/relationships/hyperlink" Target="https://realtree.com/brow-tines-and-backstrap/2022-southeast-deer-hunting-forecast" TargetMode="External"/><Relationship Id="rId939" Type="http://schemas.openxmlformats.org/officeDocument/2006/relationships/hyperlink" Target="https://www.themeateater.com/gear/general/best-trail-cameras" TargetMode="External"/><Relationship Id="rId938" Type="http://schemas.openxmlformats.org/officeDocument/2006/relationships/hyperlink" Target="https://realtree.com/food-plots-and-land-management/galleries/how-to-plant-a-micro-kill-plot-for-deer" TargetMode="External"/><Relationship Id="rId937" Type="http://schemas.openxmlformats.org/officeDocument/2006/relationships/hyperlink" Target="https://www.themeateater.com/wired-to-hunt/whitetail-management/how-to-plant-a-food-plot-on-a-budget" TargetMode="External"/><Relationship Id="rId932" Type="http://schemas.openxmlformats.org/officeDocument/2006/relationships/hyperlink" Target="https://www.wideopenspaces.com/deer-as-pets/" TargetMode="External"/><Relationship Id="rId931" Type="http://schemas.openxmlformats.org/officeDocument/2006/relationships/hyperlink" Target="https://www.themeateater.com/conservation/wildlife-management/video-game-warden-shoots-familys-pet-deer" TargetMode="External"/><Relationship Id="rId930" Type="http://schemas.openxmlformats.org/officeDocument/2006/relationships/hyperlink" Target="https://www.wideopenspaces.com/deer-poop-identification/" TargetMode="External"/><Relationship Id="rId936" Type="http://schemas.openxmlformats.org/officeDocument/2006/relationships/hyperlink" Target="https://realtree.com/brow-tines-and-backstrap/10-feeding-habits-of-mature-deer" TargetMode="External"/><Relationship Id="rId935" Type="http://schemas.openxmlformats.org/officeDocument/2006/relationships/hyperlink" Target="https://www.themeateater.com/wired-to-hunt/whitetail-management/10-natural-food-sources-every-deer-hunter-should-know" TargetMode="External"/><Relationship Id="rId934" Type="http://schemas.openxmlformats.org/officeDocument/2006/relationships/hyperlink" Target="https://realtree.com/deer-hunting/articles/don-t-get-killed-in-the-deer-woods" TargetMode="External"/><Relationship Id="rId933" Type="http://schemas.openxmlformats.org/officeDocument/2006/relationships/hyperlink" Target="https://www.themeateater.com/wired-to-hunt/whitetail-hunting/3-ways-to-get-your-deer-out-of-the-woods" TargetMode="External"/><Relationship Id="rId1520" Type="http://schemas.openxmlformats.org/officeDocument/2006/relationships/hyperlink" Target="https://www.wideopenspaces.com/5-deer-attractants-drive-whitetail-bucks-crazy-pics/" TargetMode="External"/><Relationship Id="rId1554" Type="http://schemas.openxmlformats.org/officeDocument/2006/relationships/hyperlink" Target="https://www.wideopenspaces.com/mn-deer-hunting-zones/" TargetMode="External"/><Relationship Id="rId1555" Type="http://schemas.openxmlformats.org/officeDocument/2006/relationships/hyperlink" Target="https://realtree.com/brow-tines-and-backstrap/2022-midwest-deer-hunting-forecast" TargetMode="External"/><Relationship Id="rId1556" Type="http://schemas.openxmlformats.org/officeDocument/2006/relationships/hyperlink" Target="https://realtree.com/brow-tines-and-backstrap/2022-southeast-deer-hunting-forecast" TargetMode="External"/><Relationship Id="rId1557" Type="http://schemas.openxmlformats.org/officeDocument/2006/relationships/hyperlink" Target="https://realtree.com/brow-tines-and-backstrap/2022-southeast-deer-hunting-forecast" TargetMode="External"/><Relationship Id="rId1558" Type="http://schemas.openxmlformats.org/officeDocument/2006/relationships/hyperlink" Target="https://www.wideopenspaces.com/north-carolina-adds-alligator-hunting-changes-deer-and-bear-zones/" TargetMode="External"/><Relationship Id="rId1559" Type="http://schemas.openxmlformats.org/officeDocument/2006/relationships/hyperlink" Target="https://www.wideopenspaces.com/the-great-big-oklahoma-deer-hunting-guide/" TargetMode="External"/><Relationship Id="rId965" Type="http://schemas.openxmlformats.org/officeDocument/2006/relationships/hyperlink" Target="https://realtree.com/brow-tines-and-backstrap/everything-you-ever-wanted-to-know-about-deer-poop" TargetMode="External"/><Relationship Id="rId964" Type="http://schemas.openxmlformats.org/officeDocument/2006/relationships/hyperlink" Target="https://www.themeateater.com/wired-to-hunt/whitetail-scouting/fact-checker-can-you-identify-a-mature-buck-by-droppings" TargetMode="External"/><Relationship Id="rId963" Type="http://schemas.openxmlformats.org/officeDocument/2006/relationships/hyperlink" Target="https://www.themeateater.com/hunt/big-game/ask-meateater-will-you-shoot-at-running-game" TargetMode="External"/><Relationship Id="rId962" Type="http://schemas.openxmlformats.org/officeDocument/2006/relationships/hyperlink" Target="https://www.wideopenspaces.com/are-deer-nocturnal/" TargetMode="External"/><Relationship Id="rId969" Type="http://schemas.openxmlformats.org/officeDocument/2006/relationships/hyperlink" Target="https://www.themeateater.com/wired-to-hunt/whitetail-hunting/the-reality-of-outfitted-deer-hunts" TargetMode="External"/><Relationship Id="rId968" Type="http://schemas.openxmlformats.org/officeDocument/2006/relationships/hyperlink" Target="https://www.themeateater.com/hunt/big-game/ask-meateater-where-should-i-go-on-my-first-mule-deer-hunt" TargetMode="External"/><Relationship Id="rId967" Type="http://schemas.openxmlformats.org/officeDocument/2006/relationships/hyperlink" Target="https://www.themeateater.com/wired-to-hunt/whitetail-scouting/how-to-set-up-a-ground-blind-that-wont-spook-deer" TargetMode="External"/><Relationship Id="rId966" Type="http://schemas.openxmlformats.org/officeDocument/2006/relationships/hyperlink" Target="https://www.wideopenspaces.com/deer-poop-identification/" TargetMode="External"/><Relationship Id="rId961" Type="http://schemas.openxmlformats.org/officeDocument/2006/relationships/hyperlink" Target="https://realtree.com/deer-hunting/articles/the-myth-of-the-nocturnal-buck" TargetMode="External"/><Relationship Id="rId1550" Type="http://schemas.openxmlformats.org/officeDocument/2006/relationships/hyperlink" Target="https://realtree.com/brow-tines-and-backstrap/how-long-do-white-tailed-deer-live" TargetMode="External"/><Relationship Id="rId960" Type="http://schemas.openxmlformats.org/officeDocument/2006/relationships/hyperlink" Target="https://www.themeateater.com/wired-to-hunt/whitetail-hunting/how-to-kill-a-nocturnal-buck" TargetMode="External"/><Relationship Id="rId1551" Type="http://schemas.openxmlformats.org/officeDocument/2006/relationships/hyperlink" Target="https://www.wideopenspaces.com/lifespan-whitetail-deer/" TargetMode="External"/><Relationship Id="rId1552" Type="http://schemas.openxmlformats.org/officeDocument/2006/relationships/hyperlink" Target="https://realtree.com/brow-tines-and-backstrap/how-long-do-white-tailed-deer-live" TargetMode="External"/><Relationship Id="rId1553" Type="http://schemas.openxmlformats.org/officeDocument/2006/relationships/hyperlink" Target="https://www.wideopenspaces.com/lifespan-whitetail-deer/" TargetMode="External"/><Relationship Id="rId1543" Type="http://schemas.openxmlformats.org/officeDocument/2006/relationships/hyperlink" Target="https://www.wideopenspaces.com/when-does-deer-season-end-in-georgia/" TargetMode="External"/><Relationship Id="rId1544" Type="http://schemas.openxmlformats.org/officeDocument/2006/relationships/hyperlink" Target="https://www.wideopenspaces.com/whitetail-deer-gestation-period/" TargetMode="External"/><Relationship Id="rId1545" Type="http://schemas.openxmlformats.org/officeDocument/2006/relationships/hyperlink" Target="https://www.wideopenspaces.com/whitetail-deer-gestation-period/" TargetMode="External"/><Relationship Id="rId1546" Type="http://schemas.openxmlformats.org/officeDocument/2006/relationships/hyperlink" Target="https://realtree.com/midwest-whitetail/articles/string-jumpers-how-to-aim-at-alert-deer" TargetMode="External"/><Relationship Id="rId1547" Type="http://schemas.openxmlformats.org/officeDocument/2006/relationships/hyperlink" Target="https://www.wideopenspaces.com/deer-tries-to-jump-high-fence-video/" TargetMode="External"/><Relationship Id="rId1548" Type="http://schemas.openxmlformats.org/officeDocument/2006/relationships/hyperlink" Target="https://realtree.com/brow-tines-and-backstrap/when-to-draw-your-bow-on-deer" TargetMode="External"/><Relationship Id="rId1549" Type="http://schemas.openxmlformats.org/officeDocument/2006/relationships/hyperlink" Target="https://realtree.com/brow-tines-and-backstrap/2022-midwest-deer-hunting-forecast" TargetMode="External"/><Relationship Id="rId959" Type="http://schemas.openxmlformats.org/officeDocument/2006/relationships/hyperlink" Target="https://www.wideopenspaces.com/where-to-shoot-a-deer-for-the-best-odds-of-a-quick-kill/" TargetMode="External"/><Relationship Id="rId954" Type="http://schemas.openxmlformats.org/officeDocument/2006/relationships/hyperlink" Target="https://realtree.com/timber-2-table-wild-game-recipes/bourbon-buttermilk-fried-deer-tenderloin" TargetMode="External"/><Relationship Id="rId953" Type="http://schemas.openxmlformats.org/officeDocument/2006/relationships/hyperlink" Target="https://www.themeateater.com/recipes/cuts/loin" TargetMode="External"/><Relationship Id="rId952" Type="http://schemas.openxmlformats.org/officeDocument/2006/relationships/hyperlink" Target="https://www.wideopenspaces.com/deer-taxidermy-options/" TargetMode="External"/><Relationship Id="rId951" Type="http://schemas.openxmlformats.org/officeDocument/2006/relationships/hyperlink" Target="https://realtree.com/brow-tines-and-backstrap/how-long-should-deer-taxidermy-take" TargetMode="External"/><Relationship Id="rId958" Type="http://schemas.openxmlformats.org/officeDocument/2006/relationships/hyperlink" Target="https://realtree.com/deer-hunting/articles/the-best-shot-placement-on-deer" TargetMode="External"/><Relationship Id="rId957" Type="http://schemas.openxmlformats.org/officeDocument/2006/relationships/hyperlink" Target="https://www.themeateater.com/wired-to-hunt/whitetail-hunting/the-truth-about-frontal-shots-on-deer" TargetMode="External"/><Relationship Id="rId956" Type="http://schemas.openxmlformats.org/officeDocument/2006/relationships/hyperlink" Target="https://www.themeateater.com/watch/6252076018001/s2-e03-big-beautiful-bucks-colorado-mule-deer" TargetMode="External"/><Relationship Id="rId955" Type="http://schemas.openxmlformats.org/officeDocument/2006/relationships/hyperlink" Target="https://www.wideopenspaces.com/top-6-venison-tenderloin-recipes/" TargetMode="External"/><Relationship Id="rId950" Type="http://schemas.openxmlformats.org/officeDocument/2006/relationships/hyperlink" Target="https://www.themeateater.com/hunt/big-game/what-to-do-when-you-plan-on-getting-a-deer-mounted" TargetMode="External"/><Relationship Id="rId1540" Type="http://schemas.openxmlformats.org/officeDocument/2006/relationships/hyperlink" Target="https://realtree.com/deer-hunting-what-is-drone-deer-recovery" TargetMode="External"/><Relationship Id="rId1541" Type="http://schemas.openxmlformats.org/officeDocument/2006/relationships/hyperlink" Target="https://www.wideopenspaces.com/drone-big-buck-recovery/" TargetMode="External"/><Relationship Id="rId1542" Type="http://schemas.openxmlformats.org/officeDocument/2006/relationships/hyperlink" Target="https://realtree.com/brow-tines-and-backstrap/2022-southeast-deer-hunting-forecast" TargetMode="External"/><Relationship Id="rId2027" Type="http://schemas.openxmlformats.org/officeDocument/2006/relationships/hyperlink" Target="https://realtree.com/brow-tines-and-backstrap/how-to-make-a-homemade-deer-feeder" TargetMode="External"/><Relationship Id="rId2028" Type="http://schemas.openxmlformats.org/officeDocument/2006/relationships/hyperlink" Target="https://www.wideopenspaces.com/if-you-make-a-diy-deer-feeder-dont-do-this/" TargetMode="External"/><Relationship Id="rId2029" Type="http://schemas.openxmlformats.org/officeDocument/2006/relationships/hyperlink" Target="https://realtree.com/brow-tines-and-backstrap/how-long-do-white-tailed-deer-live" TargetMode="External"/><Relationship Id="rId590" Type="http://schemas.openxmlformats.org/officeDocument/2006/relationships/hyperlink" Target="https://realtree.com/timber-2-table-wild-game-recipes/venison-recipes" TargetMode="External"/><Relationship Id="rId107" Type="http://schemas.openxmlformats.org/officeDocument/2006/relationships/hyperlink" Target="https://realtree.com/deer-hunting/articles/15-tips-for-one-shot-kills" TargetMode="External"/><Relationship Id="rId106" Type="http://schemas.openxmlformats.org/officeDocument/2006/relationships/hyperlink" Target="https://www.themeateater.com/wired-to-hunt/whitetail-hunting/where-to-shoot-a-deer" TargetMode="External"/><Relationship Id="rId105" Type="http://schemas.openxmlformats.org/officeDocument/2006/relationships/hyperlink" Target="https://www.wideopenspaces.com/venison-jerky-recipes/" TargetMode="External"/><Relationship Id="rId589" Type="http://schemas.openxmlformats.org/officeDocument/2006/relationships/hyperlink" Target="https://www.themeateater.com/recipes/ingredients/venison" TargetMode="External"/><Relationship Id="rId104" Type="http://schemas.openxmlformats.org/officeDocument/2006/relationships/hyperlink" Target="https://realtree.com/timber-2-table-wild-game-recipes/magic-chef-realtree-venison-jerky-recipe" TargetMode="External"/><Relationship Id="rId588" Type="http://schemas.openxmlformats.org/officeDocument/2006/relationships/hyperlink" Target="https://realtree.com/timber-2-table-wild-game-recipes/easy-deer-camp-red-beans-and-rice-with-venison-and-sausage" TargetMode="External"/><Relationship Id="rId109" Type="http://schemas.openxmlformats.org/officeDocument/2006/relationships/hyperlink" Target="https://www.themeateater.com/wired-to-hunt/whitetail-hunting/3-grunt-call-vocalizations-every-whitetail-hunter-should-know" TargetMode="External"/><Relationship Id="rId1170" Type="http://schemas.openxmlformats.org/officeDocument/2006/relationships/hyperlink" Target="https://www.wideopenspaces.com/do-deer-eat-meat/" TargetMode="External"/><Relationship Id="rId108" Type="http://schemas.openxmlformats.org/officeDocument/2006/relationships/hyperlink" Target="https://www.wideopenspaces.com/where-to-shoot-a-deer-for-the-best-odds-of-a-quick-kill/" TargetMode="External"/><Relationship Id="rId1171" Type="http://schemas.openxmlformats.org/officeDocument/2006/relationships/hyperlink" Target="https://www.themeateater.com/conservation/habitat/bar-room-banter-top-10-states-for-deer-vehicle-collisions" TargetMode="External"/><Relationship Id="rId583" Type="http://schemas.openxmlformats.org/officeDocument/2006/relationships/hyperlink" Target="https://www.themeateater.com/conservation/wildlife-management/why-do-female-deer-sometimes-grow-antlers" TargetMode="External"/><Relationship Id="rId1172" Type="http://schemas.openxmlformats.org/officeDocument/2006/relationships/hyperlink" Target="https://www.themeateater.com/hunt/whitetail-deer/how-to-crap-in-the-woods-like-a-pro" TargetMode="External"/><Relationship Id="rId582" Type="http://schemas.openxmlformats.org/officeDocument/2006/relationships/hyperlink" Target="https://www.wideopenspaces.com/whitetail-wednesday-how-much-do-people-pay-for-shoulder-mounts-in-your-area/" TargetMode="External"/><Relationship Id="rId1173" Type="http://schemas.openxmlformats.org/officeDocument/2006/relationships/hyperlink" Target="https://realtree.com/brow-tines-and-backstrap/everything-you-ever-wanted-to-know-about-deer-poop" TargetMode="External"/><Relationship Id="rId2020" Type="http://schemas.openxmlformats.org/officeDocument/2006/relationships/hyperlink" Target="https://realtree.com/brow-tines-and-backstrap/when-to-draw-your-bow-on-deer" TargetMode="External"/><Relationship Id="rId581" Type="http://schemas.openxmlformats.org/officeDocument/2006/relationships/hyperlink" Target="https://realtree.com/brow-tines-and-backstrap/7-different-deer-taxidermy-options-and-their-costs" TargetMode="External"/><Relationship Id="rId1174" Type="http://schemas.openxmlformats.org/officeDocument/2006/relationships/hyperlink" Target="https://www.wideopenspaces.com/deer-poop-identification/" TargetMode="External"/><Relationship Id="rId2021" Type="http://schemas.openxmlformats.org/officeDocument/2006/relationships/hyperlink" Target="https://www.wideopenspaces.com/ohio-water-wildlife-die-after-ohio-train-derailment/" TargetMode="External"/><Relationship Id="rId580" Type="http://schemas.openxmlformats.org/officeDocument/2006/relationships/hyperlink" Target="https://www.themeateater.com/hunt/big-game/what-to-do-when-you-plan-on-getting-a-deer-mounted" TargetMode="External"/><Relationship Id="rId1175" Type="http://schemas.openxmlformats.org/officeDocument/2006/relationships/hyperlink" Target="https://www.themeateater.com/wired-to-hunt/whitetail-management/3-best-food-plot-shapes" TargetMode="External"/><Relationship Id="rId2022" Type="http://schemas.openxmlformats.org/officeDocument/2006/relationships/hyperlink" Target="https://realtree.com/the-realblog-with-stephanie-mallory/taxidermist-discovers-third-eye-when-preparing-deer-for-european" TargetMode="External"/><Relationship Id="rId103" Type="http://schemas.openxmlformats.org/officeDocument/2006/relationships/hyperlink" Target="https://www.themeateater.com/watch/6278033203001/how-to-make-venison-jerky-with-kevin-gillespie" TargetMode="External"/><Relationship Id="rId587" Type="http://schemas.openxmlformats.org/officeDocument/2006/relationships/hyperlink" Target="https://www.themeateater.com/cook/recipes/the-only-venison-breakfast-sausage-recipe-you-need" TargetMode="External"/><Relationship Id="rId1176" Type="http://schemas.openxmlformats.org/officeDocument/2006/relationships/hyperlink" Target="https://realtree.com/deer-hunting/articles/5-food-plots-for-procrastinators" TargetMode="External"/><Relationship Id="rId2023" Type="http://schemas.openxmlformats.org/officeDocument/2006/relationships/hyperlink" Target="https://realtree.com/the-realblog-with-stephanie-mallory/taxidermist-discovers-third-eye-when-preparing-deer-for-european" TargetMode="External"/><Relationship Id="rId102" Type="http://schemas.openxmlformats.org/officeDocument/2006/relationships/hyperlink" Target="https://realtree.com/brow-tines-and-backstrap/podcast-how-the-grunt-call-came-to-be" TargetMode="External"/><Relationship Id="rId586" Type="http://schemas.openxmlformats.org/officeDocument/2006/relationships/hyperlink" Target="https://www.wideopenspaces.com/new-deer-hunting-calibers/" TargetMode="External"/><Relationship Id="rId1177" Type="http://schemas.openxmlformats.org/officeDocument/2006/relationships/hyperlink" Target="https://www.wideopenspaces.com/9-food-plot-tips-will-bring-deer-droves/" TargetMode="External"/><Relationship Id="rId2024" Type="http://schemas.openxmlformats.org/officeDocument/2006/relationships/hyperlink" Target="https://www.wideopenspaces.com/buck-hidden-third-eye/" TargetMode="External"/><Relationship Id="rId101" Type="http://schemas.openxmlformats.org/officeDocument/2006/relationships/hyperlink" Target="https://www.themeateater.com/wired-to-hunt/whitetail-hunting/3-grunt-call-vocalizations-every-whitetail-hunter-should-know" TargetMode="External"/><Relationship Id="rId585" Type="http://schemas.openxmlformats.org/officeDocument/2006/relationships/hyperlink" Target="https://realtree.com/brow-tines-and-backstrap/why-you-should-use-an-ar-15-as-a-deer-rifle" TargetMode="External"/><Relationship Id="rId1178" Type="http://schemas.openxmlformats.org/officeDocument/2006/relationships/hyperlink" Target="https://www.themeateater.com/wired-to-hunt/whitetail-scouting/ask-meateater-how-high-do-you-hang-tree-stands" TargetMode="External"/><Relationship Id="rId2025" Type="http://schemas.openxmlformats.org/officeDocument/2006/relationships/hyperlink" Target="https://realtree.com/deer-hunting/articles/where-to-deer-hunt-in-february" TargetMode="External"/><Relationship Id="rId100" Type="http://schemas.openxmlformats.org/officeDocument/2006/relationships/hyperlink" Target="https://www.wideopenspaces.com/where-do-deer-sleep/" TargetMode="External"/><Relationship Id="rId584" Type="http://schemas.openxmlformats.org/officeDocument/2006/relationships/hyperlink" Target="https://www.themeateater.com/wired-to-hunt/whitetail-hunting-gear/5-best-whitetail-cartridges" TargetMode="External"/><Relationship Id="rId1179" Type="http://schemas.openxmlformats.org/officeDocument/2006/relationships/hyperlink" Target="https://www.wideopenspaces.com/let-these-old-tree-climbing-stands-take-you-back-in-time/" TargetMode="External"/><Relationship Id="rId2026" Type="http://schemas.openxmlformats.org/officeDocument/2006/relationships/hyperlink" Target="https://realtree.com/deer-hunting/articles/ultimate-access-deer-hunting-on-military-bases" TargetMode="External"/><Relationship Id="rId1169" Type="http://schemas.openxmlformats.org/officeDocument/2006/relationships/hyperlink" Target="https://www.themeateater.com/conservation/wildlife-management/coyotes-kill-deer-not-deer-herds" TargetMode="External"/><Relationship Id="rId2016" Type="http://schemas.openxmlformats.org/officeDocument/2006/relationships/hyperlink" Target="https://realtree.com/brow-tines-and-backstrap/8-things-you-can-use-to-bait-deer" TargetMode="External"/><Relationship Id="rId2017" Type="http://schemas.openxmlformats.org/officeDocument/2006/relationships/hyperlink" Target="https://www.wideopenspaces.com/peanut-butter-dispenser-draw-deer-to-you-when-nothing-else-will/" TargetMode="External"/><Relationship Id="rId2018" Type="http://schemas.openxmlformats.org/officeDocument/2006/relationships/hyperlink" Target="https://realtree.com/brow-tines-and-backstrap/everything-you-ever-wanted-to-know-about-deer-poop" TargetMode="External"/><Relationship Id="rId2019" Type="http://schemas.openxmlformats.org/officeDocument/2006/relationships/hyperlink" Target="https://realtree.com/brow-tines-and-backstrap/when-to-draw-your-bow-on-deer" TargetMode="External"/><Relationship Id="rId579" Type="http://schemas.openxmlformats.org/officeDocument/2006/relationships/hyperlink" Target="https://www.wideopenspaces.com/do-deer-decoys-work-these-are-a-few-situations-where-they-do-and-some-where-they-dont/" TargetMode="External"/><Relationship Id="rId578" Type="http://schemas.openxmlformats.org/officeDocument/2006/relationships/hyperlink" Target="https://realtree.com/deer-hunting/articles/10-pro-tips-for-deer-hunting-with-decoys" TargetMode="External"/><Relationship Id="rId577" Type="http://schemas.openxmlformats.org/officeDocument/2006/relationships/hyperlink" Target="https://www.themeateater.com/wired-to-hunt/whitetail-hunting/how-to-use-a-doe-decoy-during-the-rut" TargetMode="External"/><Relationship Id="rId1160" Type="http://schemas.openxmlformats.org/officeDocument/2006/relationships/hyperlink" Target="https://www.themeateater.com/wired-to-hunt/whitetail-management/10-natural-food-sources-every-deer-hunter-should-know" TargetMode="External"/><Relationship Id="rId572" Type="http://schemas.openxmlformats.org/officeDocument/2006/relationships/hyperlink" Target="https://www.themeateater.com/wired-to-hunt/whitetail-management/the-big-fat-cementum-aging-tooth-test-how-accurate-is-it-really" TargetMode="External"/><Relationship Id="rId1161" Type="http://schemas.openxmlformats.org/officeDocument/2006/relationships/hyperlink" Target="https://realtree.com/brow-tines-and-backstrap/10-feeding-habits-of-mature-deer" TargetMode="External"/><Relationship Id="rId571" Type="http://schemas.openxmlformats.org/officeDocument/2006/relationships/hyperlink" Target="https://www.wideopenspaces.com/deer-decoys-top-options/" TargetMode="External"/><Relationship Id="rId1162" Type="http://schemas.openxmlformats.org/officeDocument/2006/relationships/hyperlink" Target="https://www.wideopenspaces.com/what-do-deer-eat/" TargetMode="External"/><Relationship Id="rId570" Type="http://schemas.openxmlformats.org/officeDocument/2006/relationships/hyperlink" Target="https://realtree.com/deer-hunting/articles/how-to-decoy-a-buck" TargetMode="External"/><Relationship Id="rId1163" Type="http://schemas.openxmlformats.org/officeDocument/2006/relationships/hyperlink" Target="https://www.themeateater.com/wired-to-hunt/whitetail-scouting/how-to-set-up-a-ground-blind-that-wont-spook-deer" TargetMode="External"/><Relationship Id="rId2010" Type="http://schemas.openxmlformats.org/officeDocument/2006/relationships/hyperlink" Target="https://www.wideopenspaces.com/deer-hunting-in-illinois-does-a-boone-crockett-buck-await/" TargetMode="External"/><Relationship Id="rId1164" Type="http://schemas.openxmlformats.org/officeDocument/2006/relationships/hyperlink" Target="https://www.themeateater.com/wired-to-hunt/whitetail-hunting/the-debate-about-lunar-effects-on-whitetails" TargetMode="External"/><Relationship Id="rId2011" Type="http://schemas.openxmlformats.org/officeDocument/2006/relationships/hyperlink" Target="https://realtree.com/deer-hunting/articles/women-and-how-they-re-affecting-the-deer-hunting-tradition" TargetMode="External"/><Relationship Id="rId576" Type="http://schemas.openxmlformats.org/officeDocument/2006/relationships/hyperlink" Target="https://realtree.com/timber-2-table-wild-game-recipes/how-to-skin-a-deer-in-6-steps" TargetMode="External"/><Relationship Id="rId1165" Type="http://schemas.openxmlformats.org/officeDocument/2006/relationships/hyperlink" Target="https://realtree.com/deer-hunting/articles/the-best-times-to-deer-hunt-in-2022" TargetMode="External"/><Relationship Id="rId2012" Type="http://schemas.openxmlformats.org/officeDocument/2006/relationships/hyperlink" Target="https://www.wideopenspaces.com/missouri-deer-hunting-all-to-know-about-this-buck-buck-paradise/" TargetMode="External"/><Relationship Id="rId575" Type="http://schemas.openxmlformats.org/officeDocument/2006/relationships/hyperlink" Target="https://www.themeateater.com/wired-to-hunt/whitetail-hunting/where-to-shoot-a-deer" TargetMode="External"/><Relationship Id="rId1166" Type="http://schemas.openxmlformats.org/officeDocument/2006/relationships/hyperlink" Target="https://www.wideopenspaces.com/what-are-the-best-deer-hunting-times-throughout-the-day/" TargetMode="External"/><Relationship Id="rId2013" Type="http://schemas.openxmlformats.org/officeDocument/2006/relationships/hyperlink" Target="https://realtree.com/" TargetMode="External"/><Relationship Id="rId574" Type="http://schemas.openxmlformats.org/officeDocument/2006/relationships/hyperlink" Target="https://www.wideopenspaces.com/tell-age-deer-pics/" TargetMode="External"/><Relationship Id="rId1167" Type="http://schemas.openxmlformats.org/officeDocument/2006/relationships/hyperlink" Target="https://www.themeateater.com/hunt/whitetail-deer/is-this-50-point-whitetail-the-new-world-record" TargetMode="External"/><Relationship Id="rId2014" Type="http://schemas.openxmlformats.org/officeDocument/2006/relationships/hyperlink" Target="https://www.wideopenspaces.com/the-difference-between-a-bull-elk-and-a-red-stag/" TargetMode="External"/><Relationship Id="rId573" Type="http://schemas.openxmlformats.org/officeDocument/2006/relationships/hyperlink" Target="https://realtree.com/deer-hunting/articles/really-how-old-is-that-buck" TargetMode="External"/><Relationship Id="rId1168" Type="http://schemas.openxmlformats.org/officeDocument/2006/relationships/hyperlink" Target="https://www.wideopenspaces.com/ethics-check-is-high-fence-hunting-actually-a-brilliant-business-idea/" TargetMode="External"/><Relationship Id="rId2015" Type="http://schemas.openxmlformats.org/officeDocument/2006/relationships/hyperlink" Target="https://www.wideopenspaces.com/mn-deer-hunting-zones/" TargetMode="External"/><Relationship Id="rId2049" Type="http://schemas.openxmlformats.org/officeDocument/2006/relationships/hyperlink" Target="https://www.wideopenspaces.com/mn-deer-hunting-zones/" TargetMode="External"/><Relationship Id="rId129" Type="http://schemas.openxmlformats.org/officeDocument/2006/relationships/hyperlink" Target="https://www.themeateater.com/hunt/firearm-hunting/the-best-rifle-calibers-for-youth-hunters" TargetMode="External"/><Relationship Id="rId128" Type="http://schemas.openxmlformats.org/officeDocument/2006/relationships/hyperlink" Target="https://www.wideopenspaces.com/value-of-a-monster-buck/" TargetMode="External"/><Relationship Id="rId127" Type="http://schemas.openxmlformats.org/officeDocument/2006/relationships/hyperlink" Target="https://realtree.com/all/articles/watch-out-milo-here-he-comes" TargetMode="External"/><Relationship Id="rId126" Type="http://schemas.openxmlformats.org/officeDocument/2006/relationships/hyperlink" Target="https://www.themeateater.com/hunt/whitetail-deer/this-might-be-the-new-world-record-whitetail" TargetMode="External"/><Relationship Id="rId1190" Type="http://schemas.openxmlformats.org/officeDocument/2006/relationships/hyperlink" Target="https://www.wideopenspaces.com/deer-shed-antlers-pics/" TargetMode="External"/><Relationship Id="rId1191" Type="http://schemas.openxmlformats.org/officeDocument/2006/relationships/hyperlink" Target="https://www.themeateater.com/hunt/big-game/big-game-tags-understanding-license-draws" TargetMode="External"/><Relationship Id="rId1192" Type="http://schemas.openxmlformats.org/officeDocument/2006/relationships/hyperlink" Target="https://www.themeateater.com/wired-to-hunt/whitetail-management/10-natural-food-sources-every-deer-hunter-should-know" TargetMode="External"/><Relationship Id="rId1193" Type="http://schemas.openxmlformats.org/officeDocument/2006/relationships/hyperlink" Target="https://www.wideopenspaces.com/what-do-deer-eat/" TargetMode="External"/><Relationship Id="rId2040" Type="http://schemas.openxmlformats.org/officeDocument/2006/relationships/hyperlink" Target="https://realtree.com/brow-tines-and-backstrap/4-tips-for-bowhunting-from-ladder-stands" TargetMode="External"/><Relationship Id="rId121" Type="http://schemas.openxmlformats.org/officeDocument/2006/relationships/hyperlink" Target="https://www.wideopenspaces.com/salvage-gut-shot-deer/" TargetMode="External"/><Relationship Id="rId1194" Type="http://schemas.openxmlformats.org/officeDocument/2006/relationships/hyperlink" Target="https://www.themeateater.com/hunt/whitetail-deer/is-this-50-point-whitetail-the-new-world-record" TargetMode="External"/><Relationship Id="rId2041" Type="http://schemas.openxmlformats.org/officeDocument/2006/relationships/hyperlink" Target="https://www.wideopenspaces.com/6-of-the-best-ladder-treestands-you-can-buy/" TargetMode="External"/><Relationship Id="rId120" Type="http://schemas.openxmlformats.org/officeDocument/2006/relationships/hyperlink" Target="https://realtree.com/brow-tines-and-backstrap/it-s-hot-you-shot-a-deer-now-what" TargetMode="External"/><Relationship Id="rId1195" Type="http://schemas.openxmlformats.org/officeDocument/2006/relationships/hyperlink" Target="https://www.wideopenspaces.com/can-find-hidden-animals-round-2-deer-pics/" TargetMode="External"/><Relationship Id="rId2042" Type="http://schemas.openxmlformats.org/officeDocument/2006/relationships/hyperlink" Target="https://www.wideopenspaces.com/best-deer-feeders/" TargetMode="External"/><Relationship Id="rId1196" Type="http://schemas.openxmlformats.org/officeDocument/2006/relationships/hyperlink" Target="https://www.themeateater.com/cook/recipes/maple-syrup-venison-jerky-recipe" TargetMode="External"/><Relationship Id="rId2043" Type="http://schemas.openxmlformats.org/officeDocument/2006/relationships/hyperlink" Target="https://www.wideopenspaces.com/michigan-deer-reporting/" TargetMode="External"/><Relationship Id="rId1197" Type="http://schemas.openxmlformats.org/officeDocument/2006/relationships/hyperlink" Target="https://realtree.com/timber-2-table-wild-game-recipes/magic-chef-realtree-venison-jerky-recipe" TargetMode="External"/><Relationship Id="rId2044" Type="http://schemas.openxmlformats.org/officeDocument/2006/relationships/hyperlink" Target="https://www.wideopenspaces.com/minnesota-deer-hunting/" TargetMode="External"/><Relationship Id="rId125" Type="http://schemas.openxmlformats.org/officeDocument/2006/relationships/hyperlink" Target="https://www.wideopenspaces.com/7-steps-tanning-deer-hide-easier-think/" TargetMode="External"/><Relationship Id="rId1198" Type="http://schemas.openxmlformats.org/officeDocument/2006/relationships/hyperlink" Target="https://www.wideopenspaces.com/venison-jerky-recipes/" TargetMode="External"/><Relationship Id="rId2045" Type="http://schemas.openxmlformats.org/officeDocument/2006/relationships/hyperlink" Target="https://www.wideopenspaces.com/mn-deer-hunting-zones/" TargetMode="External"/><Relationship Id="rId124" Type="http://schemas.openxmlformats.org/officeDocument/2006/relationships/hyperlink" Target="https://www.themeateater.com/cook/butchering-and-processing/how-to-tan-a-deer-hide" TargetMode="External"/><Relationship Id="rId1199" Type="http://schemas.openxmlformats.org/officeDocument/2006/relationships/hyperlink" Target="https://www.themeateater.com/hunt/big-game/what-to-do-when-you-plan-on-getting-a-deer-mounted" TargetMode="External"/><Relationship Id="rId2046" Type="http://schemas.openxmlformats.org/officeDocument/2006/relationships/hyperlink" Target="https://www.wideopenspaces.com/when-does-deer-season-end-in-missouri/" TargetMode="External"/><Relationship Id="rId123" Type="http://schemas.openxmlformats.org/officeDocument/2006/relationships/hyperlink" Target="https://realtree.com/timber-2-table-articles/meat-hunter-s-rules-for-shooting-the-right-deer" TargetMode="External"/><Relationship Id="rId2047" Type="http://schemas.openxmlformats.org/officeDocument/2006/relationships/hyperlink" Target="https://www.wideopenspaces.com/missouri-deer-hunting-all-to-know-about-this-buck-buck-paradise/" TargetMode="External"/><Relationship Id="rId122" Type="http://schemas.openxmlformats.org/officeDocument/2006/relationships/hyperlink" Target="https://www.themeateater.com/wired-to-hunt/whitetail-hunting/where-to-shoot-a-deer" TargetMode="External"/><Relationship Id="rId2048" Type="http://schemas.openxmlformats.org/officeDocument/2006/relationships/hyperlink" Target="https://www.wideopenspaces.com/mn-deer-hunting-zones/" TargetMode="External"/><Relationship Id="rId2038" Type="http://schemas.openxmlformats.org/officeDocument/2006/relationships/hyperlink" Target="https://realtree.com/brow-tines-and-backstrap/iowa-law-expands-rifle-options-for-late-season-antlerless-hunts" TargetMode="External"/><Relationship Id="rId2039" Type="http://schemas.openxmlformats.org/officeDocument/2006/relationships/hyperlink" Target="https://realtree.com/brow-tines-and-backstrap/kentucky-proposes-massive-changes-to-deer-hunting-seasons-and-regulations" TargetMode="External"/><Relationship Id="rId118" Type="http://schemas.openxmlformats.org/officeDocument/2006/relationships/hyperlink" Target="https://www.themeateater.com/wired-to-hunt/whitetail-hunting/deer-vision-how-whitetails-see-color-light-and-movement" TargetMode="External"/><Relationship Id="rId117" Type="http://schemas.openxmlformats.org/officeDocument/2006/relationships/hyperlink" Target="https://www.themeateater.com/cook/recipes/venison-ribs" TargetMode="External"/><Relationship Id="rId116" Type="http://schemas.openxmlformats.org/officeDocument/2006/relationships/hyperlink" Target="https://www.wideopenspaces.com/treestand-vs-groundblind-when-and-where-you-should-use-either-one/" TargetMode="External"/><Relationship Id="rId115" Type="http://schemas.openxmlformats.org/officeDocument/2006/relationships/hyperlink" Target="https://realtree.com/bowhunting/articles/8-tips-for-bowhunting-deer-from-a-ground-blind" TargetMode="External"/><Relationship Id="rId599" Type="http://schemas.openxmlformats.org/officeDocument/2006/relationships/hyperlink" Target="https://realtree.com/deer-hunting/articles/8-major-differences-between-whitetails-and-mule-deer" TargetMode="External"/><Relationship Id="rId1180" Type="http://schemas.openxmlformats.org/officeDocument/2006/relationships/hyperlink" Target="https://www.themeateater.com/hunt/big-game/how-to-hang-and-skin-a-deer-in-the-field" TargetMode="External"/><Relationship Id="rId1181" Type="http://schemas.openxmlformats.org/officeDocument/2006/relationships/hyperlink" Target="https://realtree.com/brow-tines-and-backstrap/why-buck-tarsal-is-the-deadliest-scent-in-the-deer-woods" TargetMode="External"/><Relationship Id="rId119" Type="http://schemas.openxmlformats.org/officeDocument/2006/relationships/hyperlink" Target="https://www.themeateater.com/wired-to-hunt/whitetail-hunting/how-to-deal-with-a-gut-shot-deer" TargetMode="External"/><Relationship Id="rId1182" Type="http://schemas.openxmlformats.org/officeDocument/2006/relationships/hyperlink" Target="https://www.themeateater.com/wired-to-hunt/whitetail-management/whitetails-and-mulies-a-comparison" TargetMode="External"/><Relationship Id="rId110" Type="http://schemas.openxmlformats.org/officeDocument/2006/relationships/hyperlink" Target="https://realtree.com/brow-tines-and-backstrap/podcast-how-the-grunt-call-came-to-be" TargetMode="External"/><Relationship Id="rId594" Type="http://schemas.openxmlformats.org/officeDocument/2006/relationships/hyperlink" Target="https://www.themeateater.com/wired-to-hunt/whitetail-scouting/what-you-need-to-know-about-deer-tracks" TargetMode="External"/><Relationship Id="rId1183" Type="http://schemas.openxmlformats.org/officeDocument/2006/relationships/hyperlink" Target="https://realtree.com/deer-hunting/articles/habits-of-mature-whitetail-deer" TargetMode="External"/><Relationship Id="rId2030" Type="http://schemas.openxmlformats.org/officeDocument/2006/relationships/hyperlink" Target="https://www.wideopenspaces.com/lifespan-whitetail-deer/" TargetMode="External"/><Relationship Id="rId593" Type="http://schemas.openxmlformats.org/officeDocument/2006/relationships/hyperlink" Target="https://www.wideopenspaces.com/what-are-the-best-deer-hunting-times-throughout-the-day/" TargetMode="External"/><Relationship Id="rId1184" Type="http://schemas.openxmlformats.org/officeDocument/2006/relationships/hyperlink" Target="https://www.themeateater.com/wired-to-hunt/whitetail-hunting/how-mark-drury-predicts-buck-movement-based-on-wind" TargetMode="External"/><Relationship Id="rId2031" Type="http://schemas.openxmlformats.org/officeDocument/2006/relationships/hyperlink" Target="https://realtree.com/brow-tines-and-backstrap/why-windy-days-are-great-for-deer-hunting" TargetMode="External"/><Relationship Id="rId592" Type="http://schemas.openxmlformats.org/officeDocument/2006/relationships/hyperlink" Target="https://realtree.com/deer-hunting/articles/10-best-times-to-deer-hunt" TargetMode="External"/><Relationship Id="rId1185" Type="http://schemas.openxmlformats.org/officeDocument/2006/relationships/hyperlink" Target="https://realtree.com/brow-tines-and-backstrap/10-best-deer-hunting-apps-for-2019" TargetMode="External"/><Relationship Id="rId2032" Type="http://schemas.openxmlformats.org/officeDocument/2006/relationships/hyperlink" Target="https://realtree.com/deer-hunting/articles/how-to-score-a-buck-on-the-boone-and-crocket-scale" TargetMode="External"/><Relationship Id="rId591" Type="http://schemas.openxmlformats.org/officeDocument/2006/relationships/hyperlink" Target="https://www.themeateater.com/wired-to-hunt/whitetail-hunting/how-weather-impacts-late-season-deer-movement" TargetMode="External"/><Relationship Id="rId1186" Type="http://schemas.openxmlformats.org/officeDocument/2006/relationships/hyperlink" Target="https://www.themeateater.com/hunt/big-game/season-8-episode-3-gear-ghosts-of-the-chesapeake" TargetMode="External"/><Relationship Id="rId2033" Type="http://schemas.openxmlformats.org/officeDocument/2006/relationships/hyperlink" Target="https://www.wideopenspaces.com/typical-vs-non-typical-deer/" TargetMode="External"/><Relationship Id="rId114" Type="http://schemas.openxmlformats.org/officeDocument/2006/relationships/hyperlink" Target="https://www.themeateater.com/wired-to-hunt/whitetail-scouting/how-to-set-up-a-ground-blind-that-wont-spook-deer" TargetMode="External"/><Relationship Id="rId598" Type="http://schemas.openxmlformats.org/officeDocument/2006/relationships/hyperlink" Target="https://www.themeateater.com/hunt/elk/4-ways-elk-hunting-is-not-deer-hunting" TargetMode="External"/><Relationship Id="rId1187" Type="http://schemas.openxmlformats.org/officeDocument/2006/relationships/hyperlink" Target="https://www.wideopenspaces.com/maryland-sika-deer-hunting/" TargetMode="External"/><Relationship Id="rId2034" Type="http://schemas.openxmlformats.org/officeDocument/2006/relationships/hyperlink" Target="https://realtree.com/brow-tines-and-backstrap/when-to-draw-your-bow-on-deer" TargetMode="External"/><Relationship Id="rId113" Type="http://schemas.openxmlformats.org/officeDocument/2006/relationships/hyperlink" Target="https://www.wideopenspaces.com/top-10-places-hunt-whitetail-u-s-pics/" TargetMode="External"/><Relationship Id="rId597" Type="http://schemas.openxmlformats.org/officeDocument/2006/relationships/hyperlink" Target="https://www.themeateater.com/hunt/whitetail-deer/video-whitetail-buck-fights-angus-bull" TargetMode="External"/><Relationship Id="rId1188" Type="http://schemas.openxmlformats.org/officeDocument/2006/relationships/hyperlink" Target="https://www.themeateater.com/wired-to-hunt/whitetail-scouting/the-buck-that-never-shed-its-antlers" TargetMode="External"/><Relationship Id="rId2035" Type="http://schemas.openxmlformats.org/officeDocument/2006/relationships/hyperlink" Target="https://www.wideopenspaces.com/deer-hunting-in-illinois-does-a-boone-crockett-buck-await/" TargetMode="External"/><Relationship Id="rId112" Type="http://schemas.openxmlformats.org/officeDocument/2006/relationships/hyperlink" Target="https://realtree.com/brow-tines-and-backstrap/18-great-gun-hunting-states-for-deer-hunters" TargetMode="External"/><Relationship Id="rId596" Type="http://schemas.openxmlformats.org/officeDocument/2006/relationships/hyperlink" Target="https://realtree.com/realtree-edge" TargetMode="External"/><Relationship Id="rId1189" Type="http://schemas.openxmlformats.org/officeDocument/2006/relationships/hyperlink" Target="https://realtree.com/brow-tines-and-backstrap/why-are-some-bucks-shedding-antlers-early" TargetMode="External"/><Relationship Id="rId2036" Type="http://schemas.openxmlformats.org/officeDocument/2006/relationships/hyperlink" Target="https://www.wideopenspaces.com/indiana-hunting-license/" TargetMode="External"/><Relationship Id="rId111" Type="http://schemas.openxmlformats.org/officeDocument/2006/relationships/hyperlink" Target="https://www.themeateater.com/hunt/general/which-states-produce-the-best-deer-hunters" TargetMode="External"/><Relationship Id="rId595" Type="http://schemas.openxmlformats.org/officeDocument/2006/relationships/hyperlink" Target="https://www.themeateater.com/gear/gear-hunt/the-best-material-for-hunting-clothes" TargetMode="External"/><Relationship Id="rId2037" Type="http://schemas.openxmlformats.org/officeDocument/2006/relationships/hyperlink" Target="https://realtree.com/deer-hunting/articles/the-great-debate-firearms-hunting-seasons-during-the-rut" TargetMode="External"/><Relationship Id="rId1136" Type="http://schemas.openxmlformats.org/officeDocument/2006/relationships/hyperlink" Target="https://realtree.com/brow-tines-and-backstrap/why-bucks-shed-antlers-and-how-to-hunt-them" TargetMode="External"/><Relationship Id="rId1137" Type="http://schemas.openxmlformats.org/officeDocument/2006/relationships/hyperlink" Target="https://www.wideopenspaces.com/deer-shed-antlers-pics/" TargetMode="External"/><Relationship Id="rId1138" Type="http://schemas.openxmlformats.org/officeDocument/2006/relationships/hyperlink" Target="https://www.themeateater.com/wired-to-hunt/whitetail-scouting/fact-checker-can-you-identify-a-mature-buck-by-droppings" TargetMode="External"/><Relationship Id="rId1139" Type="http://schemas.openxmlformats.org/officeDocument/2006/relationships/hyperlink" Target="https://realtree.com/brow-tines-and-backstrap/everything-you-ever-wanted-to-know-about-deer-poop" TargetMode="External"/><Relationship Id="rId547" Type="http://schemas.openxmlformats.org/officeDocument/2006/relationships/hyperlink" Target="https://www.themeateater.com/wired-to-hunt/whitetail-scouting/do-rub-lines-matter-during-the-whitetail-rut" TargetMode="External"/><Relationship Id="rId546" Type="http://schemas.openxmlformats.org/officeDocument/2006/relationships/hyperlink" Target="https://www.wideopenspaces.com/deer-tracks-identification/" TargetMode="External"/><Relationship Id="rId545" Type="http://schemas.openxmlformats.org/officeDocument/2006/relationships/hyperlink" Target="https://www.themeateater.com/wired-to-hunt/whitetail-scouting/what-you-need-to-know-about-deer-tracks" TargetMode="External"/><Relationship Id="rId544" Type="http://schemas.openxmlformats.org/officeDocument/2006/relationships/hyperlink" Target="https://www.themeateater.com/wild-and-whole/wild-recipes/butter-basted-venison-steaks-recipe" TargetMode="External"/><Relationship Id="rId549" Type="http://schemas.openxmlformats.org/officeDocument/2006/relationships/hyperlink" Target="https://www.wideopenspaces.com/buck-rubs/" TargetMode="External"/><Relationship Id="rId548" Type="http://schemas.openxmlformats.org/officeDocument/2006/relationships/hyperlink" Target="https://realtree.com/brow-tines-and-backstrap/4-types-of-buck-rubs-you-need-to-know" TargetMode="External"/><Relationship Id="rId1130" Type="http://schemas.openxmlformats.org/officeDocument/2006/relationships/hyperlink" Target="https://realtree.com/deer-hunting/articles/deer-hunting-the-late-season" TargetMode="External"/><Relationship Id="rId1131" Type="http://schemas.openxmlformats.org/officeDocument/2006/relationships/hyperlink" Target="https://www.wideopenspaces.com/10-deer-hunting-videos-get-primed-season-opener/" TargetMode="External"/><Relationship Id="rId543" Type="http://schemas.openxmlformats.org/officeDocument/2006/relationships/hyperlink" Target="https://realtree.com/brow-tines-and-backstrap/choose-the-best-knife-for-deer-hunting" TargetMode="External"/><Relationship Id="rId1132" Type="http://schemas.openxmlformats.org/officeDocument/2006/relationships/hyperlink" Target="https://www.themeateater.com/cook/recipes/venison-smashburger-recipe" TargetMode="External"/><Relationship Id="rId542" Type="http://schemas.openxmlformats.org/officeDocument/2006/relationships/hyperlink" Target="https://www.themeateater.com/gear/general/best-hunting-knives" TargetMode="External"/><Relationship Id="rId1133" Type="http://schemas.openxmlformats.org/officeDocument/2006/relationships/hyperlink" Target="https://realtree.com/timber-2-table-wild-game-recipes/stuffed-venison-burgers" TargetMode="External"/><Relationship Id="rId541" Type="http://schemas.openxmlformats.org/officeDocument/2006/relationships/hyperlink" Target="https://www.wideopenspaces.com/5-awesome-deer-rifles-500/" TargetMode="External"/><Relationship Id="rId1134" Type="http://schemas.openxmlformats.org/officeDocument/2006/relationships/hyperlink" Target="https://www.wideopenspaces.com/top-6-venison-burger-recipes/" TargetMode="External"/><Relationship Id="rId540" Type="http://schemas.openxmlformats.org/officeDocument/2006/relationships/hyperlink" Target="https://realtree.com/brow-tines-and-backstrap/why-you-should-use-an-ar-15-as-a-deer-rifle" TargetMode="External"/><Relationship Id="rId1135" Type="http://schemas.openxmlformats.org/officeDocument/2006/relationships/hyperlink" Target="https://www.themeateater.com/wired-to-hunt/whitetail-management/why-midwest-whitetails-shedding-early" TargetMode="External"/><Relationship Id="rId1125" Type="http://schemas.openxmlformats.org/officeDocument/2006/relationships/hyperlink" Target="https://realtree.com/brow-tines-and-backstrap/how-long-should-deer-taxidermy-take" TargetMode="External"/><Relationship Id="rId1126" Type="http://schemas.openxmlformats.org/officeDocument/2006/relationships/hyperlink" Target="https://www.wideopenspaces.com/whitetailwednesday-25-unique-ideas-for-your-next-whitetail-mount/" TargetMode="External"/><Relationship Id="rId1127" Type="http://schemas.openxmlformats.org/officeDocument/2006/relationships/hyperlink" Target="https://www.themeateater.com/hunt/general/ask-meateater-how-do-you-make-a-skull-mount" TargetMode="External"/><Relationship Id="rId1128" Type="http://schemas.openxmlformats.org/officeDocument/2006/relationships/hyperlink" Target="https://www.wideopenspaces.com/how-to-clean-a-deer-skull/" TargetMode="External"/><Relationship Id="rId1129" Type="http://schemas.openxmlformats.org/officeDocument/2006/relationships/hyperlink" Target="https://www.themeateater.com/watch/6303966877001/ozark-whitetail-bowhunting" TargetMode="External"/><Relationship Id="rId536" Type="http://schemas.openxmlformats.org/officeDocument/2006/relationships/hyperlink" Target="https://www.themeateater.com/wired-to-hunt/whitetail-hunting/the-best-days-for-all-day-rut-hunts" TargetMode="External"/><Relationship Id="rId535" Type="http://schemas.openxmlformats.org/officeDocument/2006/relationships/hyperlink" Target="https://realtree.com/midwest-whitetail/articles/how-to-age-deer-after-tagging-them" TargetMode="External"/><Relationship Id="rId534" Type="http://schemas.openxmlformats.org/officeDocument/2006/relationships/hyperlink" Target="https://www.themeateater.com/wired-to-hunt/whitetail-management/how-to-age-a-whitetail-buck-on-the-hoof" TargetMode="External"/><Relationship Id="rId533" Type="http://schemas.openxmlformats.org/officeDocument/2006/relationships/hyperlink" Target="https://www.themeateater.com/wired-to-hunt/whitetail-hunting-gear/how-to-buy-your-first-deer-hunting-bow" TargetMode="External"/><Relationship Id="rId539" Type="http://schemas.openxmlformats.org/officeDocument/2006/relationships/hyperlink" Target="https://www.themeateater.com/hunt/firearm-hunting/5-best-rifles-for-new-hunters" TargetMode="External"/><Relationship Id="rId538" Type="http://schemas.openxmlformats.org/officeDocument/2006/relationships/hyperlink" Target="https://www.wideopenspaces.com/what-are-the-best-deer-hunting-times-throughout-the-day/" TargetMode="External"/><Relationship Id="rId537" Type="http://schemas.openxmlformats.org/officeDocument/2006/relationships/hyperlink" Target="https://realtree.com/deer-hunting/articles/the-best-times-to-deer-hunt-in-2022" TargetMode="External"/><Relationship Id="rId1120" Type="http://schemas.openxmlformats.org/officeDocument/2006/relationships/hyperlink" Target="https://realtree.com/brow-tines-and-backstrap/10-amazing-facts-about-velvet-antlers" TargetMode="External"/><Relationship Id="rId532" Type="http://schemas.openxmlformats.org/officeDocument/2006/relationships/hyperlink" Target="https://www.wideopenspaces.com/best-buck-calls/" TargetMode="External"/><Relationship Id="rId1121" Type="http://schemas.openxmlformats.org/officeDocument/2006/relationships/hyperlink" Target="https://www.themeateater.com/hunt/firearm-hunting/the-best-rifle-calibers-for-youth-hunters" TargetMode="External"/><Relationship Id="rId531" Type="http://schemas.openxmlformats.org/officeDocument/2006/relationships/hyperlink" Target="https://realtree.com/deer-hunting/articles/smack-talk-aggressive-deer-calling-strategies" TargetMode="External"/><Relationship Id="rId1122" Type="http://schemas.openxmlformats.org/officeDocument/2006/relationships/hyperlink" Target="https://realtree.com/big-game-hunting/articles/picking-the-best-rifle-and-caliber-for-pig-hunting" TargetMode="External"/><Relationship Id="rId530" Type="http://schemas.openxmlformats.org/officeDocument/2006/relationships/hyperlink" Target="https://www.themeateater.com/wired-to-hunt/whitetail-hunting/how-to-call-in-bucks-during-each-phase-of-the-season" TargetMode="External"/><Relationship Id="rId1123" Type="http://schemas.openxmlformats.org/officeDocument/2006/relationships/hyperlink" Target="https://www.wideopenspaces.com/5-awesome-deer-rifles-500/" TargetMode="External"/><Relationship Id="rId1124" Type="http://schemas.openxmlformats.org/officeDocument/2006/relationships/hyperlink" Target="https://www.themeateater.com/hunt/big-game/what-to-do-when-you-plan-on-getting-a-deer-mounted" TargetMode="External"/><Relationship Id="rId1158" Type="http://schemas.openxmlformats.org/officeDocument/2006/relationships/hyperlink" Target="https://www.themeateater.com/hunt/whitetail-deer/is-this-50-point-whitetail-the-new-world-record" TargetMode="External"/><Relationship Id="rId2005" Type="http://schemas.openxmlformats.org/officeDocument/2006/relationships/hyperlink" Target="https://www.wideopenspaces.com/michigan-muzzleloader-season/" TargetMode="External"/><Relationship Id="rId1159" Type="http://schemas.openxmlformats.org/officeDocument/2006/relationships/hyperlink" Target="https://realtree.com/deer-hunting/articles/serious-sleeper-states-with-big-whitetails" TargetMode="External"/><Relationship Id="rId2006" Type="http://schemas.openxmlformats.org/officeDocument/2006/relationships/hyperlink" Target="https://www.wideopenspaces.com/mn-deer-hunting-zones/" TargetMode="External"/><Relationship Id="rId2007" Type="http://schemas.openxmlformats.org/officeDocument/2006/relationships/hyperlink" Target="https://realtree.com/brow-tines-and-backstrap/2022-southeast-deer-hunting-forecast" TargetMode="External"/><Relationship Id="rId2008" Type="http://schemas.openxmlformats.org/officeDocument/2006/relationships/hyperlink" Target="https://www.wideopenspaces.com/tennessee-approves-3-day-archery-only-deer-season-for-august/" TargetMode="External"/><Relationship Id="rId2009" Type="http://schemas.openxmlformats.org/officeDocument/2006/relationships/hyperlink" Target="https://www.wideopenspaces.com/deer-sounds-making-sense-of-the-sounds-of-the-deer-woods/" TargetMode="External"/><Relationship Id="rId569" Type="http://schemas.openxmlformats.org/officeDocument/2006/relationships/hyperlink" Target="https://www.themeateater.com/wired-to-hunt/whitetail-hunting/how-to-use-a-doe-decoy-during-the-rut" TargetMode="External"/><Relationship Id="rId568" Type="http://schemas.openxmlformats.org/officeDocument/2006/relationships/hyperlink" Target="https://www.themeateater.com/wired-to-hunt/whitetail-management/the-predator-that-deer-fear-most" TargetMode="External"/><Relationship Id="rId567" Type="http://schemas.openxmlformats.org/officeDocument/2006/relationships/hyperlink" Target="https://www.wideopenspaces.com/check-illustrated-deer-meat-guide/" TargetMode="External"/><Relationship Id="rId566" Type="http://schemas.openxmlformats.org/officeDocument/2006/relationships/hyperlink" Target="https://realtree.com/timber-2-table-articles/5-reasons-to-butcher-your-own-deer-this-season" TargetMode="External"/><Relationship Id="rId561" Type="http://schemas.openxmlformats.org/officeDocument/2006/relationships/hyperlink" Target="https://www.themeateater.com/wired-to-hunt/whitetail-hunting-gear/5-best-whitetail-cartridges" TargetMode="External"/><Relationship Id="rId1150" Type="http://schemas.openxmlformats.org/officeDocument/2006/relationships/hyperlink" Target="https://www.wideopenspaces.com/tines-flying-two-mature-whitetails-fight-and-a-third-buck-surprises-both/" TargetMode="External"/><Relationship Id="rId560" Type="http://schemas.openxmlformats.org/officeDocument/2006/relationships/hyperlink" Target="https://www.wideopenspaces.com/an-easy-and-tasty-way-to-make-venison-sausage/" TargetMode="External"/><Relationship Id="rId1151" Type="http://schemas.openxmlformats.org/officeDocument/2006/relationships/hyperlink" Target="https://www.themeateater.com/wired-to-hunt/whitetail-hunting/how-well-do-deer-hear" TargetMode="External"/><Relationship Id="rId1152" Type="http://schemas.openxmlformats.org/officeDocument/2006/relationships/hyperlink" Target="https://www.wideopenspaces.com/deer-sounds-making-sense-of-the-sounds-of-the-deer-woods/" TargetMode="External"/><Relationship Id="rId1153" Type="http://schemas.openxmlformats.org/officeDocument/2006/relationships/hyperlink" Target="https://www.themeateater.com/cook/recipes/copycat-white-castle-venison-burgers" TargetMode="External"/><Relationship Id="rId2000" Type="http://schemas.openxmlformats.org/officeDocument/2006/relationships/hyperlink" Target="https://www.wideopenspaces.com/mn-deer-hunting-zones/" TargetMode="External"/><Relationship Id="rId565" Type="http://schemas.openxmlformats.org/officeDocument/2006/relationships/hyperlink" Target="https://www.themeateater.com/watch/6171359676001/how-to-cut-venison-steaks-with-ryan-callaghan" TargetMode="External"/><Relationship Id="rId1154" Type="http://schemas.openxmlformats.org/officeDocument/2006/relationships/hyperlink" Target="https://www.wideopenspaces.com/axis-venison-burgers/" TargetMode="External"/><Relationship Id="rId2001" Type="http://schemas.openxmlformats.org/officeDocument/2006/relationships/hyperlink" Target="https://www.wideopenspaces.com/the-2018-19-north-carolina-deer-season-harvest-numbers-arent-great-but-they-arent-horrible-either/" TargetMode="External"/><Relationship Id="rId564" Type="http://schemas.openxmlformats.org/officeDocument/2006/relationships/hyperlink" Target="https://www.themeateater.com/conservation/wildlife-management/why-do-female-deer-sometimes-grow-antlers" TargetMode="External"/><Relationship Id="rId1155" Type="http://schemas.openxmlformats.org/officeDocument/2006/relationships/hyperlink" Target="https://www.themeateater.com/wired-to-hunt/whitetail-management/how-to-plant-a-food-plot-on-a-budget" TargetMode="External"/><Relationship Id="rId2002" Type="http://schemas.openxmlformats.org/officeDocument/2006/relationships/hyperlink" Target="https://www.wideopenspaces.com/the-2018-19-north-carolina-deer-season-harvest-numbers-arent-great-but-they-arent-horrible-either/" TargetMode="External"/><Relationship Id="rId563" Type="http://schemas.openxmlformats.org/officeDocument/2006/relationships/hyperlink" Target="https://www.wideopenspaces.com/new-deer-hunting-calibers/" TargetMode="External"/><Relationship Id="rId1156" Type="http://schemas.openxmlformats.org/officeDocument/2006/relationships/hyperlink" Target="https://realtree.com/food-plots-and-land-management/galleries/how-to-plant-a-micro-kill-plot-for-deer" TargetMode="External"/><Relationship Id="rId2003" Type="http://schemas.openxmlformats.org/officeDocument/2006/relationships/hyperlink" Target="https://realtree.com/deer-hunting/articles/deer-hunting-the-late-season" TargetMode="External"/><Relationship Id="rId562" Type="http://schemas.openxmlformats.org/officeDocument/2006/relationships/hyperlink" Target="https://realtree.com/deer-hunting/articles/the-new-hunter-s-guide-to-buying-your-first-deer-rifle" TargetMode="External"/><Relationship Id="rId1157" Type="http://schemas.openxmlformats.org/officeDocument/2006/relationships/hyperlink" Target="https://www.themeateater.com/hunt/whitetail-deer/americas-worst-deer-hunting-law-could-change-next-week" TargetMode="External"/><Relationship Id="rId2004" Type="http://schemas.openxmlformats.org/officeDocument/2006/relationships/hyperlink" Target="https://www.wideopenspaces.com/tennessee-approves-3-day-archery-only-deer-season-for-august/" TargetMode="External"/><Relationship Id="rId1147" Type="http://schemas.openxmlformats.org/officeDocument/2006/relationships/hyperlink" Target="https://www.wideopenspaces.com/indiana-hunting-license/" TargetMode="External"/><Relationship Id="rId1148" Type="http://schemas.openxmlformats.org/officeDocument/2006/relationships/hyperlink" Target="https://www.themeateater.com/hunt/black-tailed-deer/a-guide-to-hunting-blacktail-deer" TargetMode="External"/><Relationship Id="rId1149" Type="http://schemas.openxmlformats.org/officeDocument/2006/relationships/hyperlink" Target="https://www.themeateater.com/watch/6211742820001/rutting-buck-fights-bull-angus" TargetMode="External"/><Relationship Id="rId558" Type="http://schemas.openxmlformats.org/officeDocument/2006/relationships/hyperlink" Target="https://www.themeateater.com/cook/recipes/the-only-venison-breakfast-sausage-recipe-you-need" TargetMode="External"/><Relationship Id="rId557" Type="http://schemas.openxmlformats.org/officeDocument/2006/relationships/hyperlink" Target="https://www.wideopenspaces.com/tell-age-deer-pics/" TargetMode="External"/><Relationship Id="rId556" Type="http://schemas.openxmlformats.org/officeDocument/2006/relationships/hyperlink" Target="https://realtree.com/brow-tines-and-backstrap/how-long-do-white-tailed-deer-live" TargetMode="External"/><Relationship Id="rId555" Type="http://schemas.openxmlformats.org/officeDocument/2006/relationships/hyperlink" Target="https://www.themeateater.com/wired-to-hunt/whitetail-management/how-to-age-a-whitetail-buck-on-the-hoof" TargetMode="External"/><Relationship Id="rId559" Type="http://schemas.openxmlformats.org/officeDocument/2006/relationships/hyperlink" Target="https://realtree.com/timber-2-table-wild-game-recipes/venison-and-pork-sweet-italian-sausage-links-recipe" TargetMode="External"/><Relationship Id="rId550" Type="http://schemas.openxmlformats.org/officeDocument/2006/relationships/hyperlink" Target="https://www.themeateater.com/hunt/general/ask-meateater-how-do-you-make-a-skull-mount" TargetMode="External"/><Relationship Id="rId1140" Type="http://schemas.openxmlformats.org/officeDocument/2006/relationships/hyperlink" Target="https://www.wideopenspaces.com/deer-poop-identification/" TargetMode="External"/><Relationship Id="rId1141" Type="http://schemas.openxmlformats.org/officeDocument/2006/relationships/hyperlink" Target="https://www.themeateater.com/recipes/cuts/backstrap" TargetMode="External"/><Relationship Id="rId1142" Type="http://schemas.openxmlformats.org/officeDocument/2006/relationships/hyperlink" Target="https://realtree.com/timber-2-table-wild-game-recipes/reverse-seared-smoked-venison-backstrap" TargetMode="External"/><Relationship Id="rId554" Type="http://schemas.openxmlformats.org/officeDocument/2006/relationships/hyperlink" Target="https://www.wideopenspaces.com/deer-vision-the-science/" TargetMode="External"/><Relationship Id="rId1143" Type="http://schemas.openxmlformats.org/officeDocument/2006/relationships/hyperlink" Target="https://www.themeateater.com/wired-to-hunt/whitetail-hunting/5-games-every-deer-camp-should-have" TargetMode="External"/><Relationship Id="rId553" Type="http://schemas.openxmlformats.org/officeDocument/2006/relationships/hyperlink" Target="https://realtree.com/all/articles/what-deer-really-see" TargetMode="External"/><Relationship Id="rId1144" Type="http://schemas.openxmlformats.org/officeDocument/2006/relationships/hyperlink" Target="https://www.wideopenspaces.com/5-of-the-best-hunting-video-games-ever-made/" TargetMode="External"/><Relationship Id="rId552" Type="http://schemas.openxmlformats.org/officeDocument/2006/relationships/hyperlink" Target="https://www.themeateater.com/wired-to-hunt/whitetail-hunting/deer-vision-how-whitetails-see-color-light-and-movement" TargetMode="External"/><Relationship Id="rId1145" Type="http://schemas.openxmlformats.org/officeDocument/2006/relationships/hyperlink" Target="https://www.themeateater.com/hunt/whitetail-deer/photos-this-buck-might-crush-the-indiana-state-record" TargetMode="External"/><Relationship Id="rId551" Type="http://schemas.openxmlformats.org/officeDocument/2006/relationships/hyperlink" Target="https://www.wideopenspaces.com/how-to-clean-a-deer-skull/" TargetMode="External"/><Relationship Id="rId1146" Type="http://schemas.openxmlformats.org/officeDocument/2006/relationships/hyperlink" Target="https://realtree.com/deer-hunting/articles/the-best-times-to-deer-hunt-in-2022" TargetMode="External"/><Relationship Id="rId2060" Type="http://schemas.openxmlformats.org/officeDocument/2006/relationships/hyperlink" Target="https://www.wideopenspaces.com/whitetailwednesday-should-we-shoot-albino-and-piebald-deer/" TargetMode="External"/><Relationship Id="rId2061" Type="http://schemas.openxmlformats.org/officeDocument/2006/relationships/hyperlink" Target="https://www.wideopenspaces.com/rabid-deer-confirm-north-carolina/" TargetMode="External"/><Relationship Id="rId2062" Type="http://schemas.openxmlformats.org/officeDocument/2006/relationships/hyperlink" Target="https://realtree.com/brow-tines-and-backstrap/2022-southeast-deer-hunting-forecast" TargetMode="External"/><Relationship Id="rId2063" Type="http://schemas.openxmlformats.org/officeDocument/2006/relationships/hyperlink" Target="https://www.wideopenspaces.com/see-through-hunting-blinds/" TargetMode="External"/><Relationship Id="rId2064" Type="http://schemas.openxmlformats.org/officeDocument/2006/relationships/hyperlink" Target="https://realtree.com/brow-tines-and-backstrap/2022-southeast-deer-hunting-forecast" TargetMode="External"/><Relationship Id="rId2065" Type="http://schemas.openxmlformats.org/officeDocument/2006/relationships/hyperlink" Target="https://www.wideopenspaces.com/tennessee-approves-3-day-archery-only-deer-season-for-august/" TargetMode="External"/><Relationship Id="rId2066" Type="http://schemas.openxmlformats.org/officeDocument/2006/relationships/hyperlink" Target="https://realtree.com/deer-hunting/articles/where-to-deer-hunt-in-february" TargetMode="External"/><Relationship Id="rId2067" Type="http://schemas.openxmlformats.org/officeDocument/2006/relationships/hyperlink" Target="https://www.wideopenspaces.com/when-does-deer-season-end-in-texas/" TargetMode="External"/><Relationship Id="rId2068" Type="http://schemas.openxmlformats.org/officeDocument/2006/relationships/hyperlink" Target="https://realtree.com/turkey-hunting/articles/tennessee-moves-to-later-turkey-season-2-bird-bag-limit-no-fanning-on-public" TargetMode="External"/><Relationship Id="rId2069" Type="http://schemas.openxmlformats.org/officeDocument/2006/relationships/hyperlink" Target="https://www.wideopenspaces.com/tennessee-approves-3-day-archery-only-deer-season-for-august/" TargetMode="External"/><Relationship Id="rId2050" Type="http://schemas.openxmlformats.org/officeDocument/2006/relationships/hyperlink" Target="https://realtree.com/" TargetMode="External"/><Relationship Id="rId2051" Type="http://schemas.openxmlformats.org/officeDocument/2006/relationships/hyperlink" Target="https://www.wideopenspaces.com/minnesota-deer-hunting/" TargetMode="External"/><Relationship Id="rId495" Type="http://schemas.openxmlformats.org/officeDocument/2006/relationships/hyperlink" Target="https://realtree.com/timber-2-table-wild-game-recipes/bavarian-style-slow-cooker-venison-and-sauerkraut-pot-roast" TargetMode="External"/><Relationship Id="rId2052" Type="http://schemas.openxmlformats.org/officeDocument/2006/relationships/hyperlink" Target="https://realtree.com/deer-hunting/articles/8-major-differences-between-whitetails-and-mule-deer" TargetMode="External"/><Relationship Id="rId494" Type="http://schemas.openxmlformats.org/officeDocument/2006/relationships/hyperlink" Target="https://www.themeateater.com/cook/recipes/freestyle-cooking-pickle-juice-venison-pot-roast-recipe" TargetMode="External"/><Relationship Id="rId2053" Type="http://schemas.openxmlformats.org/officeDocument/2006/relationships/hyperlink" Target="https://www.wideopenspaces.com/trouble-naming-your-hit-list-buck-65-buck-nicknames/" TargetMode="External"/><Relationship Id="rId493" Type="http://schemas.openxmlformats.org/officeDocument/2006/relationships/hyperlink" Target="https://www.wideopenspaces.com/hunting-deer-with-a-bow-past-archery-season/" TargetMode="External"/><Relationship Id="rId2054" Type="http://schemas.openxmlformats.org/officeDocument/2006/relationships/hyperlink" Target="https://realtree.com/deer-hunting/articles/the-best-times-to-deer-hunt-in-2022" TargetMode="External"/><Relationship Id="rId492" Type="http://schemas.openxmlformats.org/officeDocument/2006/relationships/hyperlink" Target="https://realtree.com/brow-tines-and-backstrap/how-to-build-a-self-bow-and-kill-a-deer-with-it" TargetMode="External"/><Relationship Id="rId2055" Type="http://schemas.openxmlformats.org/officeDocument/2006/relationships/hyperlink" Target="https://realtree.com/brow-tines-and-backstrap/2022-southeast-deer-hunting-forecast" TargetMode="External"/><Relationship Id="rId499" Type="http://schemas.openxmlformats.org/officeDocument/2006/relationships/hyperlink" Target="https://www.themeateater.com/cook/recipes/garlic-herb-venison-marinade-recipe" TargetMode="External"/><Relationship Id="rId2056" Type="http://schemas.openxmlformats.org/officeDocument/2006/relationships/hyperlink" Target="https://www.wideopenspaces.com/deer-hunting-in-ohio-what-you-should-know/" TargetMode="External"/><Relationship Id="rId498" Type="http://schemas.openxmlformats.org/officeDocument/2006/relationships/hyperlink" Target="https://realtree.com/deer-hunting/articles/don-t-get-killed-in-the-deer-woods" TargetMode="External"/><Relationship Id="rId2057" Type="http://schemas.openxmlformats.org/officeDocument/2006/relationships/hyperlink" Target="https://www.wideopenspaces.com/deer-hunting-in-ohio-what-you-should-know/" TargetMode="External"/><Relationship Id="rId497" Type="http://schemas.openxmlformats.org/officeDocument/2006/relationships/hyperlink" Target="https://www.themeateater.com/wired-to-hunt/whitetail-hunting/3-ways-to-get-your-deer-out-of-the-woods" TargetMode="External"/><Relationship Id="rId2058" Type="http://schemas.openxmlformats.org/officeDocument/2006/relationships/hyperlink" Target="https://www.wideopenspaces.com/pennsylvania-deer-hunting/" TargetMode="External"/><Relationship Id="rId496" Type="http://schemas.openxmlformats.org/officeDocument/2006/relationships/hyperlink" Target="https://www.wideopenspaces.com/the-best-crock-pot-venison-pot-roast-recipe-ever/" TargetMode="External"/><Relationship Id="rId2059" Type="http://schemas.openxmlformats.org/officeDocument/2006/relationships/hyperlink" Target="https://www.wideopenspaces.com/pennsylvania-deer-hunting/" TargetMode="External"/><Relationship Id="rId2070" Type="http://schemas.openxmlformats.org/officeDocument/2006/relationships/hyperlink" Target="https://www.wideopenspaces.com/5-luxury-hunting-blinds-you-might-be-able-to-afford/" TargetMode="External"/><Relationship Id="rId2071" Type="http://schemas.openxmlformats.org/officeDocument/2006/relationships/hyperlink" Target="https://realtree.com/brow-tines-and-backstrap/10-amazing-facts-about-velvet-antlers" TargetMode="External"/><Relationship Id="rId2072" Type="http://schemas.openxmlformats.org/officeDocument/2006/relationships/hyperlink" Target="https://www.wideopenspaces.com/blue-tongue-disease-in-deer/" TargetMode="External"/><Relationship Id="rId2073" Type="http://schemas.openxmlformats.org/officeDocument/2006/relationships/hyperlink" Target="https://www.wideopenspaces.com/missouri-deer-hunting-all-to-know-about-this-buck-buck-paradise/" TargetMode="External"/><Relationship Id="rId2074" Type="http://schemas.openxmlformats.org/officeDocument/2006/relationships/hyperlink" Target="https://www.wideopenspaces.com/rare-piebald-deer-herd/" TargetMode="External"/><Relationship Id="rId2075" Type="http://schemas.openxmlformats.org/officeDocument/2006/relationships/hyperlink" Target="https://realtree.com/brow-tines-and-backstrap/what-really-kills-whitetail-fawns" TargetMode="External"/><Relationship Id="rId2076" Type="http://schemas.openxmlformats.org/officeDocument/2006/relationships/hyperlink" Target="https://www.wideopenspaces.com/wisconsin-deer-hunting-everything-hunters-need-to-know/" TargetMode="External"/><Relationship Id="rId2077" Type="http://schemas.openxmlformats.org/officeDocument/2006/relationships/hyperlink" Target="https://www.wideopenspaces.com/missouri-youth-hunt-records-astounding-deer-kill-number/" TargetMode="External"/><Relationship Id="rId2078" Type="http://schemas.openxmlformats.org/officeDocument/2006/relationships/hyperlink" Target="https://www.wideopenspaces.com/missouri-youth-hunt-records-astounding-deer-kill-number/" TargetMode="External"/><Relationship Id="rId2079" Type="http://schemas.openxmlformats.org/officeDocument/2006/relationships/drawing" Target="../drawings/drawing6.xml"/><Relationship Id="rId1610" Type="http://schemas.openxmlformats.org/officeDocument/2006/relationships/hyperlink" Target="https://realtree.com/brow-tines-and-backstrap/7-different-deer-taxidermy-options-and-their-costs" TargetMode="External"/><Relationship Id="rId1611" Type="http://schemas.openxmlformats.org/officeDocument/2006/relationships/hyperlink" Target="https://realtree.com/brow-tines-and-backstrap/10-amazing-facts-about-velvet-antlers" TargetMode="External"/><Relationship Id="rId1612" Type="http://schemas.openxmlformats.org/officeDocument/2006/relationships/hyperlink" Target="https://www.wideopenspaces.com/deer-corn/" TargetMode="External"/><Relationship Id="rId1613" Type="http://schemas.openxmlformats.org/officeDocument/2006/relationships/hyperlink" Target="https://realtree.com/deer-hunting/articles/10-best-times-to-deer-hunt" TargetMode="External"/><Relationship Id="rId1614" Type="http://schemas.openxmlformats.org/officeDocument/2006/relationships/hyperlink" Target="https://www.wideopenspaces.com/when-does-deer-season-end-in-texas/" TargetMode="External"/><Relationship Id="rId1615" Type="http://schemas.openxmlformats.org/officeDocument/2006/relationships/hyperlink" Target="https://www.wideopenspaces.com/best-deer-feeders/" TargetMode="External"/><Relationship Id="rId1616" Type="http://schemas.openxmlformats.org/officeDocument/2006/relationships/hyperlink" Target="https://realtree.com/brow-tines-and-backstrap/debate-settled-deep-south-deer-are-the-toughest-to-hunt" TargetMode="External"/><Relationship Id="rId907" Type="http://schemas.openxmlformats.org/officeDocument/2006/relationships/hyperlink" Target="https://www.themeateater.com/listen/wired-to-hunt/ep-546-the-story-of-deer-survival-whitetail-anatom" TargetMode="External"/><Relationship Id="rId1617" Type="http://schemas.openxmlformats.org/officeDocument/2006/relationships/hyperlink" Target="https://www.wideopenspaces.com/whitetailwednesday-should-we-shoot-albino-and-piebald-deer/" TargetMode="External"/><Relationship Id="rId906" Type="http://schemas.openxmlformats.org/officeDocument/2006/relationships/hyperlink" Target="https://www.wideopenspaces.com/best-deer-hunting-rifles/" TargetMode="External"/><Relationship Id="rId1618" Type="http://schemas.openxmlformats.org/officeDocument/2006/relationships/hyperlink" Target="https://www.wideopenspaces.com/do-deer-eat-meat/" TargetMode="External"/><Relationship Id="rId905" Type="http://schemas.openxmlformats.org/officeDocument/2006/relationships/hyperlink" Target="https://realtree.com/deer-hunting/articles/the-new-hunter-s-guide-to-buying-your-first-deer-rifle" TargetMode="External"/><Relationship Id="rId1619" Type="http://schemas.openxmlformats.org/officeDocument/2006/relationships/hyperlink" Target="https://www.wideopenspaces.com/best-deer-feeders/" TargetMode="External"/><Relationship Id="rId904" Type="http://schemas.openxmlformats.org/officeDocument/2006/relationships/hyperlink" Target="https://www.themeateater.com/hunt/firearm-hunting/should-your-next-deer-rifle-be-an-ar-15" TargetMode="External"/><Relationship Id="rId909" Type="http://schemas.openxmlformats.org/officeDocument/2006/relationships/hyperlink" Target="https://www.wideopenspaces.com/the-great-deer-anatomy-explainer-and-what-you-need-to-know-as-a-hunter/" TargetMode="External"/><Relationship Id="rId908" Type="http://schemas.openxmlformats.org/officeDocument/2006/relationships/hyperlink" Target="https://realtree.com/deer-hunting/articles/the-best-shot-placement-on-deer" TargetMode="External"/><Relationship Id="rId903" Type="http://schemas.openxmlformats.org/officeDocument/2006/relationships/hyperlink" Target="https://www.themeateater.com/wired-to-hunt/whitetail-management/cranial-abscess-syndrome-the-false-cwd" TargetMode="External"/><Relationship Id="rId902" Type="http://schemas.openxmlformats.org/officeDocument/2006/relationships/hyperlink" Target="https://www.wideopenspaces.com/treestand-vs-groundblind-when-and-where-you-should-use-either-one/" TargetMode="External"/><Relationship Id="rId901" Type="http://schemas.openxmlformats.org/officeDocument/2006/relationships/hyperlink" Target="https://realtree.com/deer-hunting/articles/15-tips-for-deer-hunting-from-a-treestand" TargetMode="External"/><Relationship Id="rId900" Type="http://schemas.openxmlformats.org/officeDocument/2006/relationships/hyperlink" Target="https://www.themeateater.com/wired-to-hunt/whitetail-scouting/how-to-pick-the-perfect-tree-stand-location-in-summer" TargetMode="External"/><Relationship Id="rId1600" Type="http://schemas.openxmlformats.org/officeDocument/2006/relationships/hyperlink" Target="https://www.wideopenspaces.com/make-poor-mans-deer-feeder/" TargetMode="External"/><Relationship Id="rId1601" Type="http://schemas.openxmlformats.org/officeDocument/2006/relationships/hyperlink" Target="https://realtree.com/midwest-whitetail/articles/string-jumpers-how-to-aim-at-alert-deer" TargetMode="External"/><Relationship Id="rId1602" Type="http://schemas.openxmlformats.org/officeDocument/2006/relationships/hyperlink" Target="https://www.wideopenspaces.com/deer-tries-to-jump-high-fence-video/" TargetMode="External"/><Relationship Id="rId1603" Type="http://schemas.openxmlformats.org/officeDocument/2006/relationships/hyperlink" Target="https://www.wideopenspaces.com/whitetail-deer-gestation-period/" TargetMode="External"/><Relationship Id="rId1604" Type="http://schemas.openxmlformats.org/officeDocument/2006/relationships/hyperlink" Target="https://realtree.com/brow-tines-and-backstrap/iowa-law-expands-rifle-options-for-late-season-antlerless-hunts" TargetMode="External"/><Relationship Id="rId1605" Type="http://schemas.openxmlformats.org/officeDocument/2006/relationships/hyperlink" Target="https://www.wideopenspaces.com/komodo-dragon-hunts-kills-deer-brutal-footage/" TargetMode="External"/><Relationship Id="rId1606" Type="http://schemas.openxmlformats.org/officeDocument/2006/relationships/hyperlink" Target="https://www.wideopenspaces.com/trouble-naming-your-hit-list-buck-65-buck-nicknames/" TargetMode="External"/><Relationship Id="rId1607" Type="http://schemas.openxmlformats.org/officeDocument/2006/relationships/hyperlink" Target="https://www.wideopenspaces.com/trouble-naming-your-hit-list-buck-65-buck-nicknames/" TargetMode="External"/><Relationship Id="rId1608" Type="http://schemas.openxmlformats.org/officeDocument/2006/relationships/hyperlink" Target="https://www.wideopenspaces.com/deer-hunting-in-ohio-what-you-should-know/" TargetMode="External"/><Relationship Id="rId1609" Type="http://schemas.openxmlformats.org/officeDocument/2006/relationships/hyperlink" Target="https://realtree.com/deer-hunting/articles/15-tips-for-opening-day-of-gun-season" TargetMode="External"/><Relationship Id="rId1631" Type="http://schemas.openxmlformats.org/officeDocument/2006/relationships/hyperlink" Target="https://www.wideopenspaces.com/whitetailwednesday-15-hilarious-deer-hunting-memes-true/" TargetMode="External"/><Relationship Id="rId1632" Type="http://schemas.openxmlformats.org/officeDocument/2006/relationships/hyperlink" Target="https://oldforums.realtree.com/topic/102277-mineralsalt-blocks/" TargetMode="External"/><Relationship Id="rId1633" Type="http://schemas.openxmlformats.org/officeDocument/2006/relationships/hyperlink" Target="https://realtree.com/brow-tines-and-backstrap/20-crazy-good-deer-mounts-from-the-nwtf-convention" TargetMode="External"/><Relationship Id="rId1634" Type="http://schemas.openxmlformats.org/officeDocument/2006/relationships/hyperlink" Target="https://www.wideopenspaces.com/whitetailwednesday-25-unique-ideas-for-your-next-whitetail-mount/" TargetMode="External"/><Relationship Id="rId1635" Type="http://schemas.openxmlformats.org/officeDocument/2006/relationships/hyperlink" Target="https://www.wideopenspaces.com/mn-deer-hunting-zones/" TargetMode="External"/><Relationship Id="rId1636" Type="http://schemas.openxmlformats.org/officeDocument/2006/relationships/hyperlink" Target="https://www.wideopenspaces.com/mn-turkey-season/" TargetMode="External"/><Relationship Id="rId1637" Type="http://schemas.openxmlformats.org/officeDocument/2006/relationships/hyperlink" Target="https://realtree.com/the-realblog-with-stephanie-mallory/watch-live-cam-of-maine-deer-pantry" TargetMode="External"/><Relationship Id="rId1638" Type="http://schemas.openxmlformats.org/officeDocument/2006/relationships/hyperlink" Target="https://realtree.com/brow-tines-and-backstrap/debate-settled-deep-south-deer-are-the-toughest-to-hunt" TargetMode="External"/><Relationship Id="rId929" Type="http://schemas.openxmlformats.org/officeDocument/2006/relationships/hyperlink" Target="https://realtree.com/brow-tines-and-backstrap/everything-you-ever-wanted-to-know-about-deer-poop" TargetMode="External"/><Relationship Id="rId1639" Type="http://schemas.openxmlformats.org/officeDocument/2006/relationships/hyperlink" Target="https://www.wideopenspaces.com/alabama-hunting-license/" TargetMode="External"/><Relationship Id="rId928" Type="http://schemas.openxmlformats.org/officeDocument/2006/relationships/hyperlink" Target="https://www.themeateater.com/wired-to-hunt/whitetail-scouting/fact-checker-can-you-identify-a-mature-buck-by-droppings" TargetMode="External"/><Relationship Id="rId927" Type="http://schemas.openxmlformats.org/officeDocument/2006/relationships/hyperlink" Target="https://realtree.com/brow-tines-and-backstrap/why-windy-days-are-great-for-deer-hunting" TargetMode="External"/><Relationship Id="rId926" Type="http://schemas.openxmlformats.org/officeDocument/2006/relationships/hyperlink" Target="https://www.themeateater.com/wired-to-hunt/whitetail-hunting/how-to-kill-a-buck-in-high-wind" TargetMode="External"/><Relationship Id="rId921" Type="http://schemas.openxmlformats.org/officeDocument/2006/relationships/hyperlink" Target="https://www.themeateater.com/hunt/whitetail-deer/video-rutting-buck-makes-crazy-vocalizations" TargetMode="External"/><Relationship Id="rId920" Type="http://schemas.openxmlformats.org/officeDocument/2006/relationships/hyperlink" Target="https://www.themeateater.com/wired-to-hunt/whitetail-scouting/what-you-need-to-know-about-deer-tracks" TargetMode="External"/><Relationship Id="rId925" Type="http://schemas.openxmlformats.org/officeDocument/2006/relationships/hyperlink" Target="https://realtree.com/deer-hunting/articles/the-toughest-deer" TargetMode="External"/><Relationship Id="rId924" Type="http://schemas.openxmlformats.org/officeDocument/2006/relationships/hyperlink" Target="https://www.themeateater.com/watch/6174832058001/steven-rinella-tracks-coues-deer-in-arizona" TargetMode="External"/><Relationship Id="rId923" Type="http://schemas.openxmlformats.org/officeDocument/2006/relationships/hyperlink" Target="https://www.wideopenspaces.com/deer-sounds-making-sense-of-the-sounds-of-the-deer-woods/" TargetMode="External"/><Relationship Id="rId922" Type="http://schemas.openxmlformats.org/officeDocument/2006/relationships/hyperlink" Target="https://realtree.com/deer-hunting/articles/can-you-talk-deer" TargetMode="External"/><Relationship Id="rId1630" Type="http://schemas.openxmlformats.org/officeDocument/2006/relationships/hyperlink" Target="https://www.wideopenspaces.com/wisconsin-deer-hunting-everything-hunters-need-to-know/" TargetMode="External"/><Relationship Id="rId1620" Type="http://schemas.openxmlformats.org/officeDocument/2006/relationships/hyperlink" Target="https://www.wideopenspaces.com/deer-hunting-blind-spacious/" TargetMode="External"/><Relationship Id="rId1621" Type="http://schemas.openxmlformats.org/officeDocument/2006/relationships/hyperlink" Target="https://realtree.com/brow-tines-and-backstrap/how-to-make-a-homemade-deer-feeder" TargetMode="External"/><Relationship Id="rId1622" Type="http://schemas.openxmlformats.org/officeDocument/2006/relationships/hyperlink" Target="https://www.wideopenspaces.com/deer-corn/" TargetMode="External"/><Relationship Id="rId1623" Type="http://schemas.openxmlformats.org/officeDocument/2006/relationships/hyperlink" Target="https://realtree.com/the-realblog-with-stephanie-mallory/taxidermist-discovers-third-eye-when-preparing-deer-for-european" TargetMode="External"/><Relationship Id="rId1624" Type="http://schemas.openxmlformats.org/officeDocument/2006/relationships/hyperlink" Target="https://realtree.com/deer-hunting/articles/15-fascinating-facts-about-whitetail-biology-and-behavior" TargetMode="External"/><Relationship Id="rId1625" Type="http://schemas.openxmlformats.org/officeDocument/2006/relationships/hyperlink" Target="https://www.wideopenspaces.com/what-are-the-best-deer-hunting-times-throughout-the-day/" TargetMode="External"/><Relationship Id="rId1626" Type="http://schemas.openxmlformats.org/officeDocument/2006/relationships/hyperlink" Target="https://realtree.com/deer-hunting/articles/how-managing-for-older-bigger-bucks-helps-the-entire-deer-herd" TargetMode="External"/><Relationship Id="rId1627" Type="http://schemas.openxmlformats.org/officeDocument/2006/relationships/hyperlink" Target="https://realtree.com/deer-hunting/articles/the-best-times-to-deer-hunt-in-2022" TargetMode="External"/><Relationship Id="rId918" Type="http://schemas.openxmlformats.org/officeDocument/2006/relationships/hyperlink" Target="https://www.themeateater.com/cook/butchering-and-processing/how-much-fat-should-you-add-to-ground-venison" TargetMode="External"/><Relationship Id="rId1628" Type="http://schemas.openxmlformats.org/officeDocument/2006/relationships/hyperlink" Target="https://www.wideopenspaces.com/pennsylvania-deer-hunting/" TargetMode="External"/><Relationship Id="rId917" Type="http://schemas.openxmlformats.org/officeDocument/2006/relationships/hyperlink" Target="https://www.wideopenspaces.com/can-you-id-these-animals-by-their-poop/" TargetMode="External"/><Relationship Id="rId1629" Type="http://schemas.openxmlformats.org/officeDocument/2006/relationships/hyperlink" Target="https://realtree.com/brow-tines-and-backstrap/wisconsin-hunters-reject-changes-to-deer-season" TargetMode="External"/><Relationship Id="rId916" Type="http://schemas.openxmlformats.org/officeDocument/2006/relationships/hyperlink" Target="https://realtree.com/brow-tines-and-backstrap/everything-you-ever-wanted-to-know-about-deer-poop" TargetMode="External"/><Relationship Id="rId915" Type="http://schemas.openxmlformats.org/officeDocument/2006/relationships/hyperlink" Target="https://www.themeateater.com/wired-to-hunt/whitetail-scouting/fact-checker-can-you-identify-a-mature-buck-by-droppings" TargetMode="External"/><Relationship Id="rId919" Type="http://schemas.openxmlformats.org/officeDocument/2006/relationships/hyperlink" Target="https://realtree.com/deer-hunting/articles/12-reasons-why-your-venison-tastes-like-hell" TargetMode="External"/><Relationship Id="rId910" Type="http://schemas.openxmlformats.org/officeDocument/2006/relationships/hyperlink" Target="https://www.themeateater.com/wired-to-hunt/whitetail-hunting/why-december-deer-hunting-can-be-amazing-or-terrible" TargetMode="External"/><Relationship Id="rId914" Type="http://schemas.openxmlformats.org/officeDocument/2006/relationships/hyperlink" Target="https://www.wideopenspaces.com/5-biggest-whitetail-bucks-ever-found-dead/" TargetMode="External"/><Relationship Id="rId913" Type="http://schemas.openxmlformats.org/officeDocument/2006/relationships/hyperlink" Target="https://realtree.com/deer-hunting/articles/how-to-hunt-big-old-mature-bucks" TargetMode="External"/><Relationship Id="rId912" Type="http://schemas.openxmlformats.org/officeDocument/2006/relationships/hyperlink" Target="https://www.themeateater.com/wired-to-hunt/whitetail-hunting/how-to-track-a-buck-in-the-big-woods" TargetMode="External"/><Relationship Id="rId911" Type="http://schemas.openxmlformats.org/officeDocument/2006/relationships/hyperlink" Target="https://realtree.com/deer-hunting/articles/10-best-times-to-deer-hunt" TargetMode="External"/><Relationship Id="rId1213" Type="http://schemas.openxmlformats.org/officeDocument/2006/relationships/hyperlink" Target="https://www.wideopenspaces.com/venison-jerky-recipes/" TargetMode="External"/><Relationship Id="rId1697" Type="http://schemas.openxmlformats.org/officeDocument/2006/relationships/hyperlink" Target="https://realtree.com/food-plots-and-land-management/articles/do-cedar-trees-make-good-deer-habitat" TargetMode="External"/><Relationship Id="rId1214" Type="http://schemas.openxmlformats.org/officeDocument/2006/relationships/hyperlink" Target="https://www.themeateater.com/cook/recipes/guinness-venison-stew" TargetMode="External"/><Relationship Id="rId1698" Type="http://schemas.openxmlformats.org/officeDocument/2006/relationships/hyperlink" Target="https://www.wideopenspaces.com/16-horrible-hunting-tattoos/" TargetMode="External"/><Relationship Id="rId1215" Type="http://schemas.openxmlformats.org/officeDocument/2006/relationships/hyperlink" Target="https://www.wideopenspaces.com/searching-for-the-best-venison-recipe-what-30-minutes-googling-deer-meat-taught-me/" TargetMode="External"/><Relationship Id="rId1699" Type="http://schemas.openxmlformats.org/officeDocument/2006/relationships/hyperlink" Target="https://realtree.com/deer-hunting/articles/where-to-deer-hunt-in-february" TargetMode="External"/><Relationship Id="rId1216" Type="http://schemas.openxmlformats.org/officeDocument/2006/relationships/hyperlink" Target="https://www.themeateater.com/cook/butchering-and-processing/do-you-need-to-bleed-deer" TargetMode="External"/><Relationship Id="rId1217" Type="http://schemas.openxmlformats.org/officeDocument/2006/relationships/hyperlink" Target="https://www.themeateater.com/hunt/black-tailed-deer/a-guide-to-hunting-blacktail-deer" TargetMode="External"/><Relationship Id="rId1218" Type="http://schemas.openxmlformats.org/officeDocument/2006/relationships/hyperlink" Target="https://www.themeateater.com/hunt/big-game/ask-meateater-where-should-i-go-on-my-first-mule-deer-hunt" TargetMode="External"/><Relationship Id="rId1219" Type="http://schemas.openxmlformats.org/officeDocument/2006/relationships/hyperlink" Target="https://www.themeateater.com/wired-to-hunt/whitetail-hunting/how-to-mooch-deer-like-doug-duren" TargetMode="External"/><Relationship Id="rId866" Type="http://schemas.openxmlformats.org/officeDocument/2006/relationships/hyperlink" Target="https://www.wideopenspaces.com/venison-summer-sausage-recipe/" TargetMode="External"/><Relationship Id="rId865" Type="http://schemas.openxmlformats.org/officeDocument/2006/relationships/hyperlink" Target="https://realtree.com/timber-2-table-articles/jalape-o-pepper-jack-venison-summer-sausage-part-2" TargetMode="External"/><Relationship Id="rId864" Type="http://schemas.openxmlformats.org/officeDocument/2006/relationships/hyperlink" Target="https://www.themeateater.com/cook/recipes/summer-sausage-recipe" TargetMode="External"/><Relationship Id="rId863" Type="http://schemas.openxmlformats.org/officeDocument/2006/relationships/hyperlink" Target="https://www.themeateater.com/shows/meateater" TargetMode="External"/><Relationship Id="rId869" Type="http://schemas.openxmlformats.org/officeDocument/2006/relationships/hyperlink" Target="https://www.themeateater.com/listen/wired-to-hunt/ep-546-the-story-of-deer-survival-whitetail-anatom" TargetMode="External"/><Relationship Id="rId868" Type="http://schemas.openxmlformats.org/officeDocument/2006/relationships/hyperlink" Target="https://realtree.com/brow-tines-and-backstrap/7-different-deer-taxidermy-options-and-their-costs" TargetMode="External"/><Relationship Id="rId867" Type="http://schemas.openxmlformats.org/officeDocument/2006/relationships/hyperlink" Target="https://www.themeateater.com/hunt/whitetail-deer/fact-checker-do-outdoor-stores-pay-big-money-for-big-mounts" TargetMode="External"/><Relationship Id="rId1690" Type="http://schemas.openxmlformats.org/officeDocument/2006/relationships/hyperlink" Target="https://realtree.com/" TargetMode="External"/><Relationship Id="rId1691" Type="http://schemas.openxmlformats.org/officeDocument/2006/relationships/hyperlink" Target="https://www.wideopenspaces.com/deer-swimming-in-the-hudson-river-gets-rescued/" TargetMode="External"/><Relationship Id="rId1692" Type="http://schemas.openxmlformats.org/officeDocument/2006/relationships/hyperlink" Target="https://www.wideopenspaces.com/deer-hunting-in-ohio-what-you-should-know/" TargetMode="External"/><Relationship Id="rId862" Type="http://schemas.openxmlformats.org/officeDocument/2006/relationships/hyperlink" Target="https://www.wideopenspaces.com/venison-jerky-recipes/" TargetMode="External"/><Relationship Id="rId1693" Type="http://schemas.openxmlformats.org/officeDocument/2006/relationships/hyperlink" Target="https://realtree.com/brow-tines-and-backstrap/why-bucks-shed-antlers-and-how-to-hunt-them" TargetMode="External"/><Relationship Id="rId861" Type="http://schemas.openxmlformats.org/officeDocument/2006/relationships/hyperlink" Target="https://realtree.com/timber-2-table-wild-game-recipes/magic-chef-realtree-venison-jerky-recipe" TargetMode="External"/><Relationship Id="rId1210" Type="http://schemas.openxmlformats.org/officeDocument/2006/relationships/hyperlink" Target="https://www.themeateater.com/wired-to-hunt/whitetail-management/whitetails-and-mulies-a-comparison" TargetMode="External"/><Relationship Id="rId1694" Type="http://schemas.openxmlformats.org/officeDocument/2006/relationships/hyperlink" Target="https://www.wideopenspaces.com/deer-shed-antlers-pics/" TargetMode="External"/><Relationship Id="rId860" Type="http://schemas.openxmlformats.org/officeDocument/2006/relationships/hyperlink" Target="https://www.themeateater.com/watch/6278033203001/how-to-make-venison-jerky-with-kevin-gillespie" TargetMode="External"/><Relationship Id="rId1211" Type="http://schemas.openxmlformats.org/officeDocument/2006/relationships/hyperlink" Target="https://www.themeateater.com/cook/recipes/maple-syrup-venison-jerky-recipe" TargetMode="External"/><Relationship Id="rId1695" Type="http://schemas.openxmlformats.org/officeDocument/2006/relationships/hyperlink" Target="https://realtree.com/deer-hunting/articles/5-advanced-trail-camera-tactics" TargetMode="External"/><Relationship Id="rId1212" Type="http://schemas.openxmlformats.org/officeDocument/2006/relationships/hyperlink" Target="https://realtree.com/timber-2-table-wild-game-recipes/magic-chef-realtree-venison-jerky-recipe" TargetMode="External"/><Relationship Id="rId1696" Type="http://schemas.openxmlformats.org/officeDocument/2006/relationships/hyperlink" Target="https://realtree.com/deer-hunting/articles/busted-5-things-you-don-t-know-about-deer-senses" TargetMode="External"/><Relationship Id="rId1202" Type="http://schemas.openxmlformats.org/officeDocument/2006/relationships/hyperlink" Target="https://www.themeateater.com/wired-to-hunt/whitetail-management/how-to-plant-a-food-plot-on-a-budget" TargetMode="External"/><Relationship Id="rId1686" Type="http://schemas.openxmlformats.org/officeDocument/2006/relationships/hyperlink" Target="https://www.wideopenspaces.com/what-do-deer-elk-and-moose-do-in-the-winter/" TargetMode="External"/><Relationship Id="rId1203" Type="http://schemas.openxmlformats.org/officeDocument/2006/relationships/hyperlink" Target="https://realtree.com/food-plots-and-land-management/articles/mess-hall-mixtures-5-food-plot-combos-for-full-season" TargetMode="External"/><Relationship Id="rId1687" Type="http://schemas.openxmlformats.org/officeDocument/2006/relationships/hyperlink" Target="https://realtree.com/brow-tines-and-backstrap/10-feeding-habits-of-mature-deer" TargetMode="External"/><Relationship Id="rId1204" Type="http://schemas.openxmlformats.org/officeDocument/2006/relationships/hyperlink" Target="https://www.themeateater.com/watch/6175617016001/how-to-break-down-a-deer-s-hind-leg" TargetMode="External"/><Relationship Id="rId1688" Type="http://schemas.openxmlformats.org/officeDocument/2006/relationships/hyperlink" Target="https://www.wideopenspaces.com/what-do-deer-eat/" TargetMode="External"/><Relationship Id="rId1205" Type="http://schemas.openxmlformats.org/officeDocument/2006/relationships/hyperlink" Target="https://www.wideopenspaces.com/deer-hooves-what-theyre-made-from-and-indicators-of-health/" TargetMode="External"/><Relationship Id="rId1689" Type="http://schemas.openxmlformats.org/officeDocument/2006/relationships/hyperlink" Target="https://realtree.com/brow-tines-and-backstrap/how-long-do-white-tailed-deer-live" TargetMode="External"/><Relationship Id="rId1206" Type="http://schemas.openxmlformats.org/officeDocument/2006/relationships/hyperlink" Target="https://www.themeateater.com/cook/recipes/smoked-venison-jerky-recipe" TargetMode="External"/><Relationship Id="rId1207" Type="http://schemas.openxmlformats.org/officeDocument/2006/relationships/hyperlink" Target="https://realtree.com/timber-2-table-wild-game-recipes/magic-chef-realtree-venison-jerky-recipe" TargetMode="External"/><Relationship Id="rId1208" Type="http://schemas.openxmlformats.org/officeDocument/2006/relationships/hyperlink" Target="https://www.wideopenspaces.com/venison-jerky-recipes/" TargetMode="External"/><Relationship Id="rId1209" Type="http://schemas.openxmlformats.org/officeDocument/2006/relationships/hyperlink" Target="https://www.themeateater.com/wired-to-hunt/whitetail-hunting/3-grunt-call-vocalizations-every-whitetail-hunter-should-know" TargetMode="External"/><Relationship Id="rId855" Type="http://schemas.openxmlformats.org/officeDocument/2006/relationships/hyperlink" Target="https://realtree.com/brow-tines-and-backstrap/everything-you-ever-wanted-to-know-about-deer-poop" TargetMode="External"/><Relationship Id="rId854" Type="http://schemas.openxmlformats.org/officeDocument/2006/relationships/hyperlink" Target="https://www.themeateater.com/wired-to-hunt/whitetail-scouting/fact-checker-can-you-identify-a-mature-buck-by-droppings" TargetMode="External"/><Relationship Id="rId853" Type="http://schemas.openxmlformats.org/officeDocument/2006/relationships/hyperlink" Target="https://realtree.com/all/articles/the-sitka-adventure" TargetMode="External"/><Relationship Id="rId852" Type="http://schemas.openxmlformats.org/officeDocument/2006/relationships/hyperlink" Target="https://www.themeateater.com/shows/meateater/season-1/into-the-clouds-sitka-blacktail-deer" TargetMode="External"/><Relationship Id="rId859" Type="http://schemas.openxmlformats.org/officeDocument/2006/relationships/hyperlink" Target="https://www.wideopenspaces.com/european-skull-mount/" TargetMode="External"/><Relationship Id="rId858" Type="http://schemas.openxmlformats.org/officeDocument/2006/relationships/hyperlink" Target="https://realtree.com/brow-tines-and-backstrap/7-different-deer-taxidermy-options-and-their-costs" TargetMode="External"/><Relationship Id="rId857" Type="http://schemas.openxmlformats.org/officeDocument/2006/relationships/hyperlink" Target="https://www.themeateater.com/hunt/general/ask-meateater-how-do-you-make-a-skull-mount" TargetMode="External"/><Relationship Id="rId856" Type="http://schemas.openxmlformats.org/officeDocument/2006/relationships/hyperlink" Target="https://www.wideopenspaces.com/deer-poop-identification/" TargetMode="External"/><Relationship Id="rId1680" Type="http://schemas.openxmlformats.org/officeDocument/2006/relationships/hyperlink" Target="https://realtree.com/deer-hunting/articles/10-tips-for-great-deer-pictures" TargetMode="External"/><Relationship Id="rId1681" Type="http://schemas.openxmlformats.org/officeDocument/2006/relationships/hyperlink" Target="https://realtree.com/brow-tines-and-backstrap/whitetail-taxidermy-poses-for-your-next-deer-mount" TargetMode="External"/><Relationship Id="rId851" Type="http://schemas.openxmlformats.org/officeDocument/2006/relationships/hyperlink" Target="https://www.wideopenspaces.com/best-deer-hunting-rifles/" TargetMode="External"/><Relationship Id="rId1682" Type="http://schemas.openxmlformats.org/officeDocument/2006/relationships/hyperlink" Target="https://www.wideopenspaces.com/taxidermy-deer-mount-how-much/" TargetMode="External"/><Relationship Id="rId850" Type="http://schemas.openxmlformats.org/officeDocument/2006/relationships/hyperlink" Target="https://realtree.com/deer-hunting/articles/the-new-hunter-s-guide-to-buying-your-first-deer-rifle" TargetMode="External"/><Relationship Id="rId1683" Type="http://schemas.openxmlformats.org/officeDocument/2006/relationships/hyperlink" Target="https://realtree.com/deer-hunting/articles/deer-hunting-the-late-season" TargetMode="External"/><Relationship Id="rId1200" Type="http://schemas.openxmlformats.org/officeDocument/2006/relationships/hyperlink" Target="https://realtree.com/brow-tines-and-backstrap/7-different-deer-taxidermy-options-and-their-costs" TargetMode="External"/><Relationship Id="rId1684" Type="http://schemas.openxmlformats.org/officeDocument/2006/relationships/hyperlink" Target="https://www.wideopenspaces.com/tennessee-approves-3-day-archery-only-deer-season-for-august/" TargetMode="External"/><Relationship Id="rId1201" Type="http://schemas.openxmlformats.org/officeDocument/2006/relationships/hyperlink" Target="https://www.wideopenspaces.com/deer-taxidermy-options/" TargetMode="External"/><Relationship Id="rId1685" Type="http://schemas.openxmlformats.org/officeDocument/2006/relationships/hyperlink" Target="https://oldforums.realtree.com/topic/109585-anyone-hunting-western-tn/" TargetMode="External"/><Relationship Id="rId1235" Type="http://schemas.openxmlformats.org/officeDocument/2006/relationships/hyperlink" Target="https://www.themeateater.com/wired-to-hunt/whitetail-scouting/ask-wired-to-hunt-when-should-you-start-shed-hunting" TargetMode="External"/><Relationship Id="rId1236" Type="http://schemas.openxmlformats.org/officeDocument/2006/relationships/hyperlink" Target="https://realtree.com/brow-tines-and-backstrap/why-bucks-shed-antlers-and-how-to-hunt-them" TargetMode="External"/><Relationship Id="rId1237" Type="http://schemas.openxmlformats.org/officeDocument/2006/relationships/hyperlink" Target="https://www.wideopenspaces.com/deer-shed-antlers-pics/" TargetMode="External"/><Relationship Id="rId1238" Type="http://schemas.openxmlformats.org/officeDocument/2006/relationships/hyperlink" Target="https://www.themeateater.com/hunt/big-game/big-game-tags-the-over-the-counter-option" TargetMode="External"/><Relationship Id="rId1239" Type="http://schemas.openxmlformats.org/officeDocument/2006/relationships/hyperlink" Target="https://www.themeateater.com/shows/meateater" TargetMode="External"/><Relationship Id="rId409" Type="http://schemas.openxmlformats.org/officeDocument/2006/relationships/hyperlink" Target="https://www.themeateater.com/wired-to-hunt/whitetail-scouting/3-guaranteed-places-to-find-whitetail-sheds" TargetMode="External"/><Relationship Id="rId404" Type="http://schemas.openxmlformats.org/officeDocument/2006/relationships/hyperlink" Target="https://www.wideopenspaces.com/you-actually-dont-have-to-know-how-to-butcher-a-deer-completely/" TargetMode="External"/><Relationship Id="rId888" Type="http://schemas.openxmlformats.org/officeDocument/2006/relationships/hyperlink" Target="https://realtree.com/deer-hunting/articles/5-traits-of-a-good-blood-trailing-deer-dog" TargetMode="External"/><Relationship Id="rId403" Type="http://schemas.openxmlformats.org/officeDocument/2006/relationships/hyperlink" Target="https://realtree.com/timber-2-table-articles/5-reasons-to-butcher-your-own-deer-this-season" TargetMode="External"/><Relationship Id="rId887" Type="http://schemas.openxmlformats.org/officeDocument/2006/relationships/hyperlink" Target="https://www.themeateater.com/listen/wired-to-hunt/the-wired-to-hunt-podcast-episode-45-deer-dogs-wit" TargetMode="External"/><Relationship Id="rId402" Type="http://schemas.openxmlformats.org/officeDocument/2006/relationships/hyperlink" Target="https://www.themeateater.com/watch/6258237862001/s6-e06-cooking-special-butchering-a-whole-deer" TargetMode="External"/><Relationship Id="rId886" Type="http://schemas.openxmlformats.org/officeDocument/2006/relationships/hyperlink" Target="https://www.wideopenspaces.com/whitetailwednesday-25-unique-ideas-for-your-next-whitetail-mount/" TargetMode="External"/><Relationship Id="rId401" Type="http://schemas.openxmlformats.org/officeDocument/2006/relationships/hyperlink" Target="https://www.themeateater.com/conservation/wildlife-management/why-do-female-deer-sometimes-grow-antlers" TargetMode="External"/><Relationship Id="rId885" Type="http://schemas.openxmlformats.org/officeDocument/2006/relationships/hyperlink" Target="https://www.themeateater.com/hunt/general/ask-meateater-how-do-you-make-a-skull-mount" TargetMode="External"/><Relationship Id="rId408" Type="http://schemas.openxmlformats.org/officeDocument/2006/relationships/hyperlink" Target="https://www.themeateater.com/wired-to-hunt/whitetail-hunting/deer-vision-how-whitetails-see-color-light-and-movement" TargetMode="External"/><Relationship Id="rId407" Type="http://schemas.openxmlformats.org/officeDocument/2006/relationships/hyperlink" Target="https://www.wideopenspaces.com/how-to-find-and-aim-for-deer-vitals/" TargetMode="External"/><Relationship Id="rId406" Type="http://schemas.openxmlformats.org/officeDocument/2006/relationships/hyperlink" Target="https://realtree.com/deer-hunting/articles/the-best-shot-placement-on-deer" TargetMode="External"/><Relationship Id="rId405" Type="http://schemas.openxmlformats.org/officeDocument/2006/relationships/hyperlink" Target="https://www.themeateater.com/wired-to-hunt/whitetail-hunting/where-to-shoot-a-deer" TargetMode="External"/><Relationship Id="rId889" Type="http://schemas.openxmlformats.org/officeDocument/2006/relationships/hyperlink" Target="https://www.wideopenspaces.com/the-art-of-hunting-deer-with-dogs/" TargetMode="External"/><Relationship Id="rId880" Type="http://schemas.openxmlformats.org/officeDocument/2006/relationships/hyperlink" Target="https://www.themeateater.com/hunt/big-game/tips-and-trick-for-hunting-whitetail-deer" TargetMode="External"/><Relationship Id="rId1230" Type="http://schemas.openxmlformats.org/officeDocument/2006/relationships/hyperlink" Target="https://www.wideopenspaces.com/deer-poop-identification/" TargetMode="External"/><Relationship Id="rId400" Type="http://schemas.openxmlformats.org/officeDocument/2006/relationships/hyperlink" Target="https://www.wideopenspaces.com/how-to-clean-a-deer-heart/" TargetMode="External"/><Relationship Id="rId884" Type="http://schemas.openxmlformats.org/officeDocument/2006/relationships/hyperlink" Target="https://www.themeateater.com/conservation/wildlife-management/why-do-female-deer-sometimes-grow-antlers" TargetMode="External"/><Relationship Id="rId1231" Type="http://schemas.openxmlformats.org/officeDocument/2006/relationships/hyperlink" Target="https://www.themeateater.com/hunt/pronghorn-antelope/a-guide-to-hunting-pronghorn-antelope" TargetMode="External"/><Relationship Id="rId883" Type="http://schemas.openxmlformats.org/officeDocument/2006/relationships/hyperlink" Target="https://www.wideopenspaces.com/the-difference-between-a-bull-elk-and-a-red-stag/" TargetMode="External"/><Relationship Id="rId1232" Type="http://schemas.openxmlformats.org/officeDocument/2006/relationships/hyperlink" Target="https://www.themeateater.com/wired-to-hunt/whitetail-hunting/the-debate-about-lunar-effects-on-whitetails" TargetMode="External"/><Relationship Id="rId882" Type="http://schemas.openxmlformats.org/officeDocument/2006/relationships/hyperlink" Target="https://www.themeateater.com/hunt/elk/4-ways-elk-hunting-is-not-deer-hunting" TargetMode="External"/><Relationship Id="rId1233" Type="http://schemas.openxmlformats.org/officeDocument/2006/relationships/hyperlink" Target="https://realtree.com/deer-hunting/articles/10-best-times-to-deer-hunt" TargetMode="External"/><Relationship Id="rId881" Type="http://schemas.openxmlformats.org/officeDocument/2006/relationships/hyperlink" Target="https://realtree.com/deer-hunting" TargetMode="External"/><Relationship Id="rId1234" Type="http://schemas.openxmlformats.org/officeDocument/2006/relationships/hyperlink" Target="https://www.wideopenspaces.com/what-are-the-best-deer-hunting-times-throughout-the-day/" TargetMode="External"/><Relationship Id="rId1224" Type="http://schemas.openxmlformats.org/officeDocument/2006/relationships/hyperlink" Target="https://realtree.com/brow-tines-and-backstrap/15-steps-to-forge-your-own-deer-skinning-knife" TargetMode="External"/><Relationship Id="rId1225" Type="http://schemas.openxmlformats.org/officeDocument/2006/relationships/hyperlink" Target="https://www.themeateater.com/watch/6222000778001/s4-e12-big-buck-dreams-mule-deer-special" TargetMode="External"/><Relationship Id="rId1226" Type="http://schemas.openxmlformats.org/officeDocument/2006/relationships/hyperlink" Target="https://realtree.com/deer-hunting/articles/how-to-hunt-big-old-mature-bucks" TargetMode="External"/><Relationship Id="rId1227" Type="http://schemas.openxmlformats.org/officeDocument/2006/relationships/hyperlink" Target="https://www.wideopenspaces.com/5-biggest-whitetail-bucks-ever-found-dead/" TargetMode="External"/><Relationship Id="rId1228" Type="http://schemas.openxmlformats.org/officeDocument/2006/relationships/hyperlink" Target="https://www.themeateater.com/wired-to-hunt/whitetail-scouting/fact-checker-can-you-identify-a-mature-buck-by-droppings" TargetMode="External"/><Relationship Id="rId1229" Type="http://schemas.openxmlformats.org/officeDocument/2006/relationships/hyperlink" Target="https://realtree.com/brow-tines-and-backstrap/everything-you-ever-wanted-to-know-about-deer-poop" TargetMode="External"/><Relationship Id="rId877" Type="http://schemas.openxmlformats.org/officeDocument/2006/relationships/hyperlink" Target="https://www.themeateater.com/hunt/firearm-hunting/5-best-rifles-for-new-hunters" TargetMode="External"/><Relationship Id="rId876" Type="http://schemas.openxmlformats.org/officeDocument/2006/relationships/hyperlink" Target="https://www.wideopenspaces.com/wyoming-deer-hunting/" TargetMode="External"/><Relationship Id="rId875" Type="http://schemas.openxmlformats.org/officeDocument/2006/relationships/hyperlink" Target="https://www.themeateater.com/shows/meateater/season-9/wyoming-mule-deer-part-1" TargetMode="External"/><Relationship Id="rId874" Type="http://schemas.openxmlformats.org/officeDocument/2006/relationships/hyperlink" Target="https://www.themeateater.com/watch/6209664304001/how-to-shock-pouch-a-deer-with-clay-newcomb" TargetMode="External"/><Relationship Id="rId879" Type="http://schemas.openxmlformats.org/officeDocument/2006/relationships/hyperlink" Target="https://www.wideopenspaces.com/best-deer-hunting-rifles/" TargetMode="External"/><Relationship Id="rId878" Type="http://schemas.openxmlformats.org/officeDocument/2006/relationships/hyperlink" Target="https://realtree.com/deer-hunting/articles/the-new-hunter-s-guide-to-buying-your-first-deer-rifle" TargetMode="External"/><Relationship Id="rId873" Type="http://schemas.openxmlformats.org/officeDocument/2006/relationships/hyperlink" Target="https://www.themeateater.com/shows/sabertooth" TargetMode="External"/><Relationship Id="rId1220" Type="http://schemas.openxmlformats.org/officeDocument/2006/relationships/hyperlink" Target="https://www.wideopenspaces.com/what-is-a-deer-drive/" TargetMode="External"/><Relationship Id="rId872" Type="http://schemas.openxmlformats.org/officeDocument/2006/relationships/hyperlink" Target="https://www.wideopenspaces.com/kansas-deer-hunting/" TargetMode="External"/><Relationship Id="rId1221" Type="http://schemas.openxmlformats.org/officeDocument/2006/relationships/hyperlink" Target="https://www.themeateater.com/wired-to-hunt/whitetail-management/whitetails-and-mulies-a-comparison" TargetMode="External"/><Relationship Id="rId871" Type="http://schemas.openxmlformats.org/officeDocument/2006/relationships/hyperlink" Target="https://www.themeateater.com/hunt/big-game/big-game-tags-the-over-the-counter-option" TargetMode="External"/><Relationship Id="rId1222" Type="http://schemas.openxmlformats.org/officeDocument/2006/relationships/hyperlink" Target="https://realtree.com/deer-hunting/articles/8-major-differences-between-whitetails-and-mule-deer" TargetMode="External"/><Relationship Id="rId870" Type="http://schemas.openxmlformats.org/officeDocument/2006/relationships/hyperlink" Target="https://www.wideopenspaces.com/the-great-deer-anatomy-explainer-and-what-you-need-to-know-as-a-hunter/" TargetMode="External"/><Relationship Id="rId1223" Type="http://schemas.openxmlformats.org/officeDocument/2006/relationships/hyperlink" Target="https://www.themeateater.com/gear/general/best-hunting-knives" TargetMode="External"/><Relationship Id="rId1653" Type="http://schemas.openxmlformats.org/officeDocument/2006/relationships/hyperlink" Target="https://www.wideopenspaces.com/taxidermy-deer-mount-how-much/" TargetMode="External"/><Relationship Id="rId1654" Type="http://schemas.openxmlformats.org/officeDocument/2006/relationships/hyperlink" Target="https://www.wideopenspaces.com/whitetail-deer-gestation-period/" TargetMode="External"/><Relationship Id="rId1655" Type="http://schemas.openxmlformats.org/officeDocument/2006/relationships/hyperlink" Target="https://www.wideopenspaces.com/whitetail-deer-gestation-period/" TargetMode="External"/><Relationship Id="rId1656" Type="http://schemas.openxmlformats.org/officeDocument/2006/relationships/hyperlink" Target="https://www.wideopenspaces.com/whitetail-deer-gestation-period/" TargetMode="External"/><Relationship Id="rId1657" Type="http://schemas.openxmlformats.org/officeDocument/2006/relationships/hyperlink" Target="https://www.wideopenspaces.com/whitetail-deer-gestation-period/" TargetMode="External"/><Relationship Id="rId1658" Type="http://schemas.openxmlformats.org/officeDocument/2006/relationships/hyperlink" Target="https://www.wideopenspaces.com/3-hunting-shows-binge-watch-stuck-indoors-snowstorm/" TargetMode="External"/><Relationship Id="rId1659" Type="http://schemas.openxmlformats.org/officeDocument/2006/relationships/hyperlink" Target="https://realtree.com/the-realblog-with-stephanie-mallory/crooked-head-deer-defies-odds-for-survival" TargetMode="External"/><Relationship Id="rId829" Type="http://schemas.openxmlformats.org/officeDocument/2006/relationships/hyperlink" Target="https://www.themeateater.com/hunt/whitetail-deer/fact-checker-do-outdoor-stores-pay-big-money-for-big-mounts" TargetMode="External"/><Relationship Id="rId828" Type="http://schemas.openxmlformats.org/officeDocument/2006/relationships/hyperlink" Target="https://www.wideopenspaces.com/whitetail-wednesday-how-much-do-people-pay-for-shoulder-mounts-in-your-area/" TargetMode="External"/><Relationship Id="rId827" Type="http://schemas.openxmlformats.org/officeDocument/2006/relationships/hyperlink" Target="https://realtree.com/brow-tines-and-backstrap/20-crazy-good-deer-mounts-from-the-nwtf-convention" TargetMode="External"/><Relationship Id="rId822" Type="http://schemas.openxmlformats.org/officeDocument/2006/relationships/hyperlink" Target="https://www.themeateater.com/conservation/wildlife-management/spring-bear-hunting-season-shut-down-again-in-washington-state" TargetMode="External"/><Relationship Id="rId821" Type="http://schemas.openxmlformats.org/officeDocument/2006/relationships/hyperlink" Target="https://realtree.com/brow-tines-and-backstrap/everything-you-ever-wanted-to-know-about-deer-poop" TargetMode="External"/><Relationship Id="rId820" Type="http://schemas.openxmlformats.org/officeDocument/2006/relationships/hyperlink" Target="https://www.themeateater.com/wired-to-hunt/whitetail-scouting/fact-checker-can-you-identify-a-mature-buck-by-droppings" TargetMode="External"/><Relationship Id="rId826" Type="http://schemas.openxmlformats.org/officeDocument/2006/relationships/hyperlink" Target="https://www.themeateater.com/hunt/whitetail-deer/fact-checker-do-outdoor-stores-pay-big-money-for-big-mounts" TargetMode="External"/><Relationship Id="rId825" Type="http://schemas.openxmlformats.org/officeDocument/2006/relationships/hyperlink" Target="https://www.themeateater.com/shows/meateater" TargetMode="External"/><Relationship Id="rId824" Type="http://schemas.openxmlformats.org/officeDocument/2006/relationships/hyperlink" Target="https://www.wideopenspaces.com/the-best-diy-hunting-blinds-you-can-possibly-make-this-soon-before-the-season/" TargetMode="External"/><Relationship Id="rId823" Type="http://schemas.openxmlformats.org/officeDocument/2006/relationships/hyperlink" Target="https://www.themeateater.com/hunt/whitetail-deer/photos-how-to-build-a-deer-blind-from-pallets" TargetMode="External"/><Relationship Id="rId1650" Type="http://schemas.openxmlformats.org/officeDocument/2006/relationships/hyperlink" Target="https://www.wideopenspaces.com/what-do-deer-eat/" TargetMode="External"/><Relationship Id="rId1651" Type="http://schemas.openxmlformats.org/officeDocument/2006/relationships/hyperlink" Target="https://realtree.com/food-plots-and-land-management/articles/food-plot-seed-how-to-plant-sunflowers" TargetMode="External"/><Relationship Id="rId1652" Type="http://schemas.openxmlformats.org/officeDocument/2006/relationships/hyperlink" Target="https://realtree.com/brow-tines-and-backstrap/whitetail-taxidermy-poses-for-your-next-deer-mount" TargetMode="External"/><Relationship Id="rId1642" Type="http://schemas.openxmlformats.org/officeDocument/2006/relationships/hyperlink" Target="https://www.wideopenspaces.com/when-does-deer-season-end-in-georgia/" TargetMode="External"/><Relationship Id="rId1643" Type="http://schemas.openxmlformats.org/officeDocument/2006/relationships/hyperlink" Target="https://www.wideopenspaces.com/indiana-hunting-license/" TargetMode="External"/><Relationship Id="rId1644" Type="http://schemas.openxmlformats.org/officeDocument/2006/relationships/hyperlink" Target="https://www.wideopenspaces.com/the-great-big-oklahoma-deer-hunting-guide/" TargetMode="External"/><Relationship Id="rId1645" Type="http://schemas.openxmlformats.org/officeDocument/2006/relationships/hyperlink" Target="https://realtree.com/brow-tines-and-backstrap/2022-southeast-deer-hunting-forecast" TargetMode="External"/><Relationship Id="rId1646" Type="http://schemas.openxmlformats.org/officeDocument/2006/relationships/hyperlink" Target="https://realtree.com/deer-hunting/articles/deer-hunting-the-late-season" TargetMode="External"/><Relationship Id="rId1647" Type="http://schemas.openxmlformats.org/officeDocument/2006/relationships/hyperlink" Target="https://realtree.com/brow-tines-and-backstrap/15-steps-to-forge-your-own-deer-skinning-knife" TargetMode="External"/><Relationship Id="rId1648" Type="http://schemas.openxmlformats.org/officeDocument/2006/relationships/hyperlink" Target="https://realtree.com/brow-tines-and-backstrap/how-long-do-white-tailed-deer-live" TargetMode="External"/><Relationship Id="rId1649" Type="http://schemas.openxmlformats.org/officeDocument/2006/relationships/hyperlink" Target="https://www.wideopenspaces.com/lifespan-whitetail-deer/" TargetMode="External"/><Relationship Id="rId819" Type="http://schemas.openxmlformats.org/officeDocument/2006/relationships/hyperlink" Target="https://www.wideopenspaces.com/5-deer-attractants-drive-whitetail-bucks-crazy-pics/" TargetMode="External"/><Relationship Id="rId818" Type="http://schemas.openxmlformats.org/officeDocument/2006/relationships/hyperlink" Target="https://realtree.com/brow-tines-and-backstrap/8-things-you-can-use-to-bait-deer" TargetMode="External"/><Relationship Id="rId817" Type="http://schemas.openxmlformats.org/officeDocument/2006/relationships/hyperlink" Target="https://www.themeateater.com/wired-to-hunt/whitetail-scouting/best-food-sources-to-deer-hunt-in-october" TargetMode="External"/><Relationship Id="rId816" Type="http://schemas.openxmlformats.org/officeDocument/2006/relationships/hyperlink" Target="https://www.wideopenspaces.com/biggest-mule-deer-kills-pics/" TargetMode="External"/><Relationship Id="rId811" Type="http://schemas.openxmlformats.org/officeDocument/2006/relationships/hyperlink" Target="https://www.themeateater.com/cook/recipes/venison-tenderloin-with-italian-salsa-verde-recipe" TargetMode="External"/><Relationship Id="rId810" Type="http://schemas.openxmlformats.org/officeDocument/2006/relationships/hyperlink" Target="https://realtree.com/deer-hunting/articles/habits-of-mature-whitetail-deer" TargetMode="External"/><Relationship Id="rId815" Type="http://schemas.openxmlformats.org/officeDocument/2006/relationships/hyperlink" Target="https://realtree.com/big-game-hunting/articles/the-top-states-for-record-mule-deer-in-the-last-10-years" TargetMode="External"/><Relationship Id="rId814" Type="http://schemas.openxmlformats.org/officeDocument/2006/relationships/hyperlink" Target="https://www.themeateater.com/conservation/wildlife-management/the-letterman-buck" TargetMode="External"/><Relationship Id="rId813" Type="http://schemas.openxmlformats.org/officeDocument/2006/relationships/hyperlink" Target="https://www.wideopenspaces.com/top-6-venison-tenderloin-recipes/" TargetMode="External"/><Relationship Id="rId812" Type="http://schemas.openxmlformats.org/officeDocument/2006/relationships/hyperlink" Target="https://realtree.com/timber-2-table-wild-game-recipes/bourbon-buttermilk-fried-deer-tenderloin" TargetMode="External"/><Relationship Id="rId1640" Type="http://schemas.openxmlformats.org/officeDocument/2006/relationships/hyperlink" Target="https://realtree.com/brow-tines-and-backstrap/2022-southeast-deer-hunting-forecast" TargetMode="External"/><Relationship Id="rId1641" Type="http://schemas.openxmlformats.org/officeDocument/2006/relationships/hyperlink" Target="https://realtree.com/brow-tines-and-backstrap/2022-southeast-deer-hunting-forecast" TargetMode="External"/><Relationship Id="rId1675" Type="http://schemas.openxmlformats.org/officeDocument/2006/relationships/hyperlink" Target="https://www.wideopenspaces.com/when-does-deer-season-end-in-missouri/" TargetMode="External"/><Relationship Id="rId1676" Type="http://schemas.openxmlformats.org/officeDocument/2006/relationships/hyperlink" Target="https://realtree.com/deer-hunting/articles/states-that-haven-t-produced-a-non-typical-booner-in-the-last-10-years" TargetMode="External"/><Relationship Id="rId1677" Type="http://schemas.openxmlformats.org/officeDocument/2006/relationships/hyperlink" Target="https://www.wideopenspaces.com/typical-vs-non-typical-deer/" TargetMode="External"/><Relationship Id="rId1678" Type="http://schemas.openxmlformats.org/officeDocument/2006/relationships/hyperlink" Target="https://www.wideopenspaces.com/deer-hunting-in-ohio-what-you-should-know/" TargetMode="External"/><Relationship Id="rId1679" Type="http://schemas.openxmlformats.org/officeDocument/2006/relationships/hyperlink" Target="https://www.wideopenspaces.com/dip-deer-skull-spray-paint-diy-video/" TargetMode="External"/><Relationship Id="rId849" Type="http://schemas.openxmlformats.org/officeDocument/2006/relationships/hyperlink" Target="https://www.themeateater.com/hunt/firearm-hunting/5-gun-accessories-every-deer-hunter-should-own" TargetMode="External"/><Relationship Id="rId844" Type="http://schemas.openxmlformats.org/officeDocument/2006/relationships/hyperlink" Target="https://realtree.com/food-plots-and-land-management/articles/food-plot-seed-how-to-plant-soybeans" TargetMode="External"/><Relationship Id="rId843" Type="http://schemas.openxmlformats.org/officeDocument/2006/relationships/hyperlink" Target="https://www.themeateater.com/wired-to-hunt/whitetail-management/will-deer-eat-yellow-soybeans" TargetMode="External"/><Relationship Id="rId842" Type="http://schemas.openxmlformats.org/officeDocument/2006/relationships/hyperlink" Target="https://www.wideopenspaces.com/whitetail-wednesday-how-much-do-people-pay-for-shoulder-mounts-in-your-area/" TargetMode="External"/><Relationship Id="rId841" Type="http://schemas.openxmlformats.org/officeDocument/2006/relationships/hyperlink" Target="https://realtree.com/brow-tines-and-backstrap/how-long-should-deer-taxidermy-take" TargetMode="External"/><Relationship Id="rId848" Type="http://schemas.openxmlformats.org/officeDocument/2006/relationships/hyperlink" Target="https://www.wideopenspaces.com/venison-backstrap-recipes/" TargetMode="External"/><Relationship Id="rId847" Type="http://schemas.openxmlformats.org/officeDocument/2006/relationships/hyperlink" Target="https://www.themeateater.com/recipes/cuts/backstrap" TargetMode="External"/><Relationship Id="rId846" Type="http://schemas.openxmlformats.org/officeDocument/2006/relationships/hyperlink" Target="https://realtree.com/deer-hunting/articles/deer-aging-criteria-is-that-buck-mature" TargetMode="External"/><Relationship Id="rId845" Type="http://schemas.openxmlformats.org/officeDocument/2006/relationships/hyperlink" Target="https://www.themeateater.com/wired-to-hunt/whitetail-management/you-wont-believe-how-far-this-buck-traveled" TargetMode="External"/><Relationship Id="rId1670" Type="http://schemas.openxmlformats.org/officeDocument/2006/relationships/hyperlink" Target="https://realtree.com/brow-tines-and-backstrap/is-it-safe-to-leave-treestands-out-all-year" TargetMode="External"/><Relationship Id="rId840" Type="http://schemas.openxmlformats.org/officeDocument/2006/relationships/hyperlink" Target="https://www.themeateater.com/hunt/big-game/what-to-do-when-you-plan-on-getting-a-deer-mounted" TargetMode="External"/><Relationship Id="rId1671" Type="http://schemas.openxmlformats.org/officeDocument/2006/relationships/hyperlink" Target="https://realtree.com/deer-hunting/articles/talk-to-the-tail-understanding-whitetail-body-language" TargetMode="External"/><Relationship Id="rId1672" Type="http://schemas.openxmlformats.org/officeDocument/2006/relationships/hyperlink" Target="https://www.wideopenspaces.com/mn-deer-hunting-zones/" TargetMode="External"/><Relationship Id="rId1673" Type="http://schemas.openxmlformats.org/officeDocument/2006/relationships/hyperlink" Target="https://www.wideopenspaces.com/mn-deer-hunting-zones/" TargetMode="External"/><Relationship Id="rId1674" Type="http://schemas.openxmlformats.org/officeDocument/2006/relationships/hyperlink" Target="https://realtree.com/brow-tines-and-backstrap/2022-midwest-deer-hunting-forecast" TargetMode="External"/><Relationship Id="rId1664" Type="http://schemas.openxmlformats.org/officeDocument/2006/relationships/hyperlink" Target="https://www.wideopenspaces.com/deer-tries-to-jump-high-fence-video/" TargetMode="External"/><Relationship Id="rId1665" Type="http://schemas.openxmlformats.org/officeDocument/2006/relationships/hyperlink" Target="https://www.wideopenspaces.com/deer-hunting-in-illinois-does-a-boone-crockett-buck-await/" TargetMode="External"/><Relationship Id="rId1666" Type="http://schemas.openxmlformats.org/officeDocument/2006/relationships/hyperlink" Target="https://realtree.com/brow-tines-and-backstrap/2022-midwest-deer-hunting-forecast" TargetMode="External"/><Relationship Id="rId1667" Type="http://schemas.openxmlformats.org/officeDocument/2006/relationships/hyperlink" Target="https://www.wideopenspaces.com/indiana-hunting-license/" TargetMode="External"/><Relationship Id="rId1668" Type="http://schemas.openxmlformats.org/officeDocument/2006/relationships/hyperlink" Target="https://www.wideopenspaces.com/5-luxury-hunting-blinds-you-might-be-able-to-afford/" TargetMode="External"/><Relationship Id="rId1669" Type="http://schemas.openxmlformats.org/officeDocument/2006/relationships/hyperlink" Target="https://www.wideopenspaces.com/kansas-deer-hunting/" TargetMode="External"/><Relationship Id="rId839" Type="http://schemas.openxmlformats.org/officeDocument/2006/relationships/hyperlink" Target="https://realtree.com/deer-hunting/articles/how-to-can-deer-meat" TargetMode="External"/><Relationship Id="rId838" Type="http://schemas.openxmlformats.org/officeDocument/2006/relationships/hyperlink" Target="https://www.themeateater.com/cook/butchering-and-processing/how-much-fat-should-you-add-to-ground-venison" TargetMode="External"/><Relationship Id="rId833" Type="http://schemas.openxmlformats.org/officeDocument/2006/relationships/hyperlink" Target="https://www.wideopenspaces.com/deer-hunting-blind-spacious/" TargetMode="External"/><Relationship Id="rId832" Type="http://schemas.openxmlformats.org/officeDocument/2006/relationships/hyperlink" Target="https://www.themeateater.com/hunt/whitetail-deer/photos-how-to-build-a-deer-blind-from-pallets" TargetMode="External"/><Relationship Id="rId831" Type="http://schemas.openxmlformats.org/officeDocument/2006/relationships/hyperlink" Target="https://www.wideopenspaces.com/whitetailwednesday-25-unique-ideas-for-your-next-whitetail-mount/" TargetMode="External"/><Relationship Id="rId830" Type="http://schemas.openxmlformats.org/officeDocument/2006/relationships/hyperlink" Target="https://realtree.com/brow-tines-and-backstrap/20-crazy-good-deer-mounts-from-the-nwtf-convention" TargetMode="External"/><Relationship Id="rId837" Type="http://schemas.openxmlformats.org/officeDocument/2006/relationships/hyperlink" Target="https://www.themeateater.com/hunt/big-game/ask-meateater-where-should-i-go-on-my-first-mule-deer-hunt" TargetMode="External"/><Relationship Id="rId836" Type="http://schemas.openxmlformats.org/officeDocument/2006/relationships/hyperlink" Target="https://www.wideopenspaces.com/5-ground-venison-recipes-that-will-become-your-new-go-to/" TargetMode="External"/><Relationship Id="rId835" Type="http://schemas.openxmlformats.org/officeDocument/2006/relationships/hyperlink" Target="https://realtree.com/timber-2-table-wild-game-recipes/ground-venison-and-rice-bake" TargetMode="External"/><Relationship Id="rId834" Type="http://schemas.openxmlformats.org/officeDocument/2006/relationships/hyperlink" Target="https://www.themeateater.com/recipes/cuts/ground" TargetMode="External"/><Relationship Id="rId1660" Type="http://schemas.openxmlformats.org/officeDocument/2006/relationships/hyperlink" Target="https://realtree.com/deer-hunting/articles/how-managing-for-older-bigger-bucks-helps-the-entire-deer-herd" TargetMode="External"/><Relationship Id="rId1661" Type="http://schemas.openxmlformats.org/officeDocument/2006/relationships/hyperlink" Target="https://realtree.com/brow-tines-and-backstrap/how-to-make-a-homemade-deer-feeder" TargetMode="External"/><Relationship Id="rId1662" Type="http://schemas.openxmlformats.org/officeDocument/2006/relationships/hyperlink" Target="https://www.wideopenspaces.com/make-poor-mans-deer-feeder/" TargetMode="External"/><Relationship Id="rId1663" Type="http://schemas.openxmlformats.org/officeDocument/2006/relationships/hyperlink" Target="https://realtree.com/midwest-whitetail/articles/string-jumpers-how-to-aim-at-alert-deer" TargetMode="External"/><Relationship Id="rId469" Type="http://schemas.openxmlformats.org/officeDocument/2006/relationships/hyperlink" Target="https://www.themeateater.com/hunt/whitetail-deer/this-might-be-the-new-world-record-whitetail" TargetMode="External"/><Relationship Id="rId468" Type="http://schemas.openxmlformats.org/officeDocument/2006/relationships/hyperlink" Target="https://www.wideopenspaces.com/smoked-venison-recipes/" TargetMode="External"/><Relationship Id="rId467" Type="http://schemas.openxmlformats.org/officeDocument/2006/relationships/hyperlink" Target="https://realtree.com/timber-2-table-wild-game-recipes/smoked-venison-neck-roast" TargetMode="External"/><Relationship Id="rId1290" Type="http://schemas.openxmlformats.org/officeDocument/2006/relationships/hyperlink" Target="https://www.themeateater.com/wired-to-hunt/whitetail-hunting/rut-fresh-report-11-10-2022" TargetMode="External"/><Relationship Id="rId1291" Type="http://schemas.openxmlformats.org/officeDocument/2006/relationships/hyperlink" Target="https://realtree.com/brow-tines-and-backstrap/2022-southeast-deer-hunting-forecast" TargetMode="External"/><Relationship Id="rId1292" Type="http://schemas.openxmlformats.org/officeDocument/2006/relationships/hyperlink" Target="https://www.wideopenspaces.com/when-does-deer-season-end-in-georgia/" TargetMode="External"/><Relationship Id="rId462" Type="http://schemas.openxmlformats.org/officeDocument/2006/relationships/hyperlink" Target="https://realtree.com/deer-hunting/articles/the-best-times-to-deer-hunt-in-2022" TargetMode="External"/><Relationship Id="rId1293" Type="http://schemas.openxmlformats.org/officeDocument/2006/relationships/hyperlink" Target="https://www.themeateater.com/wired-to-hunt/whitetail-management/how-to-age-a-whitetail-buck-on-the-hoof" TargetMode="External"/><Relationship Id="rId461" Type="http://schemas.openxmlformats.org/officeDocument/2006/relationships/hyperlink" Target="https://www.themeateater.com/wired-to-hunt/whitetail-hunting/the-debate-about-lunar-effects-on-whitetails" TargetMode="External"/><Relationship Id="rId1294" Type="http://schemas.openxmlformats.org/officeDocument/2006/relationships/hyperlink" Target="https://realtree.com/deer-hunting/articles/how-managing-for-older-bigger-bucks-helps-the-entire-deer-herd" TargetMode="External"/><Relationship Id="rId460" Type="http://schemas.openxmlformats.org/officeDocument/2006/relationships/hyperlink" Target="https://realtree.com/brow-tines-and-backstrap/why-buck-tarsal-is-the-deadliest-scent-in-the-deer-woods" TargetMode="External"/><Relationship Id="rId1295" Type="http://schemas.openxmlformats.org/officeDocument/2006/relationships/hyperlink" Target="https://www.themeateater.com/wired-to-hunt/whitetail-scouting/the-buck-that-never-shed-its-antlers" TargetMode="External"/><Relationship Id="rId1296" Type="http://schemas.openxmlformats.org/officeDocument/2006/relationships/hyperlink" Target="https://realtree.com/brow-tines-and-backstrap/why-bucks-shed-antlers-and-how-to-hunt-them" TargetMode="External"/><Relationship Id="rId466" Type="http://schemas.openxmlformats.org/officeDocument/2006/relationships/hyperlink" Target="https://www.themeateater.com/cook/recipes/texas-style-barbecue-venison-roast-recipe" TargetMode="External"/><Relationship Id="rId1297" Type="http://schemas.openxmlformats.org/officeDocument/2006/relationships/hyperlink" Target="https://www.wideopenspaces.com/deer-shed-antlers-pics/" TargetMode="External"/><Relationship Id="rId465" Type="http://schemas.openxmlformats.org/officeDocument/2006/relationships/hyperlink" Target="https://www.wideopenspaces.com/top-5-venison-marinades/" TargetMode="External"/><Relationship Id="rId1298" Type="http://schemas.openxmlformats.org/officeDocument/2006/relationships/hyperlink" Target="https://www.themeateater.com/wired-to-hunt/whitetail-scouting/fact-checker-can-you-identify-a-mature-buck-by-droppings" TargetMode="External"/><Relationship Id="rId464" Type="http://schemas.openxmlformats.org/officeDocument/2006/relationships/hyperlink" Target="https://realtree.com/timber-2-table-wild-game-recipes/bourbon-buttermilk-fried-deer-tenderloin" TargetMode="External"/><Relationship Id="rId1299" Type="http://schemas.openxmlformats.org/officeDocument/2006/relationships/hyperlink" Target="https://realtree.com/brow-tines-and-backstrap/everything-you-ever-wanted-to-know-about-deer-poop" TargetMode="External"/><Relationship Id="rId463" Type="http://schemas.openxmlformats.org/officeDocument/2006/relationships/hyperlink" Target="https://www.themeateater.com/cook/recipes/garlic-herb-venison-marinade-recipe" TargetMode="External"/><Relationship Id="rId459" Type="http://schemas.openxmlformats.org/officeDocument/2006/relationships/hyperlink" Target="https://www.themeateater.com/wired-to-hunt/whitetail-management/what-you-need-to-know-about-whitetail-buck-glands" TargetMode="External"/><Relationship Id="rId458" Type="http://schemas.openxmlformats.org/officeDocument/2006/relationships/hyperlink" Target="https://www.themeateater.com/watch/6252076018001/s2-e03-big-beautiful-bucks-colorado-mule-deer" TargetMode="External"/><Relationship Id="rId457" Type="http://schemas.openxmlformats.org/officeDocument/2006/relationships/hyperlink" Target="https://www.wideopenspaces.com/5-biggest-whitetail-bucks-ever-found-dead/" TargetMode="External"/><Relationship Id="rId456" Type="http://schemas.openxmlformats.org/officeDocument/2006/relationships/hyperlink" Target="https://realtree.com/deer-hunting/articles/heads-of-state-all-about-state-record-bucks" TargetMode="External"/><Relationship Id="rId1280" Type="http://schemas.openxmlformats.org/officeDocument/2006/relationships/hyperlink" Target="https://realtree.com/brow-tines-and-backstrap/how-long-should-deer-taxidermy-take" TargetMode="External"/><Relationship Id="rId1281" Type="http://schemas.openxmlformats.org/officeDocument/2006/relationships/hyperlink" Target="https://www.wideopenspaces.com/deer-taxidermy-options/" TargetMode="External"/><Relationship Id="rId451" Type="http://schemas.openxmlformats.org/officeDocument/2006/relationships/hyperlink" Target="https://www.wideopenspaces.com/whitetail-wednesday-how-much-do-people-pay-for-shoulder-mounts-in-your-area/" TargetMode="External"/><Relationship Id="rId1282" Type="http://schemas.openxmlformats.org/officeDocument/2006/relationships/hyperlink" Target="https://www.themeateater.com/wired-to-hunt/whitetail-hunting/where-to-shoot-a-deer" TargetMode="External"/><Relationship Id="rId450" Type="http://schemas.openxmlformats.org/officeDocument/2006/relationships/hyperlink" Target="https://realtree.com/brow-tines-and-backstrap/20-crazy-good-deer-mounts-from-the-nwtf-convention" TargetMode="External"/><Relationship Id="rId1283" Type="http://schemas.openxmlformats.org/officeDocument/2006/relationships/hyperlink" Target="https://realtree.com/deer-hunting/articles/the-best-shot-placement-on-deer" TargetMode="External"/><Relationship Id="rId1284" Type="http://schemas.openxmlformats.org/officeDocument/2006/relationships/hyperlink" Target="https://www.themeateater.com/hunt/whitetail-deer/photos-this-buck-might-crush-the-indiana-state-record" TargetMode="External"/><Relationship Id="rId1285" Type="http://schemas.openxmlformats.org/officeDocument/2006/relationships/hyperlink" Target="https://realtree.com/brow-tines-and-backstrap/how-indiana-became-the-best-big-buck-state-in-the-nation" TargetMode="External"/><Relationship Id="rId455" Type="http://schemas.openxmlformats.org/officeDocument/2006/relationships/hyperlink" Target="https://www.themeateater.com/hunt/whitetail-deer/this-might-be-the-new-world-record-whitetail" TargetMode="External"/><Relationship Id="rId1286" Type="http://schemas.openxmlformats.org/officeDocument/2006/relationships/hyperlink" Target="https://www.themeateater.com/wired-to-hunt/whitetail-management/you-wont-believe-how-far-this-buck-traveled" TargetMode="External"/><Relationship Id="rId454" Type="http://schemas.openxmlformats.org/officeDocument/2006/relationships/hyperlink" Target="https://www.wideopenspaces.com/the-importance-of-deer-scrapes/" TargetMode="External"/><Relationship Id="rId1287" Type="http://schemas.openxmlformats.org/officeDocument/2006/relationships/hyperlink" Target="https://realtree.com/deer-hunting/articles/10-things-you-didn-t-know-about-velvet-bucks" TargetMode="External"/><Relationship Id="rId453" Type="http://schemas.openxmlformats.org/officeDocument/2006/relationships/hyperlink" Target="https://realtree.com/brow-tines-and-backstrap/what-to-know-about-scrapes" TargetMode="External"/><Relationship Id="rId1288" Type="http://schemas.openxmlformats.org/officeDocument/2006/relationships/hyperlink" Target="https://www.themeateater.com/shows/meateater" TargetMode="External"/><Relationship Id="rId452" Type="http://schemas.openxmlformats.org/officeDocument/2006/relationships/hyperlink" Target="https://www.themeateater.com/wired-to-hunt/whitetail-hunting/how-to-kill-a-buck-hunting-scrapes" TargetMode="External"/><Relationship Id="rId1289" Type="http://schemas.openxmlformats.org/officeDocument/2006/relationships/hyperlink" Target="https://realtree.com/deer-hunting/articles/the-best-times-to-deer-hunt-in-2022" TargetMode="External"/><Relationship Id="rId491" Type="http://schemas.openxmlformats.org/officeDocument/2006/relationships/hyperlink" Target="https://www.themeateater.com/wired-to-hunt/whitetail-hunting-gear/how-to-buy-your-first-deer-hunting-bow" TargetMode="External"/><Relationship Id="rId490" Type="http://schemas.openxmlformats.org/officeDocument/2006/relationships/hyperlink" Target="https://www.wideopenspaces.com/best-deer-hunting-rifles/" TargetMode="External"/><Relationship Id="rId489" Type="http://schemas.openxmlformats.org/officeDocument/2006/relationships/hyperlink" Target="https://realtree.com/brow-tines-and-backstrap/5-factors-to-consider-when-buying-a-deer-hunting-rifle" TargetMode="External"/><Relationship Id="rId484" Type="http://schemas.openxmlformats.org/officeDocument/2006/relationships/hyperlink" Target="https://www.wideopenspaces.com/how-to-do-a-european-mount-in-4-easy-steps/" TargetMode="External"/><Relationship Id="rId483" Type="http://schemas.openxmlformats.org/officeDocument/2006/relationships/hyperlink" Target="https://realtree.com/brow-tines-and-backstrap/7-different-deer-taxidermy-options-and-their-costs" TargetMode="External"/><Relationship Id="rId482" Type="http://schemas.openxmlformats.org/officeDocument/2006/relationships/hyperlink" Target="https://www.themeateater.com/hunt/general/ask-meateater-how-do-you-make-a-skull-mount" TargetMode="External"/><Relationship Id="rId481" Type="http://schemas.openxmlformats.org/officeDocument/2006/relationships/hyperlink" Target="https://www.themeateater.com/wired-to-hunt/whitetail-hunting/how-to-call-in-bucks-during-each-phase-of-the-season" TargetMode="External"/><Relationship Id="rId488" Type="http://schemas.openxmlformats.org/officeDocument/2006/relationships/hyperlink" Target="https://www.themeateater.com/hunt/firearm-hunting/5-best-rifles-for-new-hunters" TargetMode="External"/><Relationship Id="rId487" Type="http://schemas.openxmlformats.org/officeDocument/2006/relationships/hyperlink" Target="https://www.wideopenspaces.com/whitetailwednesday-25-unique-ideas-for-your-next-whitetail-mount/" TargetMode="External"/><Relationship Id="rId486" Type="http://schemas.openxmlformats.org/officeDocument/2006/relationships/hyperlink" Target="https://realtree.com/brow-tines-and-backstrap/20-crazy-good-deer-mounts-from-the-nwtf-convention" TargetMode="External"/><Relationship Id="rId485" Type="http://schemas.openxmlformats.org/officeDocument/2006/relationships/hyperlink" Target="https://www.themeateater.com/hunt/whitetail-deer/fact-checker-do-outdoor-stores-pay-big-money-for-big-mounts" TargetMode="External"/><Relationship Id="rId480" Type="http://schemas.openxmlformats.org/officeDocument/2006/relationships/hyperlink" Target="https://www.wideopenspaces.com/venison-summer-sausage-recipe/" TargetMode="External"/><Relationship Id="rId479" Type="http://schemas.openxmlformats.org/officeDocument/2006/relationships/hyperlink" Target="https://realtree.com/timber-2-table-articles/jalape-o-pepper-jack-venison-summer-sausage-part-2" TargetMode="External"/><Relationship Id="rId478" Type="http://schemas.openxmlformats.org/officeDocument/2006/relationships/hyperlink" Target="https://www.themeateater.com/cook/recipes/summer-sausage-recipe" TargetMode="External"/><Relationship Id="rId473" Type="http://schemas.openxmlformats.org/officeDocument/2006/relationships/hyperlink" Target="https://realtree.com/brow-tines-and-backstrap/8-bedding-habits-of-mature-deer" TargetMode="External"/><Relationship Id="rId472" Type="http://schemas.openxmlformats.org/officeDocument/2006/relationships/hyperlink" Target="https://www.themeateater.com/wired-to-hunt/whitetail-scouting/where-do-deer-sleep" TargetMode="External"/><Relationship Id="rId471" Type="http://schemas.openxmlformats.org/officeDocument/2006/relationships/hyperlink" Target="https://www.wideopenspaces.com/5-biggest-whitetail-bucks-ever-found-dead/" TargetMode="External"/><Relationship Id="rId470" Type="http://schemas.openxmlformats.org/officeDocument/2006/relationships/hyperlink" Target="https://realtree.com/deer-hunting/articles/heads-of-state-all-about-state-record-bucks" TargetMode="External"/><Relationship Id="rId477" Type="http://schemas.openxmlformats.org/officeDocument/2006/relationships/hyperlink" Target="https://www.wideopenspaces.com/how-to-find-and-aim-for-deer-vitals/" TargetMode="External"/><Relationship Id="rId476" Type="http://schemas.openxmlformats.org/officeDocument/2006/relationships/hyperlink" Target="https://realtree.com/deer-hunting/articles/the-best-shot-placement-on-deer" TargetMode="External"/><Relationship Id="rId475" Type="http://schemas.openxmlformats.org/officeDocument/2006/relationships/hyperlink" Target="https://www.themeateater.com/wired-to-hunt/whitetail-hunting/where-to-shoot-a-deer" TargetMode="External"/><Relationship Id="rId474" Type="http://schemas.openxmlformats.org/officeDocument/2006/relationships/hyperlink" Target="https://www.wideopenspaces.com/where-do-deer-sleep/" TargetMode="External"/><Relationship Id="rId1257" Type="http://schemas.openxmlformats.org/officeDocument/2006/relationships/hyperlink" Target="https://www.wideopenspaces.com/deer-sounds-making-sense-of-the-sounds-of-the-deer-woods/" TargetMode="External"/><Relationship Id="rId1258" Type="http://schemas.openxmlformats.org/officeDocument/2006/relationships/hyperlink" Target="https://www.themeateater.com/hunt/mule-deer/is-this-the-new-texas-state-record-mule-deer" TargetMode="External"/><Relationship Id="rId1259" Type="http://schemas.openxmlformats.org/officeDocument/2006/relationships/hyperlink" Target="https://realtree.com/deer-hunting/articles/heads-of-state-all-about-state-record-bucks" TargetMode="External"/><Relationship Id="rId426" Type="http://schemas.openxmlformats.org/officeDocument/2006/relationships/hyperlink" Target="https://www.themeateater.com/shows/meateater/season-9/south-texas-nilgai" TargetMode="External"/><Relationship Id="rId425" Type="http://schemas.openxmlformats.org/officeDocument/2006/relationships/hyperlink" Target="https://realtree.com/deer-hunting/articles/the-best-shot-placement-on-deer" TargetMode="External"/><Relationship Id="rId424" Type="http://schemas.openxmlformats.org/officeDocument/2006/relationships/hyperlink" Target="https://www.themeateater.com/wired-to-hunt/whitetail-hunting/where-to-shoot-a-deer" TargetMode="External"/><Relationship Id="rId423" Type="http://schemas.openxmlformats.org/officeDocument/2006/relationships/hyperlink" Target="https://www.wideopenspaces.com/best-deer-hunting-caliber-for-women/" TargetMode="External"/><Relationship Id="rId429" Type="http://schemas.openxmlformats.org/officeDocument/2006/relationships/hyperlink" Target="https://www.themeateater.com/watch/6175620095001/how-to-field-dress-a-deer-with-steven-rinella" TargetMode="External"/><Relationship Id="rId428" Type="http://schemas.openxmlformats.org/officeDocument/2006/relationships/hyperlink" Target="https://www.themeateater.com/hunt/firearm-hunting/5-gun-accessories-every-deer-hunter-should-own" TargetMode="External"/><Relationship Id="rId427" Type="http://schemas.openxmlformats.org/officeDocument/2006/relationships/hyperlink" Target="https://www.wideopenspaces.com/nilgai-species-profile-hunting-the-blue-bull/" TargetMode="External"/><Relationship Id="rId1250" Type="http://schemas.openxmlformats.org/officeDocument/2006/relationships/hyperlink" Target="https://www.themeateater.com/wired-to-hunt/whitetail-scouting/how-to-set-up-a-ground-blind-that-wont-spook-deer" TargetMode="External"/><Relationship Id="rId1251" Type="http://schemas.openxmlformats.org/officeDocument/2006/relationships/hyperlink" Target="https://realtree.com/all/articles/staying-grounded" TargetMode="External"/><Relationship Id="rId1252" Type="http://schemas.openxmlformats.org/officeDocument/2006/relationships/hyperlink" Target="https://www.themeateater.com/wired-to-hunt/whitetail-management/how-to-plant-a-food-plot-on-a-budget" TargetMode="External"/><Relationship Id="rId422" Type="http://schemas.openxmlformats.org/officeDocument/2006/relationships/hyperlink" Target="https://realtree.com/deer-hunting/articles/the-5-best-bullet-styles-for-deer-hunting" TargetMode="External"/><Relationship Id="rId1253" Type="http://schemas.openxmlformats.org/officeDocument/2006/relationships/hyperlink" Target="https://realtree.com/brow-tines-and-backstrap/micro-food-plots-for-bow-season" TargetMode="External"/><Relationship Id="rId421" Type="http://schemas.openxmlformats.org/officeDocument/2006/relationships/hyperlink" Target="https://www.themeateater.com/wired-to-hunt/whitetail-hunting-gear/5-best-whitetail-cartridges" TargetMode="External"/><Relationship Id="rId1254" Type="http://schemas.openxmlformats.org/officeDocument/2006/relationships/hyperlink" Target="https://www.themeateater.com/wired-to-hunt/whitetail-scouting/what-you-need-to-know-about-deer-tracks" TargetMode="External"/><Relationship Id="rId420" Type="http://schemas.openxmlformats.org/officeDocument/2006/relationships/hyperlink" Target="https://www.wideopenspaces.com/venison-jerky-recipe/" TargetMode="External"/><Relationship Id="rId1255" Type="http://schemas.openxmlformats.org/officeDocument/2006/relationships/hyperlink" Target="https://www.wideopenspaces.com/deer-hooves-what-theyre-made-from-and-indicators-of-health/" TargetMode="External"/><Relationship Id="rId1256" Type="http://schemas.openxmlformats.org/officeDocument/2006/relationships/hyperlink" Target="https://www.themeateater.com/wired-to-hunt/whitetail-hunting/how-well-do-deer-hear" TargetMode="External"/><Relationship Id="rId1246" Type="http://schemas.openxmlformats.org/officeDocument/2006/relationships/hyperlink" Target="https://realtree.com/brow-tines-and-backstrap/everything-you-ever-wanted-to-know-about-deer-poop" TargetMode="External"/><Relationship Id="rId1247" Type="http://schemas.openxmlformats.org/officeDocument/2006/relationships/hyperlink" Target="https://www.wideopenspaces.com/deer-poop-identification/" TargetMode="External"/><Relationship Id="rId1248" Type="http://schemas.openxmlformats.org/officeDocument/2006/relationships/hyperlink" Target="https://www.themeateater.com/conservation/wildlife-management/video-game-warden-shoots-familys-pet-deer" TargetMode="External"/><Relationship Id="rId1249" Type="http://schemas.openxmlformats.org/officeDocument/2006/relationships/hyperlink" Target="https://www.wideopenspaces.com/deer-as-pets/" TargetMode="External"/><Relationship Id="rId415" Type="http://schemas.openxmlformats.org/officeDocument/2006/relationships/hyperlink" Target="https://www.themeateater.com/watch/6175573953001/meateater-s-seared-venison-heart-with-whiskey-butter" TargetMode="External"/><Relationship Id="rId899" Type="http://schemas.openxmlformats.org/officeDocument/2006/relationships/hyperlink" Target="https://www.wideopenspaces.com/venison-backstrap-recipes/" TargetMode="External"/><Relationship Id="rId414" Type="http://schemas.openxmlformats.org/officeDocument/2006/relationships/hyperlink" Target="https://www.wideopenspaces.com/deer-hunting-blind-spacious/" TargetMode="External"/><Relationship Id="rId898" Type="http://schemas.openxmlformats.org/officeDocument/2006/relationships/hyperlink" Target="https://realtree.com/timber-2-table-wild-game-recipes/reverse-seared-smoked-venison-backstrap" TargetMode="External"/><Relationship Id="rId413" Type="http://schemas.openxmlformats.org/officeDocument/2006/relationships/hyperlink" Target="https://realtree.com/brow-tines-and-backstrap/how-to-build-a-shooting-house-on-a-budget" TargetMode="External"/><Relationship Id="rId897" Type="http://schemas.openxmlformats.org/officeDocument/2006/relationships/hyperlink" Target="https://www.themeateater.com/recipes/cuts/backstrap" TargetMode="External"/><Relationship Id="rId412" Type="http://schemas.openxmlformats.org/officeDocument/2006/relationships/hyperlink" Target="https://www.themeateater.com/hunt/whitetail-deer/photos-how-to-build-a-deer-blind-from-pallets" TargetMode="External"/><Relationship Id="rId896" Type="http://schemas.openxmlformats.org/officeDocument/2006/relationships/hyperlink" Target="https://www.themeateater.com/wired-to-hunt/whitetail-hunting/should-you-deer-hunt-in-the-rain" TargetMode="External"/><Relationship Id="rId419" Type="http://schemas.openxmlformats.org/officeDocument/2006/relationships/hyperlink" Target="https://realtree.com/timber-2-table-wild-game-recipes/magic-chef-realtree-venison-jerky-recipe" TargetMode="External"/><Relationship Id="rId418" Type="http://schemas.openxmlformats.org/officeDocument/2006/relationships/hyperlink" Target="https://www.themeateater.com/watch/6278033203001/how-to-make-venison-jerky-with-kevin-gillespie" TargetMode="External"/><Relationship Id="rId417" Type="http://schemas.openxmlformats.org/officeDocument/2006/relationships/hyperlink" Target="https://www.themeateater.com/wired-to-hunt/whitetail-scouting/how-to-identify-a-big-buck-track-in-snow" TargetMode="External"/><Relationship Id="rId416" Type="http://schemas.openxmlformats.org/officeDocument/2006/relationships/hyperlink" Target="https://realtree.com/timber-2-table-wild-game-recipes/pan-fried-venison-heart-with-black-pepper-buttermilk-gravy" TargetMode="External"/><Relationship Id="rId891" Type="http://schemas.openxmlformats.org/officeDocument/2006/relationships/hyperlink" Target="https://realtree.com/brow-tines-and-backstrap/how-long-should-deer-taxidermy-take" TargetMode="External"/><Relationship Id="rId890" Type="http://schemas.openxmlformats.org/officeDocument/2006/relationships/hyperlink" Target="https://www.themeateater.com/hunt/whitetail-deer/fact-checker-do-outdoor-stores-pay-big-money-for-big-mounts" TargetMode="External"/><Relationship Id="rId1240" Type="http://schemas.openxmlformats.org/officeDocument/2006/relationships/hyperlink" Target="https://www.wideopenspaces.com/this-13-foot-1100-pound-alligator-needs-a-whole-wall-for-the-mount/" TargetMode="External"/><Relationship Id="rId1241" Type="http://schemas.openxmlformats.org/officeDocument/2006/relationships/hyperlink" Target="https://www.themeateater.com/hunt/black-bear/a-guide-to-hunting-black-bear" TargetMode="External"/><Relationship Id="rId411" Type="http://schemas.openxmlformats.org/officeDocument/2006/relationships/hyperlink" Target="https://www.wideopenspaces.com/deer-shed-antlers-pics/" TargetMode="External"/><Relationship Id="rId895" Type="http://schemas.openxmlformats.org/officeDocument/2006/relationships/hyperlink" Target="https://www.themeateater.com/conservation/wildlife-management/why-do-female-deer-sometimes-grow-antlers" TargetMode="External"/><Relationship Id="rId1242" Type="http://schemas.openxmlformats.org/officeDocument/2006/relationships/hyperlink" Target="https://www.themeateater.com/gear/gear-hunt/hunting-slug-guns" TargetMode="External"/><Relationship Id="rId410" Type="http://schemas.openxmlformats.org/officeDocument/2006/relationships/hyperlink" Target="https://realtree.com/brow-tines-and-backstrap/why-bucks-shed-antlers-and-how-to-hunt-them" TargetMode="External"/><Relationship Id="rId894" Type="http://schemas.openxmlformats.org/officeDocument/2006/relationships/hyperlink" Target="https://realtree.com/brow-tines-and-backstrap/where-do-the-little-bucks-go" TargetMode="External"/><Relationship Id="rId1243" Type="http://schemas.openxmlformats.org/officeDocument/2006/relationships/hyperlink" Target="https://realtree.com/deer-hunting/articles/deer-hunting-with-a-slug-gun" TargetMode="External"/><Relationship Id="rId893" Type="http://schemas.openxmlformats.org/officeDocument/2006/relationships/hyperlink" Target="https://www.themeateater.com/hunt/big-game/ask-meateater-whats-wrong-with-shooting-young-bucks" TargetMode="External"/><Relationship Id="rId1244" Type="http://schemas.openxmlformats.org/officeDocument/2006/relationships/hyperlink" Target="https://www.wideopenspaces.com/the-legalities-trends-and-efficacy-of-deer-hunting-with-shotguns/" TargetMode="External"/><Relationship Id="rId892" Type="http://schemas.openxmlformats.org/officeDocument/2006/relationships/hyperlink" Target="https://www.wideopenspaces.com/deer-taxidermy-options/" TargetMode="External"/><Relationship Id="rId1245" Type="http://schemas.openxmlformats.org/officeDocument/2006/relationships/hyperlink" Target="https://www.themeateater.com/wired-to-hunt/whitetail-scouting/fact-checker-can-you-identify-a-mature-buck-by-droppings" TargetMode="External"/><Relationship Id="rId1279" Type="http://schemas.openxmlformats.org/officeDocument/2006/relationships/hyperlink" Target="https://www.themeateater.com/hunt/big-game/what-to-do-when-you-plan-on-getting-a-deer-mounted" TargetMode="External"/><Relationship Id="rId448" Type="http://schemas.openxmlformats.org/officeDocument/2006/relationships/hyperlink" Target="https://www.wideopenspaces.com/7-steps-tanning-deer-hide-easier-think/" TargetMode="External"/><Relationship Id="rId447" Type="http://schemas.openxmlformats.org/officeDocument/2006/relationships/hyperlink" Target="https://www.themeateater.com/cook/butchering-and-processing/how-to-tan-a-deer-hide" TargetMode="External"/><Relationship Id="rId446" Type="http://schemas.openxmlformats.org/officeDocument/2006/relationships/hyperlink" Target="https://www.themeateater.com/wired-to-hunt/whitetail-hunting/how-to-call-in-bucks-during-each-phase-of-the-season" TargetMode="External"/><Relationship Id="rId445" Type="http://schemas.openxmlformats.org/officeDocument/2006/relationships/hyperlink" Target="https://realtree.com/deer-hunting/articles/8-major-differences-between-whitetails-and-mule-deer" TargetMode="External"/><Relationship Id="rId449" Type="http://schemas.openxmlformats.org/officeDocument/2006/relationships/hyperlink" Target="https://www.themeateater.com/hunt/big-game/what-to-do-when-you-plan-on-getting-a-deer-mounted" TargetMode="External"/><Relationship Id="rId1270" Type="http://schemas.openxmlformats.org/officeDocument/2006/relationships/hyperlink" Target="https://www.wideopenspaces.com/canned-venison-how-to-preserve-your-wild-game-meat-the-old-fashioned-way/" TargetMode="External"/><Relationship Id="rId440" Type="http://schemas.openxmlformats.org/officeDocument/2006/relationships/hyperlink" Target="https://www.themeateater.com/cook/cooking-techniques/5-venison-cuts-you-need-to-know" TargetMode="External"/><Relationship Id="rId1271" Type="http://schemas.openxmlformats.org/officeDocument/2006/relationships/hyperlink" Target="https://www.themeateater.com/shows/meateater" TargetMode="External"/><Relationship Id="rId1272" Type="http://schemas.openxmlformats.org/officeDocument/2006/relationships/hyperlink" Target="https://www.wideopenspaces.com/when-does-deer-season-end-in-texas/" TargetMode="External"/><Relationship Id="rId1273" Type="http://schemas.openxmlformats.org/officeDocument/2006/relationships/hyperlink" Target="https://www.themeateater.com/recipes/cuts/backstrap" TargetMode="External"/><Relationship Id="rId1274" Type="http://schemas.openxmlformats.org/officeDocument/2006/relationships/hyperlink" Target="https://realtree.com/timber-2-table-wild-game-recipes/deer-camp-deep-fried-backstrap-recipe" TargetMode="External"/><Relationship Id="rId444" Type="http://schemas.openxmlformats.org/officeDocument/2006/relationships/hyperlink" Target="https://www.themeateater.com/wired-to-hunt/whitetail-management/whitetails-and-mulies-a-comparison" TargetMode="External"/><Relationship Id="rId1275" Type="http://schemas.openxmlformats.org/officeDocument/2006/relationships/hyperlink" Target="https://www.wideopenspaces.com/mouthwatering-stuffed-venison-backstrap/" TargetMode="External"/><Relationship Id="rId443" Type="http://schemas.openxmlformats.org/officeDocument/2006/relationships/hyperlink" Target="https://realtree.com/big-game-hunting/articles/plan-your-public-mule-deer-hunt-now" TargetMode="External"/><Relationship Id="rId1276" Type="http://schemas.openxmlformats.org/officeDocument/2006/relationships/hyperlink" Target="https://www.themeateater.com/conservation/wildlife-management/does-hunting-make-animals-evolve-smaller-antlers-and-horns" TargetMode="External"/><Relationship Id="rId442" Type="http://schemas.openxmlformats.org/officeDocument/2006/relationships/hyperlink" Target="https://www.themeateater.com/hunt/big-game/ask-meateater-where-should-i-go-on-my-first-mule-deer-hunt" TargetMode="External"/><Relationship Id="rId1277" Type="http://schemas.openxmlformats.org/officeDocument/2006/relationships/hyperlink" Target="https://www.themeateater.com/shows/meateater/season-1/into-the-clouds-sitka-blacktail-deer" TargetMode="External"/><Relationship Id="rId441" Type="http://schemas.openxmlformats.org/officeDocument/2006/relationships/hyperlink" Target="https://realtree.com/deer-hunting/articles/12-reasons-why-your-venison-tastes-like-hell" TargetMode="External"/><Relationship Id="rId1278" Type="http://schemas.openxmlformats.org/officeDocument/2006/relationships/hyperlink" Target="https://realtree.com/all/articles/the-sitka-adventure" TargetMode="External"/><Relationship Id="rId1268" Type="http://schemas.openxmlformats.org/officeDocument/2006/relationships/hyperlink" Target="https://www.themeateater.com/cook/butchering-and-processing/how-much-fat-should-you-add-to-ground-venison" TargetMode="External"/><Relationship Id="rId1269" Type="http://schemas.openxmlformats.org/officeDocument/2006/relationships/hyperlink" Target="https://realtree.com/deer-hunting/articles/how-to-can-deer-meat" TargetMode="External"/><Relationship Id="rId437" Type="http://schemas.openxmlformats.org/officeDocument/2006/relationships/hyperlink" Target="https://www.wideopenspaces.com/biggest-mule-deer-kills-pics/" TargetMode="External"/><Relationship Id="rId436" Type="http://schemas.openxmlformats.org/officeDocument/2006/relationships/hyperlink" Target="https://realtree.com/big-game-hunting/articles/5-things-to-know-about-big-mule-deer" TargetMode="External"/><Relationship Id="rId435" Type="http://schemas.openxmlformats.org/officeDocument/2006/relationships/hyperlink" Target="https://www.themeateater.com/watch/6222000778001/s4-e12-big-buck-dreams-mule-deer-special" TargetMode="External"/><Relationship Id="rId434" Type="http://schemas.openxmlformats.org/officeDocument/2006/relationships/hyperlink" Target="https://www.wideopenspaces.com/deer-vision-the-science/" TargetMode="External"/><Relationship Id="rId439" Type="http://schemas.openxmlformats.org/officeDocument/2006/relationships/hyperlink" Target="https://realtree.com/deer-hunting/articles/the-best-times-to-deer-hunt-in-2022" TargetMode="External"/><Relationship Id="rId438" Type="http://schemas.openxmlformats.org/officeDocument/2006/relationships/hyperlink" Target="https://www.themeateater.com/wired-to-hunt/whitetail-hunting/rut-fresh-report-10-27-2022" TargetMode="External"/><Relationship Id="rId1260" Type="http://schemas.openxmlformats.org/officeDocument/2006/relationships/hyperlink" Target="https://www.wideopenspaces.com/5-biggest-whitetail-bucks-ever-found-dead/" TargetMode="External"/><Relationship Id="rId1261" Type="http://schemas.openxmlformats.org/officeDocument/2006/relationships/hyperlink" Target="https://www.themeateater.com/cook/recipes/smoked-venison-jerky-recipe" TargetMode="External"/><Relationship Id="rId1262" Type="http://schemas.openxmlformats.org/officeDocument/2006/relationships/hyperlink" Target="https://realtree.com/timber-2-table-wild-game-recipes/magic-chef-realtree-venison-jerky-recipe" TargetMode="External"/><Relationship Id="rId1263" Type="http://schemas.openxmlformats.org/officeDocument/2006/relationships/hyperlink" Target="https://www.wideopenspaces.com/venison-jerky-recipes/" TargetMode="External"/><Relationship Id="rId433" Type="http://schemas.openxmlformats.org/officeDocument/2006/relationships/hyperlink" Target="https://realtree.com/deer-hunting/articles/busted-5-things-you-don-t-know-about-deer-senses" TargetMode="External"/><Relationship Id="rId1264" Type="http://schemas.openxmlformats.org/officeDocument/2006/relationships/hyperlink" Target="https://www.themeateater.com/cook/butchering-and-processing/how-much-fat-should-you-add-to-ground-venison" TargetMode="External"/><Relationship Id="rId432" Type="http://schemas.openxmlformats.org/officeDocument/2006/relationships/hyperlink" Target="https://www.themeateater.com/wired-to-hunt/whitetail-hunting/deer-vision-how-whitetails-see-color-light-and-movement" TargetMode="External"/><Relationship Id="rId1265" Type="http://schemas.openxmlformats.org/officeDocument/2006/relationships/hyperlink" Target="https://realtree.com/deer-hunting/articles/12-reasons-why-your-venison-tastes-like-hell" TargetMode="External"/><Relationship Id="rId431" Type="http://schemas.openxmlformats.org/officeDocument/2006/relationships/hyperlink" Target="https://www.wideopenspaces.com/how-to-clean-a-deer-skull/" TargetMode="External"/><Relationship Id="rId1266" Type="http://schemas.openxmlformats.org/officeDocument/2006/relationships/hyperlink" Target="https://www.themeateater.com/wired-to-hunt/whitetail-hunting/how-to-train-your-dog-to-blood-trail-deer" TargetMode="External"/><Relationship Id="rId430" Type="http://schemas.openxmlformats.org/officeDocument/2006/relationships/hyperlink" Target="https://realtree.com/deer-hunting/articles/7-serious-field-dressing-mistakes" TargetMode="External"/><Relationship Id="rId1267" Type="http://schemas.openxmlformats.org/officeDocument/2006/relationships/hyperlink" Target="https://realtree.com/deer-hunting/articles/5-traits-of-a-good-blood-trailing-deer-d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4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16.38"/>
    <col customWidth="1" min="3" max="3" width="18.63"/>
    <col customWidth="1" min="4" max="4" width="13.88"/>
    <col customWidth="1" min="5" max="5" width="23.88"/>
    <col customWidth="1" min="6" max="6" width="21.5"/>
    <col customWidth="1" min="7" max="7" width="18.0"/>
    <col customWidth="1" min="8" max="8" width="26.38"/>
  </cols>
  <sheetData>
    <row r="1">
      <c r="A1" s="5" t="s">
        <v>11</v>
      </c>
      <c r="B1" s="6" t="s">
        <v>12</v>
      </c>
      <c r="C1" s="7"/>
      <c r="D1" s="7"/>
      <c r="E1" s="7"/>
      <c r="F1" s="8"/>
      <c r="G1" s="8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1"/>
      <c r="C2" s="12" t="s">
        <v>14</v>
      </c>
      <c r="D2" s="11"/>
      <c r="E2" s="11"/>
      <c r="F2" s="11"/>
      <c r="G2" s="11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 t="str">
        <f>IFERROR(__xludf.DUMMYFUNCTION("QUERY('All deer keywords'!A:H, ""SELECT * WHERE A CONTAINS '""&amp;B1&amp;""'"",1)"),"Keyword")</f>
        <v>Keyword</v>
      </c>
      <c r="B3" s="15" t="str">
        <f>IFERROR(__xludf.DUMMYFUNCTION("""COMPUTED_VALUE"""),"Search Volume")</f>
        <v>Search Volume</v>
      </c>
      <c r="C3" s="15" t="str">
        <f>IFERROR(__xludf.DUMMYFUNCTION("""COMPUTED_VALUE"""),"The Meat Eater")</f>
        <v>The Meat Eater</v>
      </c>
      <c r="D3" s="15" t="str">
        <f>IFERROR(__xludf.DUMMYFUNCTION("""COMPUTED_VALUE"""),"Realtree")</f>
        <v>Realtree</v>
      </c>
      <c r="E3" s="15" t="str">
        <f>IFERROR(__xludf.DUMMYFUNCTION("""COMPUTED_VALUE"""),"Wide Open Spaces")</f>
        <v>Wide Open Spaces</v>
      </c>
      <c r="F3" s="16" t="str">
        <f>IFERROR(__xludf.DUMMYFUNCTION("""COMPUTED_VALUE"""),"The Meat Eater")</f>
        <v>The Meat Eater</v>
      </c>
      <c r="G3" s="16" t="str">
        <f>IFERROR(__xludf.DUMMYFUNCTION("""COMPUTED_VALUE"""),"Realtree")</f>
        <v>Realtree</v>
      </c>
      <c r="H3" s="16" t="str">
        <f>IFERROR(__xludf.DUMMYFUNCTION("""COMPUTED_VALUE"""),"Wide Open Spaces")</f>
        <v>Wide Open Spaces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 t="str">
        <f>IFERROR(__xludf.DUMMYFUNCTION("""COMPUTED_VALUE"""),"how to gut a deer")</f>
        <v>how to gut a deer</v>
      </c>
      <c r="B4" s="15" t="str">
        <f>IFERROR(__xludf.DUMMYFUNCTION("""COMPUTED_VALUE"""),"2900")</f>
        <v>2900</v>
      </c>
      <c r="C4" s="15" t="str">
        <f>IFERROR(__xludf.DUMMYFUNCTION("""COMPUTED_VALUE"""),"1")</f>
        <v>1</v>
      </c>
      <c r="D4" s="15" t="str">
        <f>IFERROR(__xludf.DUMMYFUNCTION("""COMPUTED_VALUE"""),"4")</f>
        <v>4</v>
      </c>
      <c r="E4" s="15" t="str">
        <f>IFERROR(__xludf.DUMMYFUNCTION("""COMPUTED_VALUE"""),"61")</f>
        <v>61</v>
      </c>
      <c r="F4" s="17" t="str">
        <f>IFERROR(__xludf.DUMMYFUNCTION("""COMPUTED_VALUE"""),"https://www.themeateater.com/hunt/whitetail-deer/how-to-gut-a-deer")</f>
        <v>https://www.themeateater.com/hunt/whitetail-deer/how-to-gut-a-deer</v>
      </c>
      <c r="G4" s="17" t="str">
        <f>IFERROR(__xludf.DUMMYFUNCTION("""COMPUTED_VALUE"""),"https://realtree.com/timber-2-table-wild-game-recipes/how-to-gut-a-deer-in-6-steps")</f>
        <v>https://realtree.com/timber-2-table-wild-game-recipes/how-to-gut-a-deer-in-6-steps</v>
      </c>
      <c r="H4" s="17" t="str">
        <f>IFERROR(__xludf.DUMMYFUNCTION("""COMPUTED_VALUE"""),"https://www.wideopenspaces.com/salvage-gut-shot-deer/")</f>
        <v>https://www.wideopenspaces.com/salvage-gut-shot-deer/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tr">
        <f>IFERROR(__xludf.DUMMYFUNCTION("""COMPUTED_VALUE"""),"how to tan a deer hide")</f>
        <v>how to tan a deer hide</v>
      </c>
      <c r="B5" s="15" t="str">
        <f>IFERROR(__xludf.DUMMYFUNCTION("""COMPUTED_VALUE"""),"1600")</f>
        <v>1600</v>
      </c>
      <c r="C5" s="15" t="str">
        <f>IFERROR(__xludf.DUMMYFUNCTION("""COMPUTED_VALUE"""),"1")</f>
        <v>1</v>
      </c>
      <c r="D5" s="15" t="str">
        <f>IFERROR(__xludf.DUMMYFUNCTION("""COMPUTED_VALUE"""),"Not ranking")</f>
        <v>Not ranking</v>
      </c>
      <c r="E5" s="15" t="str">
        <f>IFERROR(__xludf.DUMMYFUNCTION("""COMPUTED_VALUE"""),"9")</f>
        <v>9</v>
      </c>
      <c r="F5" s="17" t="str">
        <f>IFERROR(__xludf.DUMMYFUNCTION("""COMPUTED_VALUE"""),"https://www.themeateater.com/cook/butchering-and-processing/how-to-tan-a-deer-hide")</f>
        <v>https://www.themeateater.com/cook/butchering-and-processing/how-to-tan-a-deer-hide</v>
      </c>
      <c r="G5" s="18" t="str">
        <f>IFERROR(__xludf.DUMMYFUNCTION("""COMPUTED_VALUE"""),"Not ranking")</f>
        <v>Not ranking</v>
      </c>
      <c r="H5" s="17" t="str">
        <f>IFERROR(__xludf.DUMMYFUNCTION("""COMPUTED_VALUE"""),"https://www.wideopenspaces.com/7-steps-tanning-deer-hide-easier-think/")</f>
        <v>https://www.wideopenspaces.com/7-steps-tanning-deer-hide-easier-think/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tr">
        <f>IFERROR(__xludf.DUMMYFUNCTION("""COMPUTED_VALUE"""),"deer hunt 223")</f>
        <v>deer hunt 223</v>
      </c>
      <c r="B6" s="15" t="str">
        <f>IFERROR(__xludf.DUMMYFUNCTION("""COMPUTED_VALUE"""),"1300")</f>
        <v>1300</v>
      </c>
      <c r="C6" s="15" t="str">
        <f>IFERROR(__xludf.DUMMYFUNCTION("""COMPUTED_VALUE"""),"1")</f>
        <v>1</v>
      </c>
      <c r="D6" s="15" t="str">
        <f>IFERROR(__xludf.DUMMYFUNCTION("""COMPUTED_VALUE"""),"Not ranking")</f>
        <v>Not ranking</v>
      </c>
      <c r="E6" s="15" t="str">
        <f>IFERROR(__xludf.DUMMYFUNCTION("""COMPUTED_VALUE"""),"Not ranking")</f>
        <v>Not ranking</v>
      </c>
      <c r="F6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6" s="18" t="str">
        <f>IFERROR(__xludf.DUMMYFUNCTION("""COMPUTED_VALUE"""),"Not ranking")</f>
        <v>Not ranking</v>
      </c>
      <c r="H6" s="18" t="str">
        <f>IFERROR(__xludf.DUMMYFUNCTION("""COMPUTED_VALUE"""),"Not ranking")</f>
        <v>Not ranking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tr">
        <f>IFERROR(__xludf.DUMMYFUNCTION("""COMPUTED_VALUE"""),"whitetail deer hunting")</f>
        <v>whitetail deer hunting</v>
      </c>
      <c r="B7" s="15" t="str">
        <f>IFERROR(__xludf.DUMMYFUNCTION("""COMPUTED_VALUE"""),"1300")</f>
        <v>1300</v>
      </c>
      <c r="C7" s="15" t="str">
        <f>IFERROR(__xludf.DUMMYFUNCTION("""COMPUTED_VALUE"""),"1")</f>
        <v>1</v>
      </c>
      <c r="D7" s="15" t="str">
        <f>IFERROR(__xludf.DUMMYFUNCTION("""COMPUTED_VALUE"""),"66")</f>
        <v>66</v>
      </c>
      <c r="E7" s="15" t="str">
        <f>IFERROR(__xludf.DUMMYFUNCTION("""COMPUTED_VALUE"""),"Not ranking")</f>
        <v>Not ranking</v>
      </c>
      <c r="F7" s="17" t="str">
        <f>IFERROR(__xludf.DUMMYFUNCTION("""COMPUTED_VALUE"""),"https://www.themeateater.com/hunt/big-game/tips-and-trick-for-hunting-whitetail-deer")</f>
        <v>https://www.themeateater.com/hunt/big-game/tips-and-trick-for-hunting-whitetail-deer</v>
      </c>
      <c r="G7" s="17" t="str">
        <f>IFERROR(__xludf.DUMMYFUNCTION("""COMPUTED_VALUE"""),"https://realtree.com/deer-hunting")</f>
        <v>https://realtree.com/deer-hunting</v>
      </c>
      <c r="H7" s="18" t="str">
        <f>IFERROR(__xludf.DUMMYFUNCTION("""COMPUTED_VALUE"""),"Not ranking")</f>
        <v>Not ranking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tr">
        <f>IFERROR(__xludf.DUMMYFUNCTION("""COMPUTED_VALUE"""),"223 deer hunting")</f>
        <v>223 deer hunting</v>
      </c>
      <c r="B8" s="15" t="str">
        <f>IFERROR(__xludf.DUMMYFUNCTION("""COMPUTED_VALUE"""),"1000")</f>
        <v>1000</v>
      </c>
      <c r="C8" s="15" t="str">
        <f>IFERROR(__xludf.DUMMYFUNCTION("""COMPUTED_VALUE"""),"1")</f>
        <v>1</v>
      </c>
      <c r="D8" s="15" t="str">
        <f>IFERROR(__xludf.DUMMYFUNCTION("""COMPUTED_VALUE"""),"19")</f>
        <v>19</v>
      </c>
      <c r="E8" s="15" t="str">
        <f>IFERROR(__xludf.DUMMYFUNCTION("""COMPUTED_VALUE"""),"Not ranking")</f>
        <v>Not ranking</v>
      </c>
      <c r="F8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8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8" s="18" t="str">
        <f>IFERROR(__xludf.DUMMYFUNCTION("""COMPUTED_VALUE"""),"Not ranking")</f>
        <v>Not ranking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tr">
        <f>IFERROR(__xludf.DUMMYFUNCTION("""COMPUTED_VALUE"""),"hunt deer with 223")</f>
        <v>hunt deer with 223</v>
      </c>
      <c r="B9" s="15" t="str">
        <f>IFERROR(__xludf.DUMMYFUNCTION("""COMPUTED_VALUE"""),"1000")</f>
        <v>1000</v>
      </c>
      <c r="C9" s="15" t="str">
        <f>IFERROR(__xludf.DUMMYFUNCTION("""COMPUTED_VALUE"""),"1")</f>
        <v>1</v>
      </c>
      <c r="D9" s="15" t="str">
        <f>IFERROR(__xludf.DUMMYFUNCTION("""COMPUTED_VALUE"""),"28")</f>
        <v>28</v>
      </c>
      <c r="E9" s="15" t="str">
        <f>IFERROR(__xludf.DUMMYFUNCTION("""COMPUTED_VALUE"""),"Not ranking")</f>
        <v>Not ranking</v>
      </c>
      <c r="F9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9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9" s="18" t="str">
        <f>IFERROR(__xludf.DUMMYFUNCTION("""COMPUTED_VALUE"""),"Not ranking")</f>
        <v>Not ranking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 t="str">
        <f>IFERROR(__xludf.DUMMYFUNCTION("""COMPUTED_VALUE"""),"hunting deer with a 223")</f>
        <v>hunting deer with a 223</v>
      </c>
      <c r="B10" s="15" t="str">
        <f>IFERROR(__xludf.DUMMYFUNCTION("""COMPUTED_VALUE"""),"1000")</f>
        <v>1000</v>
      </c>
      <c r="C10" s="15" t="str">
        <f>IFERROR(__xludf.DUMMYFUNCTION("""COMPUTED_VALUE"""),"1")</f>
        <v>1</v>
      </c>
      <c r="D10" s="15" t="str">
        <f>IFERROR(__xludf.DUMMYFUNCTION("""COMPUTED_VALUE"""),"34")</f>
        <v>34</v>
      </c>
      <c r="E10" s="15" t="str">
        <f>IFERROR(__xludf.DUMMYFUNCTION("""COMPUTED_VALUE"""),"Not ranking")</f>
        <v>Not ranking</v>
      </c>
      <c r="F10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10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10" s="18" t="str">
        <f>IFERROR(__xludf.DUMMYFUNCTION("""COMPUTED_VALUE"""),"Not ranking")</f>
        <v>Not ranking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 t="str">
        <f>IFERROR(__xludf.DUMMYFUNCTION("""COMPUTED_VALUE"""),"pallet deer blind")</f>
        <v>pallet deer blind</v>
      </c>
      <c r="B11" s="15" t="str">
        <f>IFERROR(__xludf.DUMMYFUNCTION("""COMPUTED_VALUE"""),"1000")</f>
        <v>1000</v>
      </c>
      <c r="C11" s="15" t="str">
        <f>IFERROR(__xludf.DUMMYFUNCTION("""COMPUTED_VALUE"""),"1")</f>
        <v>1</v>
      </c>
      <c r="D11" s="15" t="str">
        <f>IFERROR(__xludf.DUMMYFUNCTION("""COMPUTED_VALUE"""),"Not ranking")</f>
        <v>Not ranking</v>
      </c>
      <c r="E11" s="15" t="str">
        <f>IFERROR(__xludf.DUMMYFUNCTION("""COMPUTED_VALUE"""),"30")</f>
        <v>30</v>
      </c>
      <c r="F11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11" s="18" t="str">
        <f>IFERROR(__xludf.DUMMYFUNCTION("""COMPUTED_VALUE"""),"Not ranking")</f>
        <v>Not ranking</v>
      </c>
      <c r="H11" s="17" t="str">
        <f>IFERROR(__xludf.DUMMYFUNCTION("""COMPUTED_VALUE"""),"https://www.wideopenspaces.com/the-best-diy-hunting-blinds-you-can-possibly-make-this-soon-before-the-season/")</f>
        <v>https://www.wideopenspaces.com/the-best-diy-hunting-blinds-you-can-possibly-make-this-soon-before-the-season/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 t="str">
        <f>IFERROR(__xludf.DUMMYFUNCTION("""COMPUTED_VALUE"""),"deer bedding")</f>
        <v>deer bedding</v>
      </c>
      <c r="B12" s="15" t="str">
        <f>IFERROR(__xludf.DUMMYFUNCTION("""COMPUTED_VALUE"""),"880")</f>
        <v>880</v>
      </c>
      <c r="C12" s="15" t="str">
        <f>IFERROR(__xludf.DUMMYFUNCTION("""COMPUTED_VALUE"""),"1")</f>
        <v>1</v>
      </c>
      <c r="D12" s="15" t="str">
        <f>IFERROR(__xludf.DUMMYFUNCTION("""COMPUTED_VALUE"""),"3")</f>
        <v>3</v>
      </c>
      <c r="E12" s="15" t="str">
        <f>IFERROR(__xludf.DUMMYFUNCTION("""COMPUTED_VALUE"""),"Not ranking")</f>
        <v>Not ranking</v>
      </c>
      <c r="F12" s="17" t="str">
        <f>IFERROR(__xludf.DUMMYFUNCTION("""COMPUTED_VALUE"""),"https://www.themeateater.com/wired-to-hunt/whitetail-scouting/how-to-find-whitetail-buck-bedding")</f>
        <v>https://www.themeateater.com/wired-to-hunt/whitetail-scouting/how-to-find-whitetail-buck-bedding</v>
      </c>
      <c r="G12" s="17" t="str">
        <f>IFERROR(__xludf.DUMMYFUNCTION("""COMPUTED_VALUE"""),"https://realtree.com/deer-hunting/articles/how-to-hunt-big-buck-bedding-areas")</f>
        <v>https://realtree.com/deer-hunting/articles/how-to-hunt-big-buck-bedding-areas</v>
      </c>
      <c r="H12" s="18" t="str">
        <f>IFERROR(__xludf.DUMMYFUNCTION("""COMPUTED_VALUE"""),"Not ranking")</f>
        <v>Not ranking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 t="str">
        <f>IFERROR(__xludf.DUMMYFUNCTION("""COMPUTED_VALUE"""),"223 for deer hunting")</f>
        <v>223 for deer hunting</v>
      </c>
      <c r="B13" s="15" t="str">
        <f>IFERROR(__xludf.DUMMYFUNCTION("""COMPUTED_VALUE"""),"590")</f>
        <v>590</v>
      </c>
      <c r="C13" s="15" t="str">
        <f>IFERROR(__xludf.DUMMYFUNCTION("""COMPUTED_VALUE"""),"1")</f>
        <v>1</v>
      </c>
      <c r="D13" s="15" t="str">
        <f>IFERROR(__xludf.DUMMYFUNCTION("""COMPUTED_VALUE"""),"36")</f>
        <v>36</v>
      </c>
      <c r="E13" s="15" t="str">
        <f>IFERROR(__xludf.DUMMYFUNCTION("""COMPUTED_VALUE"""),"Not ranking")</f>
        <v>Not ranking</v>
      </c>
      <c r="F13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13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13" s="18" t="str">
        <f>IFERROR(__xludf.DUMMYFUNCTION("""COMPUTED_VALUE"""),"Not ranking")</f>
        <v>Not ranking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 t="str">
        <f>IFERROR(__xludf.DUMMYFUNCTION("""COMPUTED_VALUE"""),"where to shoot a deer")</f>
        <v>where to shoot a deer</v>
      </c>
      <c r="B14" s="15" t="str">
        <f>IFERROR(__xludf.DUMMYFUNCTION("""COMPUTED_VALUE"""),"14800")</f>
        <v>14800</v>
      </c>
      <c r="C14" s="15" t="str">
        <f>IFERROR(__xludf.DUMMYFUNCTION("""COMPUTED_VALUE"""),"2")</f>
        <v>2</v>
      </c>
      <c r="D14" s="15" t="str">
        <f>IFERROR(__xludf.DUMMYFUNCTION("""COMPUTED_VALUE"""),"27")</f>
        <v>27</v>
      </c>
      <c r="E14" s="15" t="str">
        <f>IFERROR(__xludf.DUMMYFUNCTION("""COMPUTED_VALUE"""),"12")</f>
        <v>12</v>
      </c>
      <c r="F14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4" s="17" t="str">
        <f>IFERROR(__xludf.DUMMYFUNCTION("""COMPUTED_VALUE"""),"https://realtree.com/deer-hunting/articles/the-best-shot-placement-on-deer")</f>
        <v>https://realtree.com/deer-hunting/articles/the-best-shot-placement-on-deer</v>
      </c>
      <c r="H14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 t="str">
        <f>IFERROR(__xludf.DUMMYFUNCTION("""COMPUTED_VALUE"""),"deer camp")</f>
        <v>deer camp</v>
      </c>
      <c r="B15" s="15" t="str">
        <f>IFERROR(__xludf.DUMMYFUNCTION("""COMPUTED_VALUE"""),"1900")</f>
        <v>1900</v>
      </c>
      <c r="C15" s="15" t="str">
        <f>IFERROR(__xludf.DUMMYFUNCTION("""COMPUTED_VALUE"""),"2")</f>
        <v>2</v>
      </c>
      <c r="D15" s="15" t="str">
        <f>IFERROR(__xludf.DUMMYFUNCTION("""COMPUTED_VALUE"""),"48")</f>
        <v>48</v>
      </c>
      <c r="E15" s="15" t="str">
        <f>IFERROR(__xludf.DUMMYFUNCTION("""COMPUTED_VALUE"""),"Not ranking")</f>
        <v>Not ranking</v>
      </c>
      <c r="F15" s="17" t="str">
        <f>IFERROR(__xludf.DUMMYFUNCTION("""COMPUTED_VALUE"""),"https://www.themeateater.com/hunt/whitetail-deer/american-deer-camps-a-dying-tradition")</f>
        <v>https://www.themeateater.com/hunt/whitetail-deer/american-deer-camps-a-dying-tradition</v>
      </c>
      <c r="G15" s="17" t="str">
        <f>IFERROR(__xludf.DUMMYFUNCTION("""COMPUTED_VALUE"""),"https://realtree.com/deer-hunting/articles/10-rules-for-deer-camp")</f>
        <v>https://realtree.com/deer-hunting/articles/10-rules-for-deer-camp</v>
      </c>
      <c r="H15" s="18" t="str">
        <f>IFERROR(__xludf.DUMMYFUNCTION("""COMPUTED_VALUE"""),"Not ranking")</f>
        <v>Not ranking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 t="str">
        <f>IFERROR(__xludf.DUMMYFUNCTION("""COMPUTED_VALUE"""),"deer sausage recipe")</f>
        <v>deer sausage recipe</v>
      </c>
      <c r="B16" s="15" t="str">
        <f>IFERROR(__xludf.DUMMYFUNCTION("""COMPUTED_VALUE"""),"1900")</f>
        <v>1900</v>
      </c>
      <c r="C16" s="15" t="str">
        <f>IFERROR(__xludf.DUMMYFUNCTION("""COMPUTED_VALUE"""),"2")</f>
        <v>2</v>
      </c>
      <c r="D16" s="15" t="str">
        <f>IFERROR(__xludf.DUMMYFUNCTION("""COMPUTED_VALUE"""),"19")</f>
        <v>19</v>
      </c>
      <c r="E16" s="15" t="str">
        <f>IFERROR(__xludf.DUMMYFUNCTION("""COMPUTED_VALUE"""),"Not ranking")</f>
        <v>Not ranking</v>
      </c>
      <c r="F16" s="17" t="str">
        <f>IFERROR(__xludf.DUMMYFUNCTION("""COMPUTED_VALUE"""),"https://www.themeateater.com/cook/recipes/the-only-venison-breakfast-sausage-recipe-you-need")</f>
        <v>https://www.themeateater.com/cook/recipes/the-only-venison-breakfast-sausage-recipe-you-need</v>
      </c>
      <c r="G16" s="17" t="str">
        <f>IFERROR(__xludf.DUMMYFUNCTION("""COMPUTED_VALUE"""),"https://realtree.com/timber-2-table-wild-game-recipes/venison-and-pork-sweet-italian-sausage-links-recipe")</f>
        <v>https://realtree.com/timber-2-table-wild-game-recipes/venison-and-pork-sweet-italian-sausage-links-recipe</v>
      </c>
      <c r="H16" s="18" t="str">
        <f>IFERROR(__xludf.DUMMYFUNCTION("""COMPUTED_VALUE"""),"Not ranking")</f>
        <v>Not ranking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 t="str">
        <f>IFERROR(__xludf.DUMMYFUNCTION("""COMPUTED_VALUE"""),"are deer color blind")</f>
        <v>are deer color blind</v>
      </c>
      <c r="B17" s="15" t="str">
        <f>IFERROR(__xludf.DUMMYFUNCTION("""COMPUTED_VALUE"""),"1600")</f>
        <v>1600</v>
      </c>
      <c r="C17" s="15" t="str">
        <f>IFERROR(__xludf.DUMMYFUNCTION("""COMPUTED_VALUE"""),"2")</f>
        <v>2</v>
      </c>
      <c r="D17" s="15" t="str">
        <f>IFERROR(__xludf.DUMMYFUNCTION("""COMPUTED_VALUE"""),"59")</f>
        <v>59</v>
      </c>
      <c r="E17" s="15" t="str">
        <f>IFERROR(__xludf.DUMMYFUNCTION("""COMPUTED_VALUE"""),"44")</f>
        <v>44</v>
      </c>
      <c r="F17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17" s="17" t="str">
        <f>IFERROR(__xludf.DUMMYFUNCTION("""COMPUTED_VALUE"""),"https://realtree.com/all/articles/what-deer-really-see")</f>
        <v>https://realtree.com/all/articles/what-deer-really-see</v>
      </c>
      <c r="H17" s="17" t="str">
        <f>IFERROR(__xludf.DUMMYFUNCTION("""COMPUTED_VALUE"""),"https://www.wideopenspaces.com/are-deer-actually-color-blind/")</f>
        <v>https://www.wideopenspaces.com/are-deer-actually-color-blind/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 t="str">
        <f>IFERROR(__xludf.DUMMYFUNCTION("""COMPUTED_VALUE"""),"mule deer hunting")</f>
        <v>mule deer hunting</v>
      </c>
      <c r="B18" s="15" t="str">
        <f>IFERROR(__xludf.DUMMYFUNCTION("""COMPUTED_VALUE"""),"1600")</f>
        <v>1600</v>
      </c>
      <c r="C18" s="15" t="str">
        <f>IFERROR(__xludf.DUMMYFUNCTION("""COMPUTED_VALUE"""),"2")</f>
        <v>2</v>
      </c>
      <c r="D18" s="15" t="str">
        <f>IFERROR(__xludf.DUMMYFUNCTION("""COMPUTED_VALUE"""),"75")</f>
        <v>75</v>
      </c>
      <c r="E18" s="15" t="str">
        <f>IFERROR(__xludf.DUMMYFUNCTION("""COMPUTED_VALUE"""),"Not ranking")</f>
        <v>Not ranking</v>
      </c>
      <c r="F18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18" s="17" t="str">
        <f>IFERROR(__xludf.DUMMYFUNCTION("""COMPUTED_VALUE"""),"https://realtree.com/big-game-hunting/articles/plan-your-public-mule-deer-hunt-now")</f>
        <v>https://realtree.com/big-game-hunting/articles/plan-your-public-mule-deer-hunt-now</v>
      </c>
      <c r="H18" s="18" t="str">
        <f>IFERROR(__xludf.DUMMYFUNCTION("""COMPUTED_VALUE"""),"Not ranking")</f>
        <v>Not ranking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5" t="str">
        <f>IFERROR(__xludf.DUMMYFUNCTION("""COMPUTED_VALUE"""),"do coyotes eat deer")</f>
        <v>do coyotes eat deer</v>
      </c>
      <c r="B19" s="15" t="str">
        <f>IFERROR(__xludf.DUMMYFUNCTION("""COMPUTED_VALUE"""),"1300")</f>
        <v>1300</v>
      </c>
      <c r="C19" s="15" t="str">
        <f>IFERROR(__xludf.DUMMYFUNCTION("""COMPUTED_VALUE"""),"2")</f>
        <v>2</v>
      </c>
      <c r="D19" s="15" t="str">
        <f>IFERROR(__xludf.DUMMYFUNCTION("""COMPUTED_VALUE"""),"Not ranking")</f>
        <v>Not ranking</v>
      </c>
      <c r="E19" s="15" t="str">
        <f>IFERROR(__xludf.DUMMYFUNCTION("""COMPUTED_VALUE"""),"20")</f>
        <v>20</v>
      </c>
      <c r="F19" s="17" t="str">
        <f>IFERROR(__xludf.DUMMYFUNCTION("""COMPUTED_VALUE"""),"https://www.themeateater.com/conservation/wildlife-management/coyotes-kill-deer-not-deer-herds")</f>
        <v>https://www.themeateater.com/conservation/wildlife-management/coyotes-kill-deer-not-deer-herds</v>
      </c>
      <c r="G19" s="18" t="str">
        <f>IFERROR(__xludf.DUMMYFUNCTION("""COMPUTED_VALUE"""),"Not ranking")</f>
        <v>Not ranking</v>
      </c>
      <c r="H19" s="17" t="str">
        <f>IFERROR(__xludf.DUMMYFUNCTION("""COMPUTED_VALUE"""),"https://www.wideopenspaces.com/coyote-vs-deer/")</f>
        <v>https://www.wideopenspaces.com/coyote-vs-deer/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5" t="str">
        <f>IFERROR(__xludf.DUMMYFUNCTION("""COMPUTED_VALUE"""),"field dressing deer")</f>
        <v>field dressing deer</v>
      </c>
      <c r="B20" s="15" t="str">
        <f>IFERROR(__xludf.DUMMYFUNCTION("""COMPUTED_VALUE"""),"1300")</f>
        <v>1300</v>
      </c>
      <c r="C20" s="15" t="str">
        <f>IFERROR(__xludf.DUMMYFUNCTION("""COMPUTED_VALUE"""),"2")</f>
        <v>2</v>
      </c>
      <c r="D20" s="15" t="str">
        <f>IFERROR(__xludf.DUMMYFUNCTION("""COMPUTED_VALUE"""),"15")</f>
        <v>15</v>
      </c>
      <c r="E20" s="15" t="str">
        <f>IFERROR(__xludf.DUMMYFUNCTION("""COMPUTED_VALUE"""),"84")</f>
        <v>84</v>
      </c>
      <c r="F20" s="17" t="str">
        <f>IFERROR(__xludf.DUMMYFUNCTION("""COMPUTED_VALUE"""),"https://www.themeateater.com/watch/6175620095001/how-to-field-dress-a-deer-with-steven-rinella")</f>
        <v>https://www.themeateater.com/watch/6175620095001/how-to-field-dress-a-deer-with-steven-rinella</v>
      </c>
      <c r="G20" s="17" t="str">
        <f>IFERROR(__xludf.DUMMYFUNCTION("""COMPUTED_VALUE"""),"https://realtree.com/deer-hunting/articles/7-serious-field-dressing-mistakes")</f>
        <v>https://realtree.com/deer-hunting/articles/7-serious-field-dressing-mistakes</v>
      </c>
      <c r="H20" s="17" t="str">
        <f>IFERROR(__xludf.DUMMYFUNCTION("""COMPUTED_VALUE"""),"https://www.wideopenspaces.com/field-dressing-deer-with-gloves/")</f>
        <v>https://www.wideopenspaces.com/field-dressing-deer-with-gloves/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 t="str">
        <f>IFERROR(__xludf.DUMMYFUNCTION("""COMPUTED_VALUE"""),"female deer with antlers")</f>
        <v>female deer with antlers</v>
      </c>
      <c r="B21" s="15" t="str">
        <f>IFERROR(__xludf.DUMMYFUNCTION("""COMPUTED_VALUE"""),"1000")</f>
        <v>1000</v>
      </c>
      <c r="C21" s="15" t="str">
        <f>IFERROR(__xludf.DUMMYFUNCTION("""COMPUTED_VALUE"""),"2")</f>
        <v>2</v>
      </c>
      <c r="D21" s="15" t="str">
        <f>IFERROR(__xludf.DUMMYFUNCTION("""COMPUTED_VALUE"""),"Not ranking")</f>
        <v>Not ranking</v>
      </c>
      <c r="E21" s="15" t="str">
        <f>IFERROR(__xludf.DUMMYFUNCTION("""COMPUTED_VALUE"""),"57")</f>
        <v>57</v>
      </c>
      <c r="F21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21" s="18" t="str">
        <f>IFERROR(__xludf.DUMMYFUNCTION("""COMPUTED_VALUE"""),"Not ranking")</f>
        <v>Not ranking</v>
      </c>
      <c r="H21" s="17" t="str">
        <f>IFERROR(__xludf.DUMMYFUNCTION("""COMPUTED_VALUE"""),"https://www.wideopenspaces.com/antlered-doe/")</f>
        <v>https://www.wideopenspaces.com/antlered-doe/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5" t="str">
        <f>IFERROR(__xludf.DUMMYFUNCTION("""COMPUTED_VALUE"""),"tanning deer hide")</f>
        <v>tanning deer hide</v>
      </c>
      <c r="B22" s="15" t="str">
        <f>IFERROR(__xludf.DUMMYFUNCTION("""COMPUTED_VALUE"""),"1000")</f>
        <v>1000</v>
      </c>
      <c r="C22" s="15" t="str">
        <f>IFERROR(__xludf.DUMMYFUNCTION("""COMPUTED_VALUE"""),"2")</f>
        <v>2</v>
      </c>
      <c r="D22" s="15" t="str">
        <f>IFERROR(__xludf.DUMMYFUNCTION("""COMPUTED_VALUE"""),"Not ranking")</f>
        <v>Not ranking</v>
      </c>
      <c r="E22" s="15" t="str">
        <f>IFERROR(__xludf.DUMMYFUNCTION("""COMPUTED_VALUE"""),"7")</f>
        <v>7</v>
      </c>
      <c r="F22" s="17" t="str">
        <f>IFERROR(__xludf.DUMMYFUNCTION("""COMPUTED_VALUE"""),"https://www.themeateater.com/cook/butchering-and-processing/how-to-tan-a-deer-hide")</f>
        <v>https://www.themeateater.com/cook/butchering-and-processing/how-to-tan-a-deer-hide</v>
      </c>
      <c r="G22" s="18" t="str">
        <f>IFERROR(__xludf.DUMMYFUNCTION("""COMPUTED_VALUE"""),"Not ranking")</f>
        <v>Not ranking</v>
      </c>
      <c r="H22" s="17" t="str">
        <f>IFERROR(__xludf.DUMMYFUNCTION("""COMPUTED_VALUE"""),"https://www.wideopenspaces.com/7-steps-tanning-deer-hide-easier-think/")</f>
        <v>https://www.wideopenspaces.com/7-steps-tanning-deer-hide-easier-think/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5" t="str">
        <f>IFERROR(__xludf.DUMMYFUNCTION("""COMPUTED_VALUE"""),"deer are color blind")</f>
        <v>deer are color blind</v>
      </c>
      <c r="B23" s="15" t="str">
        <f>IFERROR(__xludf.DUMMYFUNCTION("""COMPUTED_VALUE"""),"880")</f>
        <v>880</v>
      </c>
      <c r="C23" s="15" t="str">
        <f>IFERROR(__xludf.DUMMYFUNCTION("""COMPUTED_VALUE"""),"2")</f>
        <v>2</v>
      </c>
      <c r="D23" s="15" t="str">
        <f>IFERROR(__xludf.DUMMYFUNCTION("""COMPUTED_VALUE"""),"61")</f>
        <v>61</v>
      </c>
      <c r="E23" s="15" t="str">
        <f>IFERROR(__xludf.DUMMYFUNCTION("""COMPUTED_VALUE"""),"81")</f>
        <v>81</v>
      </c>
      <c r="F23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23" s="17" t="str">
        <f>IFERROR(__xludf.DUMMYFUNCTION("""COMPUTED_VALUE"""),"https://realtree.com/all/articles/what-deer-really-see")</f>
        <v>https://realtree.com/all/articles/what-deer-really-see</v>
      </c>
      <c r="H23" s="17" t="str">
        <f>IFERROR(__xludf.DUMMYFUNCTION("""COMPUTED_VALUE"""),"https://www.wideopenspaces.com/are-deer-actually-color-blind/")</f>
        <v>https://www.wideopenspaces.com/are-deer-actually-color-blind/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 t="str">
        <f>IFERROR(__xludf.DUMMYFUNCTION("""COMPUTED_VALUE"""),"air rifle deer hunting")</f>
        <v>air rifle deer hunting</v>
      </c>
      <c r="B24" s="15" t="str">
        <f>IFERROR(__xludf.DUMMYFUNCTION("""COMPUTED_VALUE"""),"720")</f>
        <v>720</v>
      </c>
      <c r="C24" s="15" t="str">
        <f>IFERROR(__xludf.DUMMYFUNCTION("""COMPUTED_VALUE"""),"2")</f>
        <v>2</v>
      </c>
      <c r="D24" s="15" t="str">
        <f>IFERROR(__xludf.DUMMYFUNCTION("""COMPUTED_VALUE"""),"Not ranking")</f>
        <v>Not ranking</v>
      </c>
      <c r="E24" s="15" t="str">
        <f>IFERROR(__xludf.DUMMYFUNCTION("""COMPUTED_VALUE"""),"Not ranking")</f>
        <v>Not ranking</v>
      </c>
      <c r="F24" s="17" t="str">
        <f>IFERROR(__xludf.DUMMYFUNCTION("""COMPUTED_VALUE"""),"https://www.themeateater.com/hunt/firearm-hunting/can-an-air-rifle-bring-down-a-whitetail")</f>
        <v>https://www.themeateater.com/hunt/firearm-hunting/can-an-air-rifle-bring-down-a-whitetail</v>
      </c>
      <c r="G24" s="18" t="str">
        <f>IFERROR(__xludf.DUMMYFUNCTION("""COMPUTED_VALUE"""),"Not ranking")</f>
        <v>Not ranking</v>
      </c>
      <c r="H24" s="18" t="str">
        <f>IFERROR(__xludf.DUMMYFUNCTION("""COMPUTED_VALUE"""),"Not ranking")</f>
        <v>Not ranking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5" t="str">
        <f>IFERROR(__xludf.DUMMYFUNCTION("""COMPUTED_VALUE"""),"deer with 223")</f>
        <v>deer with 223</v>
      </c>
      <c r="B25" s="15" t="str">
        <f>IFERROR(__xludf.DUMMYFUNCTION("""COMPUTED_VALUE"""),"720")</f>
        <v>720</v>
      </c>
      <c r="C25" s="15" t="str">
        <f>IFERROR(__xludf.DUMMYFUNCTION("""COMPUTED_VALUE"""),"2")</f>
        <v>2</v>
      </c>
      <c r="D25" s="15" t="str">
        <f>IFERROR(__xludf.DUMMYFUNCTION("""COMPUTED_VALUE"""),"20")</f>
        <v>20</v>
      </c>
      <c r="E25" s="15" t="str">
        <f>IFERROR(__xludf.DUMMYFUNCTION("""COMPUTED_VALUE"""),"Not ranking")</f>
        <v>Not ranking</v>
      </c>
      <c r="F25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25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25" s="18" t="str">
        <f>IFERROR(__xludf.DUMMYFUNCTION("""COMPUTED_VALUE"""),"Not ranking")</f>
        <v>Not ranking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5" t="str">
        <f>IFERROR(__xludf.DUMMYFUNCTION("""COMPUTED_VALUE"""),"where to shoot a deer with an arrow")</f>
        <v>where to shoot a deer with an arrow</v>
      </c>
      <c r="B26" s="15" t="str">
        <f>IFERROR(__xludf.DUMMYFUNCTION("""COMPUTED_VALUE"""),"720")</f>
        <v>720</v>
      </c>
      <c r="C26" s="15" t="str">
        <f>IFERROR(__xludf.DUMMYFUNCTION("""COMPUTED_VALUE"""),"2")</f>
        <v>2</v>
      </c>
      <c r="D26" s="15" t="str">
        <f>IFERROR(__xludf.DUMMYFUNCTION("""COMPUTED_VALUE"""),"22")</f>
        <v>22</v>
      </c>
      <c r="E26" s="15" t="str">
        <f>IFERROR(__xludf.DUMMYFUNCTION("""COMPUTED_VALUE"""),"6")</f>
        <v>6</v>
      </c>
      <c r="F26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26" s="17" t="str">
        <f>IFERROR(__xludf.DUMMYFUNCTION("""COMPUTED_VALUE"""),"https://realtree.com/deer-hunting/articles/the-best-shot-placement-on-deer")</f>
        <v>https://realtree.com/deer-hunting/articles/the-best-shot-placement-on-deer</v>
      </c>
      <c r="H26" s="17" t="str">
        <f>IFERROR(__xludf.DUMMYFUNCTION("""COMPUTED_VALUE"""),"https://www.wideopenspaces.com/where-to-shoot-a-deer-with-an-arrow/")</f>
        <v>https://www.wideopenspaces.com/where-to-shoot-a-deer-with-an-arrow/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5" t="str">
        <f>IFERROR(__xludf.DUMMYFUNCTION("""COMPUTED_VALUE"""),"223 for deer")</f>
        <v>223 for deer</v>
      </c>
      <c r="B27" s="15" t="str">
        <f>IFERROR(__xludf.DUMMYFUNCTION("""COMPUTED_VALUE"""),"590")</f>
        <v>590</v>
      </c>
      <c r="C27" s="15" t="str">
        <f>IFERROR(__xludf.DUMMYFUNCTION("""COMPUTED_VALUE"""),"2")</f>
        <v>2</v>
      </c>
      <c r="D27" s="15" t="str">
        <f>IFERROR(__xludf.DUMMYFUNCTION("""COMPUTED_VALUE"""),"57")</f>
        <v>57</v>
      </c>
      <c r="E27" s="15" t="str">
        <f>IFERROR(__xludf.DUMMYFUNCTION("""COMPUTED_VALUE"""),"Not ranking")</f>
        <v>Not ranking</v>
      </c>
      <c r="F27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27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27" s="18" t="str">
        <f>IFERROR(__xludf.DUMMYFUNCTION("""COMPUTED_VALUE"""),"Not ranking")</f>
        <v>Not ranking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5" t="str">
        <f>IFERROR(__xludf.DUMMYFUNCTION("""COMPUTED_VALUE"""),"are deers blind")</f>
        <v>are deers blind</v>
      </c>
      <c r="B28" s="15" t="str">
        <f>IFERROR(__xludf.DUMMYFUNCTION("""COMPUTED_VALUE"""),"590")</f>
        <v>590</v>
      </c>
      <c r="C28" s="15" t="str">
        <f>IFERROR(__xludf.DUMMYFUNCTION("""COMPUTED_VALUE"""),"2")</f>
        <v>2</v>
      </c>
      <c r="D28" s="15" t="str">
        <f>IFERROR(__xludf.DUMMYFUNCTION("""COMPUTED_VALUE"""),"25")</f>
        <v>25</v>
      </c>
      <c r="E28" s="15" t="str">
        <f>IFERROR(__xludf.DUMMYFUNCTION("""COMPUTED_VALUE"""),"Not ranking")</f>
        <v>Not ranking</v>
      </c>
      <c r="F28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28" s="17" t="str">
        <f>IFERROR(__xludf.DUMMYFUNCTION("""COMPUTED_VALUE"""),"https://realtree.com/deer-hunting/articles/busted-5-things-you-don-t-know-about-deer-senses")</f>
        <v>https://realtree.com/deer-hunting/articles/busted-5-things-you-don-t-know-about-deer-senses</v>
      </c>
      <c r="H28" s="18" t="str">
        <f>IFERROR(__xludf.DUMMYFUNCTION("""COMPUTED_VALUE"""),"Not ranking")</f>
        <v>Not ranking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5" t="str">
        <f>IFERROR(__xludf.DUMMYFUNCTION("""COMPUTED_VALUE"""),"deer 223")</f>
        <v>deer 223</v>
      </c>
      <c r="B29" s="15" t="str">
        <f>IFERROR(__xludf.DUMMYFUNCTION("""COMPUTED_VALUE"""),"590")</f>
        <v>590</v>
      </c>
      <c r="C29" s="15" t="str">
        <f>IFERROR(__xludf.DUMMYFUNCTION("""COMPUTED_VALUE"""),"2")</f>
        <v>2</v>
      </c>
      <c r="D29" s="15" t="str">
        <f>IFERROR(__xludf.DUMMYFUNCTION("""COMPUTED_VALUE"""),"18")</f>
        <v>18</v>
      </c>
      <c r="E29" s="15" t="str">
        <f>IFERROR(__xludf.DUMMYFUNCTION("""COMPUTED_VALUE"""),"Not ranking")</f>
        <v>Not ranking</v>
      </c>
      <c r="F29" s="17" t="str">
        <f>IFERROR(__xludf.DUMMYFUNCTION("""COMPUTED_VALUE"""),"https://www.themeateater.com/wired-to-hunt/whitetail-hunting-gear/this-cartridge-doesnt-get-enough-love-from-deer-hunters")</f>
        <v>https://www.themeateater.com/wired-to-hunt/whitetail-hunting-gear/this-cartridge-doesnt-get-enough-love-from-deer-hunters</v>
      </c>
      <c r="G29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29" s="18" t="str">
        <f>IFERROR(__xludf.DUMMYFUNCTION("""COMPUTED_VALUE"""),"Not ranking")</f>
        <v>Not ranking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5" t="str">
        <f>IFERROR(__xludf.DUMMYFUNCTION("""COMPUTED_VALUE"""),"gut shot deer")</f>
        <v>gut shot deer</v>
      </c>
      <c r="B30" s="15" t="str">
        <f>IFERROR(__xludf.DUMMYFUNCTION("""COMPUTED_VALUE"""),"590")</f>
        <v>590</v>
      </c>
      <c r="C30" s="15" t="str">
        <f>IFERROR(__xludf.DUMMYFUNCTION("""COMPUTED_VALUE"""),"2")</f>
        <v>2</v>
      </c>
      <c r="D30" s="15" t="str">
        <f>IFERROR(__xludf.DUMMYFUNCTION("""COMPUTED_VALUE"""),"27")</f>
        <v>27</v>
      </c>
      <c r="E30" s="15" t="str">
        <f>IFERROR(__xludf.DUMMYFUNCTION("""COMPUTED_VALUE"""),"6")</f>
        <v>6</v>
      </c>
      <c r="F30" s="17" t="str">
        <f>IFERROR(__xludf.DUMMYFUNCTION("""COMPUTED_VALUE"""),"https://www.themeateater.com/wired-to-hunt/whitetail-hunting/how-to-deal-with-a-gut-shot-deer")</f>
        <v>https://www.themeateater.com/wired-to-hunt/whitetail-hunting/how-to-deal-with-a-gut-shot-deer</v>
      </c>
      <c r="G30" s="17" t="str">
        <f>IFERROR(__xludf.DUMMYFUNCTION("""COMPUTED_VALUE"""),"https://realtree.com/brow-tines-and-backstrap/it-s-hot-you-shot-a-deer-now-what")</f>
        <v>https://realtree.com/brow-tines-and-backstrap/it-s-hot-you-shot-a-deer-now-what</v>
      </c>
      <c r="H30" s="17" t="str">
        <f>IFERROR(__xludf.DUMMYFUNCTION("""COMPUTED_VALUE"""),"https://www.wideopenspaces.com/salvage-gut-shot-deer/")</f>
        <v>https://www.wideopenspaces.com/salvage-gut-shot-deer/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5" t="str">
        <f>IFERROR(__xludf.DUMMYFUNCTION("""COMPUTED_VALUE"""),"where do you shoot a deer")</f>
        <v>where do you shoot a deer</v>
      </c>
      <c r="B31" s="15" t="str">
        <f>IFERROR(__xludf.DUMMYFUNCTION("""COMPUTED_VALUE"""),"590")</f>
        <v>590</v>
      </c>
      <c r="C31" s="15" t="str">
        <f>IFERROR(__xludf.DUMMYFUNCTION("""COMPUTED_VALUE"""),"2")</f>
        <v>2</v>
      </c>
      <c r="D31" s="15" t="str">
        <f>IFERROR(__xludf.DUMMYFUNCTION("""COMPUTED_VALUE"""),"13")</f>
        <v>13</v>
      </c>
      <c r="E31" s="15" t="str">
        <f>IFERROR(__xludf.DUMMYFUNCTION("""COMPUTED_VALUE"""),"11")</f>
        <v>11</v>
      </c>
      <c r="F31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31" s="17" t="str">
        <f>IFERROR(__xludf.DUMMYFUNCTION("""COMPUTED_VALUE"""),"https://realtree.com/deer-hunting/articles/the-best-shot-placement-on-deer")</f>
        <v>https://realtree.com/deer-hunting/articles/the-best-shot-placement-on-deer</v>
      </c>
      <c r="H31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5" t="str">
        <f>IFERROR(__xludf.DUMMYFUNCTION("""COMPUTED_VALUE"""),"deer colorblind")</f>
        <v>deer colorblind</v>
      </c>
      <c r="B32" s="15" t="str">
        <f>IFERROR(__xludf.DUMMYFUNCTION("""COMPUTED_VALUE"""),"1600")</f>
        <v>1600</v>
      </c>
      <c r="C32" s="15" t="str">
        <f>IFERROR(__xludf.DUMMYFUNCTION("""COMPUTED_VALUE"""),"3")</f>
        <v>3</v>
      </c>
      <c r="D32" s="15" t="str">
        <f>IFERROR(__xludf.DUMMYFUNCTION("""COMPUTED_VALUE"""),"Not ranking")</f>
        <v>Not ranking</v>
      </c>
      <c r="E32" s="15" t="str">
        <f>IFERROR(__xludf.DUMMYFUNCTION("""COMPUTED_VALUE"""),"44")</f>
        <v>44</v>
      </c>
      <c r="F32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32" s="18" t="str">
        <f>IFERROR(__xludf.DUMMYFUNCTION("""COMPUTED_VALUE"""),"Not ranking")</f>
        <v>Not ranking</v>
      </c>
      <c r="H32" s="17" t="str">
        <f>IFERROR(__xludf.DUMMYFUNCTION("""COMPUTED_VALUE"""),"https://www.wideopenspaces.com/are-deer-actually-color-blind/")</f>
        <v>https://www.wideopenspaces.com/are-deer-actually-color-blind/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5" t="str">
        <f>IFERROR(__xludf.DUMMYFUNCTION("""COMPUTED_VALUE"""),"deer sausage recipes")</f>
        <v>deer sausage recipes</v>
      </c>
      <c r="B33" s="15" t="str">
        <f>IFERROR(__xludf.DUMMYFUNCTION("""COMPUTED_VALUE"""),"1600")</f>
        <v>1600</v>
      </c>
      <c r="C33" s="15" t="str">
        <f>IFERROR(__xludf.DUMMYFUNCTION("""COMPUTED_VALUE"""),"3")</f>
        <v>3</v>
      </c>
      <c r="D33" s="15" t="str">
        <f>IFERROR(__xludf.DUMMYFUNCTION("""COMPUTED_VALUE"""),"19")</f>
        <v>19</v>
      </c>
      <c r="E33" s="15" t="str">
        <f>IFERROR(__xludf.DUMMYFUNCTION("""COMPUTED_VALUE"""),"94")</f>
        <v>94</v>
      </c>
      <c r="F33" s="17" t="str">
        <f>IFERROR(__xludf.DUMMYFUNCTION("""COMPUTED_VALUE"""),"https://www.themeateater.com/cook/recipes/the-only-venison-breakfast-sausage-recipe-you-need")</f>
        <v>https://www.themeateater.com/cook/recipes/the-only-venison-breakfast-sausage-recipe-you-need</v>
      </c>
      <c r="G33" s="17" t="str">
        <f>IFERROR(__xludf.DUMMYFUNCTION("""COMPUTED_VALUE"""),"https://realtree.com/timber-2-table-wild-game-recipes/venison-and-pork-sweet-italian-sausage-links-recipe")</f>
        <v>https://realtree.com/timber-2-table-wild-game-recipes/venison-and-pork-sweet-italian-sausage-links-recipe</v>
      </c>
      <c r="H33" s="17" t="str">
        <f>IFERROR(__xludf.DUMMYFUNCTION("""COMPUTED_VALUE"""),"https://www.wideopenspaces.com/an-easy-and-tasty-way-to-make-venison-sausage/")</f>
        <v>https://www.wideopenspaces.com/an-easy-and-tasty-way-to-make-venison-sausage/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5" t="str">
        <f>IFERROR(__xludf.DUMMYFUNCTION("""COMPUTED_VALUE"""),"call in deer")</f>
        <v>call in deer</v>
      </c>
      <c r="B34" s="15" t="str">
        <f>IFERROR(__xludf.DUMMYFUNCTION("""COMPUTED_VALUE"""),"1000")</f>
        <v>1000</v>
      </c>
      <c r="C34" s="15" t="str">
        <f>IFERROR(__xludf.DUMMYFUNCTION("""COMPUTED_VALUE"""),"3")</f>
        <v>3</v>
      </c>
      <c r="D34" s="15" t="str">
        <f>IFERROR(__xludf.DUMMYFUNCTION("""COMPUTED_VALUE"""),"66")</f>
        <v>66</v>
      </c>
      <c r="E34" s="15" t="str">
        <f>IFERROR(__xludf.DUMMYFUNCTION("""COMPUTED_VALUE"""),"Not ranking")</f>
        <v>Not ranking</v>
      </c>
      <c r="F34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34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34" s="18" t="str">
        <f>IFERROR(__xludf.DUMMYFUNCTION("""COMPUTED_VALUE"""),"Not ranking")</f>
        <v>Not ranking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5" t="str">
        <f>IFERROR(__xludf.DUMMYFUNCTION("""COMPUTED_VALUE"""),"what colors can deer see")</f>
        <v>what colors can deer see</v>
      </c>
      <c r="B35" s="15" t="str">
        <f>IFERROR(__xludf.DUMMYFUNCTION("""COMPUTED_VALUE"""),"1000")</f>
        <v>1000</v>
      </c>
      <c r="C35" s="15" t="str">
        <f>IFERROR(__xludf.DUMMYFUNCTION("""COMPUTED_VALUE"""),"3")</f>
        <v>3</v>
      </c>
      <c r="D35" s="15" t="str">
        <f>IFERROR(__xludf.DUMMYFUNCTION("""COMPUTED_VALUE"""),"63")</f>
        <v>63</v>
      </c>
      <c r="E35" s="15" t="str">
        <f>IFERROR(__xludf.DUMMYFUNCTION("""COMPUTED_VALUE"""),"Not ranking")</f>
        <v>Not ranking</v>
      </c>
      <c r="F35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35" s="17" t="str">
        <f>IFERROR(__xludf.DUMMYFUNCTION("""COMPUTED_VALUE"""),"https://realtree.com/all/articles/what-deer-really-see")</f>
        <v>https://realtree.com/all/articles/what-deer-really-see</v>
      </c>
      <c r="H35" s="18" t="str">
        <f>IFERROR(__xludf.DUMMYFUNCTION("""COMPUTED_VALUE"""),"Not ranking")</f>
        <v>Not ranking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5" t="str">
        <f>IFERROR(__xludf.DUMMYFUNCTION("""COMPUTED_VALUE"""),"what colours can deer see")</f>
        <v>what colours can deer see</v>
      </c>
      <c r="B36" s="15" t="str">
        <f>IFERROR(__xludf.DUMMYFUNCTION("""COMPUTED_VALUE"""),"1000")</f>
        <v>1000</v>
      </c>
      <c r="C36" s="15" t="str">
        <f>IFERROR(__xludf.DUMMYFUNCTION("""COMPUTED_VALUE"""),"3")</f>
        <v>3</v>
      </c>
      <c r="D36" s="15" t="str">
        <f>IFERROR(__xludf.DUMMYFUNCTION("""COMPUTED_VALUE"""),"Not ranking")</f>
        <v>Not ranking</v>
      </c>
      <c r="E36" s="15" t="str">
        <f>IFERROR(__xludf.DUMMYFUNCTION("""COMPUTED_VALUE"""),"Not ranking")</f>
        <v>Not ranking</v>
      </c>
      <c r="F36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36" s="18" t="str">
        <f>IFERROR(__xludf.DUMMYFUNCTION("""COMPUTED_VALUE"""),"Not ranking")</f>
        <v>Not ranking</v>
      </c>
      <c r="H36" s="18" t="str">
        <f>IFERROR(__xludf.DUMMYFUNCTION("""COMPUTED_VALUE"""),"Not ranking")</f>
        <v>Not ranking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5" t="str">
        <f>IFERROR(__xludf.DUMMYFUNCTION("""COMPUTED_VALUE"""),"can deer see color")</f>
        <v>can deer see color</v>
      </c>
      <c r="B37" s="15" t="str">
        <f>IFERROR(__xludf.DUMMYFUNCTION("""COMPUTED_VALUE"""),"880")</f>
        <v>880</v>
      </c>
      <c r="C37" s="15" t="str">
        <f>IFERROR(__xludf.DUMMYFUNCTION("""COMPUTED_VALUE"""),"3")</f>
        <v>3</v>
      </c>
      <c r="D37" s="15" t="str">
        <f>IFERROR(__xludf.DUMMYFUNCTION("""COMPUTED_VALUE"""),"62")</f>
        <v>62</v>
      </c>
      <c r="E37" s="15" t="str">
        <f>IFERROR(__xludf.DUMMYFUNCTION("""COMPUTED_VALUE"""),"82")</f>
        <v>82</v>
      </c>
      <c r="F37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37" s="17" t="str">
        <f>IFERROR(__xludf.DUMMYFUNCTION("""COMPUTED_VALUE"""),"https://realtree.com/all/articles/what-deer-really-see")</f>
        <v>https://realtree.com/all/articles/what-deer-really-see</v>
      </c>
      <c r="H37" s="17" t="str">
        <f>IFERROR(__xludf.DUMMYFUNCTION("""COMPUTED_VALUE"""),"https://www.wideopenspaces.com/deer-vision-the-science/")</f>
        <v>https://www.wideopenspaces.com/deer-vision-the-science/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5" t="str">
        <f>IFERROR(__xludf.DUMMYFUNCTION("""COMPUTED_VALUE"""),"deer hide tannery")</f>
        <v>deer hide tannery</v>
      </c>
      <c r="B38" s="15" t="str">
        <f>IFERROR(__xludf.DUMMYFUNCTION("""COMPUTED_VALUE"""),"720")</f>
        <v>720</v>
      </c>
      <c r="C38" s="15" t="str">
        <f>IFERROR(__xludf.DUMMYFUNCTION("""COMPUTED_VALUE"""),"3")</f>
        <v>3</v>
      </c>
      <c r="D38" s="15" t="str">
        <f>IFERROR(__xludf.DUMMYFUNCTION("""COMPUTED_VALUE"""),"Not ranking")</f>
        <v>Not ranking</v>
      </c>
      <c r="E38" s="15" t="str">
        <f>IFERROR(__xludf.DUMMYFUNCTION("""COMPUTED_VALUE"""),"15")</f>
        <v>15</v>
      </c>
      <c r="F38" s="17" t="str">
        <f>IFERROR(__xludf.DUMMYFUNCTION("""COMPUTED_VALUE"""),"https://www.themeateater.com/cook/butchering-and-processing/how-to-tan-a-deer-hide")</f>
        <v>https://www.themeateater.com/cook/butchering-and-processing/how-to-tan-a-deer-hide</v>
      </c>
      <c r="G38" s="18" t="str">
        <f>IFERROR(__xludf.DUMMYFUNCTION("""COMPUTED_VALUE"""),"Not ranking")</f>
        <v>Not ranking</v>
      </c>
      <c r="H38" s="17" t="str">
        <f>IFERROR(__xludf.DUMMYFUNCTION("""COMPUTED_VALUE"""),"https://www.wideopenspaces.com/7-steps-tanning-deer-hide-easier-think/")</f>
        <v>https://www.wideopenspaces.com/7-steps-tanning-deer-hide-easier-think/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5" t="str">
        <f>IFERROR(__xludf.DUMMYFUNCTION("""COMPUTED_VALUE"""),"where to aim on a deer")</f>
        <v>where to aim on a deer</v>
      </c>
      <c r="B39" s="15" t="str">
        <f>IFERROR(__xludf.DUMMYFUNCTION("""COMPUTED_VALUE"""),"720")</f>
        <v>720</v>
      </c>
      <c r="C39" s="15" t="str">
        <f>IFERROR(__xludf.DUMMYFUNCTION("""COMPUTED_VALUE"""),"3")</f>
        <v>3</v>
      </c>
      <c r="D39" s="15" t="str">
        <f>IFERROR(__xludf.DUMMYFUNCTION("""COMPUTED_VALUE"""),"11")</f>
        <v>11</v>
      </c>
      <c r="E39" s="15" t="str">
        <f>IFERROR(__xludf.DUMMYFUNCTION("""COMPUTED_VALUE"""),"25")</f>
        <v>25</v>
      </c>
      <c r="F39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39" s="17" t="str">
        <f>IFERROR(__xludf.DUMMYFUNCTION("""COMPUTED_VALUE"""),"https://realtree.com/deer-hunting/articles/the-best-shot-placement-on-deer")</f>
        <v>https://realtree.com/deer-hunting/articles/the-best-shot-placement-on-deer</v>
      </c>
      <c r="H39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5" t="str">
        <f>IFERROR(__xludf.DUMMYFUNCTION("""COMPUTED_VALUE"""),"are deer colorblind")</f>
        <v>are deer colorblind</v>
      </c>
      <c r="B40" s="15" t="str">
        <f>IFERROR(__xludf.DUMMYFUNCTION("""COMPUTED_VALUE"""),"590")</f>
        <v>590</v>
      </c>
      <c r="C40" s="15" t="str">
        <f>IFERROR(__xludf.DUMMYFUNCTION("""COMPUTED_VALUE"""),"3")</f>
        <v>3</v>
      </c>
      <c r="D40" s="15" t="str">
        <f>IFERROR(__xludf.DUMMYFUNCTION("""COMPUTED_VALUE"""),"62")</f>
        <v>62</v>
      </c>
      <c r="E40" s="15" t="str">
        <f>IFERROR(__xludf.DUMMYFUNCTION("""COMPUTED_VALUE"""),"29")</f>
        <v>29</v>
      </c>
      <c r="F40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40" s="17" t="str">
        <f>IFERROR(__xludf.DUMMYFUNCTION("""COMPUTED_VALUE"""),"https://realtree.com/all/articles/what-deer-really-see")</f>
        <v>https://realtree.com/all/articles/what-deer-really-see</v>
      </c>
      <c r="H40" s="17" t="str">
        <f>IFERROR(__xludf.DUMMYFUNCTION("""COMPUTED_VALUE"""),"https://www.wideopenspaces.com/are-deer-actually-color-blind/")</f>
        <v>https://www.wideopenspaces.com/are-deer-actually-color-blind/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5" t="str">
        <f>IFERROR(__xludf.DUMMYFUNCTION("""COMPUTED_VALUE"""),"deer country")</f>
        <v>deer country</v>
      </c>
      <c r="B41" s="15" t="str">
        <f>IFERROR(__xludf.DUMMYFUNCTION("""COMPUTED_VALUE"""),"590")</f>
        <v>590</v>
      </c>
      <c r="C41" s="15" t="str">
        <f>IFERROR(__xludf.DUMMYFUNCTION("""COMPUTED_VALUE"""),"3")</f>
        <v>3</v>
      </c>
      <c r="D41" s="15" t="str">
        <f>IFERROR(__xludf.DUMMYFUNCTION("""COMPUTED_VALUE"""),"Not ranking")</f>
        <v>Not ranking</v>
      </c>
      <c r="E41" s="15" t="str">
        <f>IFERROR(__xludf.DUMMYFUNCTION("""COMPUTED_VALUE"""),"Not ranking")</f>
        <v>Not ranking</v>
      </c>
      <c r="F41" s="17" t="str">
        <f>IFERROR(__xludf.DUMMYFUNCTION("""COMPUTED_VALUE"""),"https://www.themeateater.com/shows/deer-country")</f>
        <v>https://www.themeateater.com/shows/deer-country</v>
      </c>
      <c r="G41" s="18" t="str">
        <f>IFERROR(__xludf.DUMMYFUNCTION("""COMPUTED_VALUE"""),"Not ranking")</f>
        <v>Not ranking</v>
      </c>
      <c r="H41" s="18" t="str">
        <f>IFERROR(__xludf.DUMMYFUNCTION("""COMPUTED_VALUE"""),"Not ranking")</f>
        <v>Not ranking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5" t="str">
        <f>IFERROR(__xludf.DUMMYFUNCTION("""COMPUTED_VALUE"""),"where to aim on deer")</f>
        <v>where to aim on deer</v>
      </c>
      <c r="B42" s="15" t="str">
        <f>IFERROR(__xludf.DUMMYFUNCTION("""COMPUTED_VALUE"""),"590")</f>
        <v>590</v>
      </c>
      <c r="C42" s="15" t="str">
        <f>IFERROR(__xludf.DUMMYFUNCTION("""COMPUTED_VALUE"""),"3")</f>
        <v>3</v>
      </c>
      <c r="D42" s="15" t="str">
        <f>IFERROR(__xludf.DUMMYFUNCTION("""COMPUTED_VALUE"""),"9")</f>
        <v>9</v>
      </c>
      <c r="E42" s="15" t="str">
        <f>IFERROR(__xludf.DUMMYFUNCTION("""COMPUTED_VALUE"""),"22")</f>
        <v>22</v>
      </c>
      <c r="F42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42" s="17" t="str">
        <f>IFERROR(__xludf.DUMMYFUNCTION("""COMPUTED_VALUE"""),"https://realtree.com/deer-hunting/articles/the-best-shot-placement-on-deer")</f>
        <v>https://realtree.com/deer-hunting/articles/the-best-shot-placement-on-deer</v>
      </c>
      <c r="H42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5" t="str">
        <f>IFERROR(__xludf.DUMMYFUNCTION("""COMPUTED_VALUE"""),"where to shoot deer")</f>
        <v>where to shoot deer</v>
      </c>
      <c r="B43" s="15" t="str">
        <f>IFERROR(__xludf.DUMMYFUNCTION("""COMPUTED_VALUE"""),"3600")</f>
        <v>3600</v>
      </c>
      <c r="C43" s="15" t="str">
        <f>IFERROR(__xludf.DUMMYFUNCTION("""COMPUTED_VALUE"""),"4")</f>
        <v>4</v>
      </c>
      <c r="D43" s="15" t="str">
        <f>IFERROR(__xludf.DUMMYFUNCTION("""COMPUTED_VALUE"""),"20")</f>
        <v>20</v>
      </c>
      <c r="E43" s="15" t="str">
        <f>IFERROR(__xludf.DUMMYFUNCTION("""COMPUTED_VALUE"""),"10")</f>
        <v>10</v>
      </c>
      <c r="F43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43" s="17" t="str">
        <f>IFERROR(__xludf.DUMMYFUNCTION("""COMPUTED_VALUE"""),"https://realtree.com/deer-hunting/articles/the-best-shot-placement-on-deer")</f>
        <v>https://realtree.com/deer-hunting/articles/the-best-shot-placement-on-deer</v>
      </c>
      <c r="H43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5" t="str">
        <f>IFERROR(__xludf.DUMMYFUNCTION("""COMPUTED_VALUE"""),"calling in a deer")</f>
        <v>calling in a deer</v>
      </c>
      <c r="B44" s="15" t="str">
        <f>IFERROR(__xludf.DUMMYFUNCTION("""COMPUTED_VALUE"""),"2400")</f>
        <v>2400</v>
      </c>
      <c r="C44" s="15" t="str">
        <f>IFERROR(__xludf.DUMMYFUNCTION("""COMPUTED_VALUE"""),"4")</f>
        <v>4</v>
      </c>
      <c r="D44" s="15" t="str">
        <f>IFERROR(__xludf.DUMMYFUNCTION("""COMPUTED_VALUE"""),"12")</f>
        <v>12</v>
      </c>
      <c r="E44" s="15" t="str">
        <f>IFERROR(__xludf.DUMMYFUNCTION("""COMPUTED_VALUE"""),"Not ranking")</f>
        <v>Not ranking</v>
      </c>
      <c r="F44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44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44" s="18" t="str">
        <f>IFERROR(__xludf.DUMMYFUNCTION("""COMPUTED_VALUE"""),"Not ranking")</f>
        <v>Not ranking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5" t="str">
        <f>IFERROR(__xludf.DUMMYFUNCTION("""COMPUTED_VALUE"""),"best broadheads for deer")</f>
        <v>best broadheads for deer</v>
      </c>
      <c r="B45" s="15" t="str">
        <f>IFERROR(__xludf.DUMMYFUNCTION("""COMPUTED_VALUE"""),"1300")</f>
        <v>1300</v>
      </c>
      <c r="C45" s="15" t="str">
        <f>IFERROR(__xludf.DUMMYFUNCTION("""COMPUTED_VALUE"""),"4")</f>
        <v>4</v>
      </c>
      <c r="D45" s="15" t="str">
        <f>IFERROR(__xludf.DUMMYFUNCTION("""COMPUTED_VALUE"""),"54")</f>
        <v>54</v>
      </c>
      <c r="E45" s="15" t="str">
        <f>IFERROR(__xludf.DUMMYFUNCTION("""COMPUTED_VALUE"""),"17")</f>
        <v>17</v>
      </c>
      <c r="F45" s="17" t="str">
        <f>IFERROR(__xludf.DUMMYFUNCTION("""COMPUTED_VALUE"""),"https://www.themeateater.com/gear/general/best-hunting-broadheads")</f>
        <v>https://www.themeateater.com/gear/general/best-hunting-broadheads</v>
      </c>
      <c r="G45" s="17" t="str">
        <f>IFERROR(__xludf.DUMMYFUNCTION("""COMPUTED_VALUE"""),"https://realtree.com/bowhunting/articles/choosing-the-best-broadheads-for-specific-game")</f>
        <v>https://realtree.com/bowhunting/articles/choosing-the-best-broadheads-for-specific-game</v>
      </c>
      <c r="H45" s="17" t="str">
        <f>IFERROR(__xludf.DUMMYFUNCTION("""COMPUTED_VALUE"""),"https://www.wideopenspaces.com/best-broadheads-whitetail-deer/")</f>
        <v>https://www.wideopenspaces.com/best-broadheads-whitetail-deer/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 t="str">
        <f>IFERROR(__xludf.DUMMYFUNCTION("""COMPUTED_VALUE"""),"skinning a deer")</f>
        <v>skinning a deer</v>
      </c>
      <c r="B46" s="15" t="str">
        <f>IFERROR(__xludf.DUMMYFUNCTION("""COMPUTED_VALUE"""),"1300")</f>
        <v>1300</v>
      </c>
      <c r="C46" s="15" t="str">
        <f>IFERROR(__xludf.DUMMYFUNCTION("""COMPUTED_VALUE"""),"4")</f>
        <v>4</v>
      </c>
      <c r="D46" s="15" t="str">
        <f>IFERROR(__xludf.DUMMYFUNCTION("""COMPUTED_VALUE"""),"2")</f>
        <v>2</v>
      </c>
      <c r="E46" s="15" t="str">
        <f>IFERROR(__xludf.DUMMYFUNCTION("""COMPUTED_VALUE"""),"Not ranking")</f>
        <v>Not ranking</v>
      </c>
      <c r="F46" s="17" t="str">
        <f>IFERROR(__xludf.DUMMYFUNCTION("""COMPUTED_VALUE"""),"https://www.themeateater.com/hunt/big-game/how-to-hang-and-skin-a-deer-in-the-field")</f>
        <v>https://www.themeateater.com/hunt/big-game/how-to-hang-and-skin-a-deer-in-the-field</v>
      </c>
      <c r="G46" s="17" t="str">
        <f>IFERROR(__xludf.DUMMYFUNCTION("""COMPUTED_VALUE"""),"https://realtree.com/timber-2-table-wild-game-recipes/how-to-skin-a-deer-in-6-steps")</f>
        <v>https://realtree.com/timber-2-table-wild-game-recipes/how-to-skin-a-deer-in-6-steps</v>
      </c>
      <c r="H46" s="18" t="str">
        <f>IFERROR(__xludf.DUMMYFUNCTION("""COMPUTED_VALUE"""),"Not ranking")</f>
        <v>Not ranking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5" t="str">
        <f>IFERROR(__xludf.DUMMYFUNCTION("""COMPUTED_VALUE"""),"where does a deer sleep")</f>
        <v>where does a deer sleep</v>
      </c>
      <c r="B47" s="15" t="str">
        <f>IFERROR(__xludf.DUMMYFUNCTION("""COMPUTED_VALUE"""),"1300")</f>
        <v>1300</v>
      </c>
      <c r="C47" s="15" t="str">
        <f>IFERROR(__xludf.DUMMYFUNCTION("""COMPUTED_VALUE"""),"4")</f>
        <v>4</v>
      </c>
      <c r="D47" s="15" t="str">
        <f>IFERROR(__xludf.DUMMYFUNCTION("""COMPUTED_VALUE"""),"26")</f>
        <v>26</v>
      </c>
      <c r="E47" s="15" t="str">
        <f>IFERROR(__xludf.DUMMYFUNCTION("""COMPUTED_VALUE"""),"11")</f>
        <v>11</v>
      </c>
      <c r="F47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47" s="17" t="str">
        <f>IFERROR(__xludf.DUMMYFUNCTION("""COMPUTED_VALUE"""),"https://realtree.com/brow-tines-and-backstrap/15-places-big-bucks-bed-that-deer-hunters-should-hunt")</f>
        <v>https://realtree.com/brow-tines-and-backstrap/15-places-big-bucks-bed-that-deer-hunters-should-hunt</v>
      </c>
      <c r="H47" s="17" t="str">
        <f>IFERROR(__xludf.DUMMYFUNCTION("""COMPUTED_VALUE"""),"https://www.wideopenspaces.com/where-do-deer-sleep/")</f>
        <v>https://www.wideopenspaces.com/where-do-deer-sleep/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5" t="str">
        <f>IFERROR(__xludf.DUMMYFUNCTION("""COMPUTED_VALUE"""),"deer grunt call")</f>
        <v>deer grunt call</v>
      </c>
      <c r="B48" s="15" t="str">
        <f>IFERROR(__xludf.DUMMYFUNCTION("""COMPUTED_VALUE"""),"880")</f>
        <v>880</v>
      </c>
      <c r="C48" s="15" t="str">
        <f>IFERROR(__xludf.DUMMYFUNCTION("""COMPUTED_VALUE"""),"4")</f>
        <v>4</v>
      </c>
      <c r="D48" s="15" t="str">
        <f>IFERROR(__xludf.DUMMYFUNCTION("""COMPUTED_VALUE"""),"15")</f>
        <v>15</v>
      </c>
      <c r="E48" s="15" t="str">
        <f>IFERROR(__xludf.DUMMYFUNCTION("""COMPUTED_VALUE"""),"Not ranking")</f>
        <v>Not ranking</v>
      </c>
      <c r="F48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48" s="17" t="str">
        <f>IFERROR(__xludf.DUMMYFUNCTION("""COMPUTED_VALUE"""),"https://realtree.com/brow-tines-and-backstrap/podcast-how-the-grunt-call-came-to-be")</f>
        <v>https://realtree.com/brow-tines-and-backstrap/podcast-how-the-grunt-call-came-to-be</v>
      </c>
      <c r="H48" s="18" t="str">
        <f>IFERROR(__xludf.DUMMYFUNCTION("""COMPUTED_VALUE"""),"Not ranking")</f>
        <v>Not ranking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5" t="str">
        <f>IFERROR(__xludf.DUMMYFUNCTION("""COMPUTED_VALUE"""),"deer jerkey")</f>
        <v>deer jerkey</v>
      </c>
      <c r="B49" s="15" t="str">
        <f>IFERROR(__xludf.DUMMYFUNCTION("""COMPUTED_VALUE"""),"880")</f>
        <v>880</v>
      </c>
      <c r="C49" s="15" t="str">
        <f>IFERROR(__xludf.DUMMYFUNCTION("""COMPUTED_VALUE"""),"4")</f>
        <v>4</v>
      </c>
      <c r="D49" s="15" t="str">
        <f>IFERROR(__xludf.DUMMYFUNCTION("""COMPUTED_VALUE"""),"50")</f>
        <v>50</v>
      </c>
      <c r="E49" s="15" t="str">
        <f>IFERROR(__xludf.DUMMYFUNCTION("""COMPUTED_VALUE"""),"18")</f>
        <v>18</v>
      </c>
      <c r="F49" s="17" t="str">
        <f>IFERROR(__xludf.DUMMYFUNCTION("""COMPUTED_VALUE"""),"https://www.themeateater.com/watch/6278033203001/how-to-make-venison-jerky-with-kevin-gillespie")</f>
        <v>https://www.themeateater.com/watch/6278033203001/how-to-make-venison-jerky-with-kevin-gillespie</v>
      </c>
      <c r="G49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49" s="17" t="str">
        <f>IFERROR(__xludf.DUMMYFUNCTION("""COMPUTED_VALUE"""),"https://www.wideopenspaces.com/venison-jerky-recipes/")</f>
        <v>https://www.wideopenspaces.com/venison-jerky-recipes/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5" t="str">
        <f>IFERROR(__xludf.DUMMYFUNCTION("""COMPUTED_VALUE"""),"deer shot")</f>
        <v>deer shot</v>
      </c>
      <c r="B50" s="15" t="str">
        <f>IFERROR(__xludf.DUMMYFUNCTION("""COMPUTED_VALUE"""),"880")</f>
        <v>880</v>
      </c>
      <c r="C50" s="15" t="str">
        <f>IFERROR(__xludf.DUMMYFUNCTION("""COMPUTED_VALUE"""),"4")</f>
        <v>4</v>
      </c>
      <c r="D50" s="15" t="str">
        <f>IFERROR(__xludf.DUMMYFUNCTION("""COMPUTED_VALUE"""),"5")</f>
        <v>5</v>
      </c>
      <c r="E50" s="15" t="str">
        <f>IFERROR(__xludf.DUMMYFUNCTION("""COMPUTED_VALUE"""),"69")</f>
        <v>69</v>
      </c>
      <c r="F50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50" s="17" t="str">
        <f>IFERROR(__xludf.DUMMYFUNCTION("""COMPUTED_VALUE"""),"https://realtree.com/deer-hunting/articles/15-tips-for-one-shot-kills")</f>
        <v>https://realtree.com/deer-hunting/articles/15-tips-for-one-shot-kills</v>
      </c>
      <c r="H50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5" t="str">
        <f>IFERROR(__xludf.DUMMYFUNCTION("""COMPUTED_VALUE"""),"grunt call deer")</f>
        <v>grunt call deer</v>
      </c>
      <c r="B51" s="15" t="str">
        <f>IFERROR(__xludf.DUMMYFUNCTION("""COMPUTED_VALUE"""),"720")</f>
        <v>720</v>
      </c>
      <c r="C51" s="15" t="str">
        <f>IFERROR(__xludf.DUMMYFUNCTION("""COMPUTED_VALUE"""),"4")</f>
        <v>4</v>
      </c>
      <c r="D51" s="15" t="str">
        <f>IFERROR(__xludf.DUMMYFUNCTION("""COMPUTED_VALUE"""),"15")</f>
        <v>15</v>
      </c>
      <c r="E51" s="15" t="str">
        <f>IFERROR(__xludf.DUMMYFUNCTION("""COMPUTED_VALUE"""),"Not ranking")</f>
        <v>Not ranking</v>
      </c>
      <c r="F51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51" s="17" t="str">
        <f>IFERROR(__xludf.DUMMYFUNCTION("""COMPUTED_VALUE"""),"https://realtree.com/brow-tines-and-backstrap/podcast-how-the-grunt-call-came-to-be")</f>
        <v>https://realtree.com/brow-tines-and-backstrap/podcast-how-the-grunt-call-came-to-be</v>
      </c>
      <c r="H51" s="18" t="str">
        <f>IFERROR(__xludf.DUMMYFUNCTION("""COMPUTED_VALUE"""),"Not ranking")</f>
        <v>Not ranking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5" t="str">
        <f>IFERROR(__xludf.DUMMYFUNCTION("""COMPUTED_VALUE"""),"best deer hunting states")</f>
        <v>best deer hunting states</v>
      </c>
      <c r="B52" s="15" t="str">
        <f>IFERROR(__xludf.DUMMYFUNCTION("""COMPUTED_VALUE"""),"590")</f>
        <v>590</v>
      </c>
      <c r="C52" s="15" t="str">
        <f>IFERROR(__xludf.DUMMYFUNCTION("""COMPUTED_VALUE"""),"4")</f>
        <v>4</v>
      </c>
      <c r="D52" s="15" t="str">
        <f>IFERROR(__xludf.DUMMYFUNCTION("""COMPUTED_VALUE"""),"13")</f>
        <v>13</v>
      </c>
      <c r="E52" s="15" t="str">
        <f>IFERROR(__xludf.DUMMYFUNCTION("""COMPUTED_VALUE"""),"2")</f>
        <v>2</v>
      </c>
      <c r="F52" s="17" t="str">
        <f>IFERROR(__xludf.DUMMYFUNCTION("""COMPUTED_VALUE"""),"https://www.themeateater.com/hunt/general/which-states-produce-the-best-deer-hunters")</f>
        <v>https://www.themeateater.com/hunt/general/which-states-produce-the-best-deer-hunters</v>
      </c>
      <c r="G52" s="17" t="str">
        <f>IFERROR(__xludf.DUMMYFUNCTION("""COMPUTED_VALUE"""),"https://realtree.com/brow-tines-and-backstrap/18-great-gun-hunting-states-for-deer-hunters")</f>
        <v>https://realtree.com/brow-tines-and-backstrap/18-great-gun-hunting-states-for-deer-hunters</v>
      </c>
      <c r="H52" s="17" t="str">
        <f>IFERROR(__xludf.DUMMYFUNCTION("""COMPUTED_VALUE"""),"https://www.wideopenspaces.com/top-10-places-hunt-whitetail-u-s-pics/")</f>
        <v>https://www.wideopenspaces.com/top-10-places-hunt-whitetail-u-s-pics/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5" t="str">
        <f>IFERROR(__xludf.DUMMYFUNCTION("""COMPUTED_VALUE"""),"deer hunting with ground blinds")</f>
        <v>deer hunting with ground blinds</v>
      </c>
      <c r="B53" s="15" t="str">
        <f>IFERROR(__xludf.DUMMYFUNCTION("""COMPUTED_VALUE"""),"590")</f>
        <v>590</v>
      </c>
      <c r="C53" s="15" t="str">
        <f>IFERROR(__xludf.DUMMYFUNCTION("""COMPUTED_VALUE"""),"4")</f>
        <v>4</v>
      </c>
      <c r="D53" s="15" t="str">
        <f>IFERROR(__xludf.DUMMYFUNCTION("""COMPUTED_VALUE"""),"8")</f>
        <v>8</v>
      </c>
      <c r="E53" s="15" t="str">
        <f>IFERROR(__xludf.DUMMYFUNCTION("""COMPUTED_VALUE"""),"41")</f>
        <v>41</v>
      </c>
      <c r="F53" s="17" t="str">
        <f>IFERROR(__xludf.DUMMYFUNCTION("""COMPUTED_VALUE"""),"https://www.themeateater.com/wired-to-hunt/whitetail-scouting/how-to-set-up-a-ground-blind-that-wont-spook-deer")</f>
        <v>https://www.themeateater.com/wired-to-hunt/whitetail-scouting/how-to-set-up-a-ground-blind-that-wont-spook-deer</v>
      </c>
      <c r="G53" s="17" t="str">
        <f>IFERROR(__xludf.DUMMYFUNCTION("""COMPUTED_VALUE"""),"https://realtree.com/bowhunting/articles/8-tips-for-bowhunting-deer-from-a-ground-blind")</f>
        <v>https://realtree.com/bowhunting/articles/8-tips-for-bowhunting-deer-from-a-ground-blind</v>
      </c>
      <c r="H53" s="17" t="str">
        <f>IFERROR(__xludf.DUMMYFUNCTION("""COMPUTED_VALUE"""),"https://www.wideopenspaces.com/treestand-vs-groundblind-when-and-where-you-should-use-either-one/")</f>
        <v>https://www.wideopenspaces.com/treestand-vs-groundblind-when-and-where-you-should-use-either-one/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5" t="str">
        <f>IFERROR(__xludf.DUMMYFUNCTION("""COMPUTED_VALUE"""),"deer ribs")</f>
        <v>deer ribs</v>
      </c>
      <c r="B54" s="15" t="str">
        <f>IFERROR(__xludf.DUMMYFUNCTION("""COMPUTED_VALUE"""),"590")</f>
        <v>590</v>
      </c>
      <c r="C54" s="15" t="str">
        <f>IFERROR(__xludf.DUMMYFUNCTION("""COMPUTED_VALUE"""),"4")</f>
        <v>4</v>
      </c>
      <c r="D54" s="15" t="str">
        <f>IFERROR(__xludf.DUMMYFUNCTION("""COMPUTED_VALUE"""),"Not ranking")</f>
        <v>Not ranking</v>
      </c>
      <c r="E54" s="15" t="str">
        <f>IFERROR(__xludf.DUMMYFUNCTION("""COMPUTED_VALUE"""),"Not ranking")</f>
        <v>Not ranking</v>
      </c>
      <c r="F54" s="17" t="str">
        <f>IFERROR(__xludf.DUMMYFUNCTION("""COMPUTED_VALUE"""),"https://www.themeateater.com/cook/recipes/venison-ribs")</f>
        <v>https://www.themeateater.com/cook/recipes/venison-ribs</v>
      </c>
      <c r="G54" s="18" t="str">
        <f>IFERROR(__xludf.DUMMYFUNCTION("""COMPUTED_VALUE"""),"Not ranking")</f>
        <v>Not ranking</v>
      </c>
      <c r="H54" s="18" t="str">
        <f>IFERROR(__xludf.DUMMYFUNCTION("""COMPUTED_VALUE"""),"Not ranking")</f>
        <v>Not ranking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5" t="str">
        <f>IFERROR(__xludf.DUMMYFUNCTION("""COMPUTED_VALUE"""),"deer's color")</f>
        <v>deer's color</v>
      </c>
      <c r="B55" s="15" t="str">
        <f>IFERROR(__xludf.DUMMYFUNCTION("""COMPUTED_VALUE"""),"590")</f>
        <v>590</v>
      </c>
      <c r="C55" s="15" t="str">
        <f>IFERROR(__xludf.DUMMYFUNCTION("""COMPUTED_VALUE"""),"4")</f>
        <v>4</v>
      </c>
      <c r="D55" s="15" t="str">
        <f>IFERROR(__xludf.DUMMYFUNCTION("""COMPUTED_VALUE"""),"Not ranking")</f>
        <v>Not ranking</v>
      </c>
      <c r="E55" s="15" t="str">
        <f>IFERROR(__xludf.DUMMYFUNCTION("""COMPUTED_VALUE"""),"Not ranking")</f>
        <v>Not ranking</v>
      </c>
      <c r="F55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55" s="18" t="str">
        <f>IFERROR(__xludf.DUMMYFUNCTION("""COMPUTED_VALUE"""),"Not ranking")</f>
        <v>Not ranking</v>
      </c>
      <c r="H55" s="18" t="str">
        <f>IFERROR(__xludf.DUMMYFUNCTION("""COMPUTED_VALUE"""),"Not ranking")</f>
        <v>Not ranking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5" t="str">
        <f>IFERROR(__xludf.DUMMYFUNCTION("""COMPUTED_VALUE"""),"gut shot on deer")</f>
        <v>gut shot on deer</v>
      </c>
      <c r="B56" s="15" t="str">
        <f>IFERROR(__xludf.DUMMYFUNCTION("""COMPUTED_VALUE"""),"590")</f>
        <v>590</v>
      </c>
      <c r="C56" s="15" t="str">
        <f>IFERROR(__xludf.DUMMYFUNCTION("""COMPUTED_VALUE"""),"4")</f>
        <v>4</v>
      </c>
      <c r="D56" s="15" t="str">
        <f>IFERROR(__xludf.DUMMYFUNCTION("""COMPUTED_VALUE"""),"26")</f>
        <v>26</v>
      </c>
      <c r="E56" s="15" t="str">
        <f>IFERROR(__xludf.DUMMYFUNCTION("""COMPUTED_VALUE"""),"7")</f>
        <v>7</v>
      </c>
      <c r="F56" s="17" t="str">
        <f>IFERROR(__xludf.DUMMYFUNCTION("""COMPUTED_VALUE"""),"https://www.themeateater.com/wired-to-hunt/whitetail-hunting/how-to-deal-with-a-gut-shot-deer")</f>
        <v>https://www.themeateater.com/wired-to-hunt/whitetail-hunting/how-to-deal-with-a-gut-shot-deer</v>
      </c>
      <c r="G56" s="17" t="str">
        <f>IFERROR(__xludf.DUMMYFUNCTION("""COMPUTED_VALUE"""),"https://realtree.com/brow-tines-and-backstrap/it-s-hot-you-shot-a-deer-now-what")</f>
        <v>https://realtree.com/brow-tines-and-backstrap/it-s-hot-you-shot-a-deer-now-what</v>
      </c>
      <c r="H56" s="17" t="str">
        <f>IFERROR(__xludf.DUMMYFUNCTION("""COMPUTED_VALUE"""),"https://www.wideopenspaces.com/salvage-gut-shot-deer/")</f>
        <v>https://www.wideopenspaces.com/salvage-gut-shot-deer/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5" t="str">
        <f>IFERROR(__xludf.DUMMYFUNCTION("""COMPUTED_VALUE"""),"shooting deer")</f>
        <v>shooting deer</v>
      </c>
      <c r="B57" s="15" t="str">
        <f>IFERROR(__xludf.DUMMYFUNCTION("""COMPUTED_VALUE"""),"590")</f>
        <v>590</v>
      </c>
      <c r="C57" s="15" t="str">
        <f>IFERROR(__xludf.DUMMYFUNCTION("""COMPUTED_VALUE"""),"4")</f>
        <v>4</v>
      </c>
      <c r="D57" s="15" t="str">
        <f>IFERROR(__xludf.DUMMYFUNCTION("""COMPUTED_VALUE"""),"8")</f>
        <v>8</v>
      </c>
      <c r="E57" s="15" t="str">
        <f>IFERROR(__xludf.DUMMYFUNCTION("""COMPUTED_VALUE"""),"Not ranking")</f>
        <v>Not ranking</v>
      </c>
      <c r="F57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57" s="17" t="str">
        <f>IFERROR(__xludf.DUMMYFUNCTION("""COMPUTED_VALUE"""),"https://realtree.com/timber-2-table-articles/meat-hunter-s-rules-for-shooting-the-right-deer")</f>
        <v>https://realtree.com/timber-2-table-articles/meat-hunter-s-rules-for-shooting-the-right-deer</v>
      </c>
      <c r="H57" s="18" t="str">
        <f>IFERROR(__xludf.DUMMYFUNCTION("""COMPUTED_VALUE"""),"Not ranking")</f>
        <v>Not ranking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5" t="str">
        <f>IFERROR(__xludf.DUMMYFUNCTION("""COMPUTED_VALUE"""),"tanned deer hides")</f>
        <v>tanned deer hides</v>
      </c>
      <c r="B58" s="15" t="str">
        <f>IFERROR(__xludf.DUMMYFUNCTION("""COMPUTED_VALUE"""),"590")</f>
        <v>590</v>
      </c>
      <c r="C58" s="15" t="str">
        <f>IFERROR(__xludf.DUMMYFUNCTION("""COMPUTED_VALUE"""),"4")</f>
        <v>4</v>
      </c>
      <c r="D58" s="15" t="str">
        <f>IFERROR(__xludf.DUMMYFUNCTION("""COMPUTED_VALUE"""),"Not ranking")</f>
        <v>Not ranking</v>
      </c>
      <c r="E58" s="15" t="str">
        <f>IFERROR(__xludf.DUMMYFUNCTION("""COMPUTED_VALUE"""),"31")</f>
        <v>31</v>
      </c>
      <c r="F58" s="17" t="str">
        <f>IFERROR(__xludf.DUMMYFUNCTION("""COMPUTED_VALUE"""),"https://www.themeateater.com/cook/butchering-and-processing/how-to-tan-a-deer-hide")</f>
        <v>https://www.themeateater.com/cook/butchering-and-processing/how-to-tan-a-deer-hide</v>
      </c>
      <c r="G58" s="18" t="str">
        <f>IFERROR(__xludf.DUMMYFUNCTION("""COMPUTED_VALUE"""),"Not ranking")</f>
        <v>Not ranking</v>
      </c>
      <c r="H58" s="17" t="str">
        <f>IFERROR(__xludf.DUMMYFUNCTION("""COMPUTED_VALUE"""),"https://www.wideopenspaces.com/7-steps-tanning-deer-hide-easier-think/")</f>
        <v>https://www.wideopenspaces.com/7-steps-tanning-deer-hide-easier-think/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5" t="str">
        <f>IFERROR(__xludf.DUMMYFUNCTION("""COMPUTED_VALUE"""),"world record deer")</f>
        <v>world record deer</v>
      </c>
      <c r="B59" s="15" t="str">
        <f>IFERROR(__xludf.DUMMYFUNCTION("""COMPUTED_VALUE"""),"590")</f>
        <v>590</v>
      </c>
      <c r="C59" s="15" t="str">
        <f>IFERROR(__xludf.DUMMYFUNCTION("""COMPUTED_VALUE"""),"4")</f>
        <v>4</v>
      </c>
      <c r="D59" s="15" t="str">
        <f>IFERROR(__xludf.DUMMYFUNCTION("""COMPUTED_VALUE"""),"25")</f>
        <v>25</v>
      </c>
      <c r="E59" s="15" t="str">
        <f>IFERROR(__xludf.DUMMYFUNCTION("""COMPUTED_VALUE"""),"23")</f>
        <v>23</v>
      </c>
      <c r="F59" s="17" t="str">
        <f>IFERROR(__xludf.DUMMYFUNCTION("""COMPUTED_VALUE"""),"https://www.themeateater.com/hunt/whitetail-deer/this-might-be-the-new-world-record-whitetail")</f>
        <v>https://www.themeateater.com/hunt/whitetail-deer/this-might-be-the-new-world-record-whitetail</v>
      </c>
      <c r="G59" s="17" t="str">
        <f>IFERROR(__xludf.DUMMYFUNCTION("""COMPUTED_VALUE"""),"https://realtree.com/all/articles/watch-out-milo-here-he-comes")</f>
        <v>https://realtree.com/all/articles/watch-out-milo-here-he-comes</v>
      </c>
      <c r="H59" s="17" t="str">
        <f>IFERROR(__xludf.DUMMYFUNCTION("""COMPUTED_VALUE"""),"https://www.wideopenspaces.com/value-of-a-monster-buck/")</f>
        <v>https://www.wideopenspaces.com/value-of-a-monster-buck/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5" t="str">
        <f>IFERROR(__xludf.DUMMYFUNCTION("""COMPUTED_VALUE"""),"youth deer rifle")</f>
        <v>youth deer rifle</v>
      </c>
      <c r="B60" s="15" t="str">
        <f>IFERROR(__xludf.DUMMYFUNCTION("""COMPUTED_VALUE"""),"590")</f>
        <v>590</v>
      </c>
      <c r="C60" s="15" t="str">
        <f>IFERROR(__xludf.DUMMYFUNCTION("""COMPUTED_VALUE"""),"4")</f>
        <v>4</v>
      </c>
      <c r="D60" s="15" t="str">
        <f>IFERROR(__xludf.DUMMYFUNCTION("""COMPUTED_VALUE"""),"98")</f>
        <v>98</v>
      </c>
      <c r="E60" s="15" t="str">
        <f>IFERROR(__xludf.DUMMYFUNCTION("""COMPUTED_VALUE"""),"5")</f>
        <v>5</v>
      </c>
      <c r="F60" s="17" t="str">
        <f>IFERROR(__xludf.DUMMYFUNCTION("""COMPUTED_VALUE"""),"https://www.themeateater.com/hunt/firearm-hunting/the-best-rifle-calibers-for-youth-hunters")</f>
        <v>https://www.themeateater.com/hunt/firearm-hunting/the-best-rifle-calibers-for-youth-hunters</v>
      </c>
      <c r="G60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60" s="17" t="str">
        <f>IFERROR(__xludf.DUMMYFUNCTION("""COMPUTED_VALUE"""),"https://www.wideopenspaces.com/top-5-youth-hunting-rifles-deer-hunting-pics/")</f>
        <v>https://www.wideopenspaces.com/top-5-youth-hunting-rifles-deer-hunting-pics/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5" t="str">
        <f>IFERROR(__xludf.DUMMYFUNCTION("""COMPUTED_VALUE"""),"female deer")</f>
        <v>female deer</v>
      </c>
      <c r="B61" s="15" t="str">
        <f>IFERROR(__xludf.DUMMYFUNCTION("""COMPUTED_VALUE"""),"6600")</f>
        <v>6600</v>
      </c>
      <c r="C61" s="15" t="str">
        <f>IFERROR(__xludf.DUMMYFUNCTION("""COMPUTED_VALUE"""),"5")</f>
        <v>5</v>
      </c>
      <c r="D61" s="15" t="str">
        <f>IFERROR(__xludf.DUMMYFUNCTION("""COMPUTED_VALUE"""),"Not ranking")</f>
        <v>Not ranking</v>
      </c>
      <c r="E61" s="15" t="str">
        <f>IFERROR(__xludf.DUMMYFUNCTION("""COMPUTED_VALUE"""),"Not ranking")</f>
        <v>Not ranking</v>
      </c>
      <c r="F61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61" s="18" t="str">
        <f>IFERROR(__xludf.DUMMYFUNCTION("""COMPUTED_VALUE"""),"Not ranking")</f>
        <v>Not ranking</v>
      </c>
      <c r="H61" s="18" t="str">
        <f>IFERROR(__xludf.DUMMYFUNCTION("""COMPUTED_VALUE"""),"Not ranking")</f>
        <v>Not ranking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5" t="str">
        <f>IFERROR(__xludf.DUMMYFUNCTION("""COMPUTED_VALUE"""),"how to field dress a deer")</f>
        <v>how to field dress a deer</v>
      </c>
      <c r="B62" s="15" t="str">
        <f>IFERROR(__xludf.DUMMYFUNCTION("""COMPUTED_VALUE"""),"4400")</f>
        <v>4400</v>
      </c>
      <c r="C62" s="15" t="str">
        <f>IFERROR(__xludf.DUMMYFUNCTION("""COMPUTED_VALUE"""),"5")</f>
        <v>5</v>
      </c>
      <c r="D62" s="15" t="str">
        <f>IFERROR(__xludf.DUMMYFUNCTION("""COMPUTED_VALUE"""),"12")</f>
        <v>12</v>
      </c>
      <c r="E62" s="15" t="str">
        <f>IFERROR(__xludf.DUMMYFUNCTION("""COMPUTED_VALUE"""),"97")</f>
        <v>97</v>
      </c>
      <c r="F62" s="17" t="str">
        <f>IFERROR(__xludf.DUMMYFUNCTION("""COMPUTED_VALUE"""),"https://www.themeateater.com/watch/6175620095001/how-to-field-dress-a-deer-with-steven-rinella")</f>
        <v>https://www.themeateater.com/watch/6175620095001/how-to-field-dress-a-deer-with-steven-rinella</v>
      </c>
      <c r="G62" s="17" t="str">
        <f>IFERROR(__xludf.DUMMYFUNCTION("""COMPUTED_VALUE"""),"https://realtree.com/deer-hunting/articles/7-serious-field-dressing-mistakes")</f>
        <v>https://realtree.com/deer-hunting/articles/7-serious-field-dressing-mistakes</v>
      </c>
      <c r="H62" s="17" t="str">
        <f>IFERROR(__xludf.DUMMYFUNCTION("""COMPUTED_VALUE"""),"https://www.wideopenspaces.com/field-dressing-deer-with-gloves/")</f>
        <v>https://www.wideopenspaces.com/field-dressing-deer-with-gloves/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5" t="str">
        <f>IFERROR(__xludf.DUMMYFUNCTION("""COMPUTED_VALUE"""),"mule deer vs whitetail")</f>
        <v>mule deer vs whitetail</v>
      </c>
      <c r="B63" s="15" t="str">
        <f>IFERROR(__xludf.DUMMYFUNCTION("""COMPUTED_VALUE"""),"4400")</f>
        <v>4400</v>
      </c>
      <c r="C63" s="15" t="str">
        <f>IFERROR(__xludf.DUMMYFUNCTION("""COMPUTED_VALUE"""),"5")</f>
        <v>5</v>
      </c>
      <c r="D63" s="15" t="str">
        <f>IFERROR(__xludf.DUMMYFUNCTION("""COMPUTED_VALUE"""),"7")</f>
        <v>7</v>
      </c>
      <c r="E63" s="15" t="str">
        <f>IFERROR(__xludf.DUMMYFUNCTION("""COMPUTED_VALUE"""),"Not ranking")</f>
        <v>Not ranking</v>
      </c>
      <c r="F63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63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63" s="18" t="str">
        <f>IFERROR(__xludf.DUMMYFUNCTION("""COMPUTED_VALUE"""),"Not ranking")</f>
        <v>Not ranking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5" t="str">
        <f>IFERROR(__xludf.DUMMYFUNCTION("""COMPUTED_VALUE"""),"do deer move in the rain")</f>
        <v>do deer move in the rain</v>
      </c>
      <c r="B64" s="15" t="str">
        <f>IFERROR(__xludf.DUMMYFUNCTION("""COMPUTED_VALUE"""),"3600")</f>
        <v>3600</v>
      </c>
      <c r="C64" s="15" t="str">
        <f>IFERROR(__xludf.DUMMYFUNCTION("""COMPUTED_VALUE"""),"5")</f>
        <v>5</v>
      </c>
      <c r="D64" s="15" t="str">
        <f>IFERROR(__xludf.DUMMYFUNCTION("""COMPUTED_VALUE"""),"74")</f>
        <v>74</v>
      </c>
      <c r="E64" s="15" t="str">
        <f>IFERROR(__xludf.DUMMYFUNCTION("""COMPUTED_VALUE"""),"11")</f>
        <v>11</v>
      </c>
      <c r="F64" s="17" t="str">
        <f>IFERROR(__xludf.DUMMYFUNCTION("""COMPUTED_VALUE"""),"https://www.themeateater.com/wired-to-hunt/whitetail-hunting/should-you-deer-hunt-in-the-rain")</f>
        <v>https://www.themeateater.com/wired-to-hunt/whitetail-hunting/should-you-deer-hunt-in-the-rain</v>
      </c>
      <c r="G64" s="17" t="str">
        <f>IFERROR(__xludf.DUMMYFUNCTION("""COMPUTED_VALUE"""),"https://realtree.com/brow-tines-and-backstrap/why-windy-days-are-great-for-deer-hunting")</f>
        <v>https://realtree.com/brow-tines-and-backstrap/why-windy-days-are-great-for-deer-hunting</v>
      </c>
      <c r="H64" s="17" t="str">
        <f>IFERROR(__xludf.DUMMYFUNCTION("""COMPUTED_VALUE"""),"https://www.wideopenspaces.com/deer-hunting-in-the-rain/")</f>
        <v>https://www.wideopenspaces.com/deer-hunting-in-the-rain/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5" t="str">
        <f>IFERROR(__xludf.DUMMYFUNCTION("""COMPUTED_VALUE"""),"deer sausage")</f>
        <v>deer sausage</v>
      </c>
      <c r="B65" s="15" t="str">
        <f>IFERROR(__xludf.DUMMYFUNCTION("""COMPUTED_VALUE"""),"2900")</f>
        <v>2900</v>
      </c>
      <c r="C65" s="15" t="str">
        <f>IFERROR(__xludf.DUMMYFUNCTION("""COMPUTED_VALUE"""),"5")</f>
        <v>5</v>
      </c>
      <c r="D65" s="15" t="str">
        <f>IFERROR(__xludf.DUMMYFUNCTION("""COMPUTED_VALUE"""),"46")</f>
        <v>46</v>
      </c>
      <c r="E65" s="15" t="str">
        <f>IFERROR(__xludf.DUMMYFUNCTION("""COMPUTED_VALUE"""),"Not ranking")</f>
        <v>Not ranking</v>
      </c>
      <c r="F65" s="17" t="str">
        <f>IFERROR(__xludf.DUMMYFUNCTION("""COMPUTED_VALUE"""),"https://www.themeateater.com/cook/recipes/the-only-venison-breakfast-sausage-recipe-you-need")</f>
        <v>https://www.themeateater.com/cook/recipes/the-only-venison-breakfast-sausage-recipe-you-need</v>
      </c>
      <c r="G65" s="17" t="str">
        <f>IFERROR(__xludf.DUMMYFUNCTION("""COMPUTED_VALUE"""),"https://realtree.com/timber-2-table-wild-game-recipes/easy-deer-camp-red-beans-and-rice-with-venison-and-sausage")</f>
        <v>https://realtree.com/timber-2-table-wild-game-recipes/easy-deer-camp-red-beans-and-rice-with-venison-and-sausage</v>
      </c>
      <c r="H65" s="18" t="str">
        <f>IFERROR(__xludf.DUMMYFUNCTION("""COMPUTED_VALUE"""),"Not ranking")</f>
        <v>Not ranking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5" t="str">
        <f>IFERROR(__xludf.DUMMYFUNCTION("""COMPUTED_VALUE"""),"deer with fangs")</f>
        <v>deer with fangs</v>
      </c>
      <c r="B66" s="15" t="str">
        <f>IFERROR(__xludf.DUMMYFUNCTION("""COMPUTED_VALUE"""),"2900")</f>
        <v>2900</v>
      </c>
      <c r="C66" s="15" t="str">
        <f>IFERROR(__xludf.DUMMYFUNCTION("""COMPUTED_VALUE"""),"5")</f>
        <v>5</v>
      </c>
      <c r="D66" s="15" t="str">
        <f>IFERROR(__xludf.DUMMYFUNCTION("""COMPUTED_VALUE"""),"11")</f>
        <v>11</v>
      </c>
      <c r="E66" s="15" t="str">
        <f>IFERROR(__xludf.DUMMYFUNCTION("""COMPUTED_VALUE"""),"65")</f>
        <v>65</v>
      </c>
      <c r="F66" s="17" t="str">
        <f>IFERROR(__xludf.DUMMYFUNCTION("""COMPUTED_VALUE"""),"https://www.themeateater.com/wired-to-hunt/whitetail-management/why-some-whitetails-grow-fangs")</f>
        <v>https://www.themeateater.com/wired-to-hunt/whitetail-management/why-some-whitetails-grow-fangs</v>
      </c>
      <c r="G66" s="17" t="str">
        <f>IFERROR(__xludf.DUMMYFUNCTION("""COMPUTED_VALUE"""),"https://realtree.com/brow-tines-and-backstrap/some-deer-have-fangs")</f>
        <v>https://realtree.com/brow-tines-and-backstrap/some-deer-have-fangs</v>
      </c>
      <c r="H66" s="17" t="str">
        <f>IFERROR(__xludf.DUMMYFUNCTION("""COMPUTED_VALUE"""),"https://www.wideopenspaces.com/have-you-ever-seen-a-mule-deer-with-fangs-before/")</f>
        <v>https://www.wideopenspaces.com/have-you-ever-seen-a-mule-deer-with-fangs-before/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5" t="str">
        <f>IFERROR(__xludf.DUMMYFUNCTION("""COMPUTED_VALUE"""),"calling for deer")</f>
        <v>calling for deer</v>
      </c>
      <c r="B67" s="15" t="str">
        <f>IFERROR(__xludf.DUMMYFUNCTION("""COMPUTED_VALUE"""),"2400")</f>
        <v>2400</v>
      </c>
      <c r="C67" s="15" t="str">
        <f>IFERROR(__xludf.DUMMYFUNCTION("""COMPUTED_VALUE"""),"5")</f>
        <v>5</v>
      </c>
      <c r="D67" s="15" t="str">
        <f>IFERROR(__xludf.DUMMYFUNCTION("""COMPUTED_VALUE"""),"17")</f>
        <v>17</v>
      </c>
      <c r="E67" s="15" t="str">
        <f>IFERROR(__xludf.DUMMYFUNCTION("""COMPUTED_VALUE"""),"Not ranking")</f>
        <v>Not ranking</v>
      </c>
      <c r="F67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67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67" s="18" t="str">
        <f>IFERROR(__xludf.DUMMYFUNCTION("""COMPUTED_VALUE"""),"Not ranking")</f>
        <v>Not ranking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5" t="str">
        <f>IFERROR(__xludf.DUMMYFUNCTION("""COMPUTED_VALUE"""),"best deer rifle")</f>
        <v>best deer rifle</v>
      </c>
      <c r="B68" s="15" t="str">
        <f>IFERROR(__xludf.DUMMYFUNCTION("""COMPUTED_VALUE"""),"1900")</f>
        <v>1900</v>
      </c>
      <c r="C68" s="15" t="str">
        <f>IFERROR(__xludf.DUMMYFUNCTION("""COMPUTED_VALUE"""),"5")</f>
        <v>5</v>
      </c>
      <c r="D68" s="15" t="str">
        <f>IFERROR(__xludf.DUMMYFUNCTION("""COMPUTED_VALUE"""),"33")</f>
        <v>33</v>
      </c>
      <c r="E68" s="15" t="str">
        <f>IFERROR(__xludf.DUMMYFUNCTION("""COMPUTED_VALUE"""),"11")</f>
        <v>11</v>
      </c>
      <c r="F68" s="17" t="str">
        <f>IFERROR(__xludf.DUMMYFUNCTION("""COMPUTED_VALUE"""),"https://www.themeateater.com/hunt/firearm-hunting/5-best-rifles-for-new-hunters")</f>
        <v>https://www.themeateater.com/hunt/firearm-hunting/5-best-rifles-for-new-hunters</v>
      </c>
      <c r="G68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68" s="17" t="str">
        <f>IFERROR(__xludf.DUMMYFUNCTION("""COMPUTED_VALUE"""),"https://www.wideopenspaces.com/best-deer-hunting-rifles/")</f>
        <v>https://www.wideopenspaces.com/best-deer-hunting-rifles/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5" t="str">
        <f>IFERROR(__xludf.DUMMYFUNCTION("""COMPUTED_VALUE"""),"best place to shoot a deer")</f>
        <v>best place to shoot a deer</v>
      </c>
      <c r="B69" s="15" t="str">
        <f>IFERROR(__xludf.DUMMYFUNCTION("""COMPUTED_VALUE"""),"1600")</f>
        <v>1600</v>
      </c>
      <c r="C69" s="15" t="str">
        <f>IFERROR(__xludf.DUMMYFUNCTION("""COMPUTED_VALUE"""),"5")</f>
        <v>5</v>
      </c>
      <c r="D69" s="15" t="str">
        <f>IFERROR(__xludf.DUMMYFUNCTION("""COMPUTED_VALUE"""),"10")</f>
        <v>10</v>
      </c>
      <c r="E69" s="15" t="str">
        <f>IFERROR(__xludf.DUMMYFUNCTION("""COMPUTED_VALUE"""),"9")</f>
        <v>9</v>
      </c>
      <c r="F69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69" s="17" t="str">
        <f>IFERROR(__xludf.DUMMYFUNCTION("""COMPUTED_VALUE"""),"https://realtree.com/deer-hunting/articles/the-best-shot-placement-on-deer")</f>
        <v>https://realtree.com/deer-hunting/articles/the-best-shot-placement-on-deer</v>
      </c>
      <c r="H69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5" t="str">
        <f>IFERROR(__xludf.DUMMYFUNCTION("""COMPUTED_VALUE"""),"gutting a deer")</f>
        <v>gutting a deer</v>
      </c>
      <c r="B70" s="15" t="str">
        <f>IFERROR(__xludf.DUMMYFUNCTION("""COMPUTED_VALUE"""),"1600")</f>
        <v>1600</v>
      </c>
      <c r="C70" s="15" t="str">
        <f>IFERROR(__xludf.DUMMYFUNCTION("""COMPUTED_VALUE"""),"5")</f>
        <v>5</v>
      </c>
      <c r="D70" s="15" t="str">
        <f>IFERROR(__xludf.DUMMYFUNCTION("""COMPUTED_VALUE"""),"8")</f>
        <v>8</v>
      </c>
      <c r="E70" s="15" t="str">
        <f>IFERROR(__xludf.DUMMYFUNCTION("""COMPUTED_VALUE"""),"18")</f>
        <v>18</v>
      </c>
      <c r="F70" s="17" t="str">
        <f>IFERROR(__xludf.DUMMYFUNCTION("""COMPUTED_VALUE"""),"https://www.themeateater.com/hunt/whitetail-deer/how-to-gut-a-deer")</f>
        <v>https://www.themeateater.com/hunt/whitetail-deer/how-to-gut-a-deer</v>
      </c>
      <c r="G70" s="17" t="str">
        <f>IFERROR(__xludf.DUMMYFUNCTION("""COMPUTED_VALUE"""),"https://realtree.com/timber-2-table-wild-game-recipes/how-to-gut-a-deer-in-6-steps")</f>
        <v>https://realtree.com/timber-2-table-wild-game-recipes/how-to-gut-a-deer-in-6-steps</v>
      </c>
      <c r="H70" s="17" t="str">
        <f>IFERROR(__xludf.DUMMYFUNCTION("""COMPUTED_VALUE"""),"https://www.wideopenspaces.com/hunting-myth-buster-never-gut-a-deer-near-your-treestand/")</f>
        <v>https://www.wideopenspaces.com/hunting-myth-buster-never-gut-a-deer-near-your-treestand/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5" t="str">
        <f>IFERROR(__xludf.DUMMYFUNCTION("""COMPUTED_VALUE"""),"world record whitetail deer")</f>
        <v>world record whitetail deer</v>
      </c>
      <c r="B71" s="15" t="str">
        <f>IFERROR(__xludf.DUMMYFUNCTION("""COMPUTED_VALUE"""),"1600")</f>
        <v>1600</v>
      </c>
      <c r="C71" s="15" t="str">
        <f>IFERROR(__xludf.DUMMYFUNCTION("""COMPUTED_VALUE"""),"5")</f>
        <v>5</v>
      </c>
      <c r="D71" s="15" t="str">
        <f>IFERROR(__xludf.DUMMYFUNCTION("""COMPUTED_VALUE"""),"21")</f>
        <v>21</v>
      </c>
      <c r="E71" s="15" t="str">
        <f>IFERROR(__xludf.DUMMYFUNCTION("""COMPUTED_VALUE"""),"17")</f>
        <v>17</v>
      </c>
      <c r="F71" s="17" t="str">
        <f>IFERROR(__xludf.DUMMYFUNCTION("""COMPUTED_VALUE"""),"https://www.themeateater.com/hunt/whitetail-deer/this-might-be-the-new-world-record-whitetail")</f>
        <v>https://www.themeateater.com/hunt/whitetail-deer/this-might-be-the-new-world-record-whitetail</v>
      </c>
      <c r="G71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71" s="17" t="str">
        <f>IFERROR(__xludf.DUMMYFUNCTION("""COMPUTED_VALUE"""),"https://www.wideopenspaces.com/mel-johnson-buck/")</f>
        <v>https://www.wideopenspaces.com/mel-johnson-buck/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5" t="str">
        <f>IFERROR(__xludf.DUMMYFUNCTION("""COMPUTED_VALUE"""),"deer sleeping")</f>
        <v>deer sleeping</v>
      </c>
      <c r="B72" s="15" t="str">
        <f>IFERROR(__xludf.DUMMYFUNCTION("""COMPUTED_VALUE"""),"1000")</f>
        <v>1000</v>
      </c>
      <c r="C72" s="15" t="str">
        <f>IFERROR(__xludf.DUMMYFUNCTION("""COMPUTED_VALUE"""),"5")</f>
        <v>5</v>
      </c>
      <c r="D72" s="15" t="str">
        <f>IFERROR(__xludf.DUMMYFUNCTION("""COMPUTED_VALUE"""),"Not ranking")</f>
        <v>Not ranking</v>
      </c>
      <c r="E72" s="15" t="str">
        <f>IFERROR(__xludf.DUMMYFUNCTION("""COMPUTED_VALUE"""),"Not ranking")</f>
        <v>Not ranking</v>
      </c>
      <c r="F72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72" s="18" t="str">
        <f>IFERROR(__xludf.DUMMYFUNCTION("""COMPUTED_VALUE"""),"Not ranking")</f>
        <v>Not ranking</v>
      </c>
      <c r="H72" s="18" t="str">
        <f>IFERROR(__xludf.DUMMYFUNCTION("""COMPUTED_VALUE"""),"Not ranking")</f>
        <v>Not ranking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 t="str">
        <f>IFERROR(__xludf.DUMMYFUNCTION("""COMPUTED_VALUE"""),"grunt calls for deer")</f>
        <v>grunt calls for deer</v>
      </c>
      <c r="B73" s="15" t="str">
        <f>IFERROR(__xludf.DUMMYFUNCTION("""COMPUTED_VALUE"""),"1000")</f>
        <v>1000</v>
      </c>
      <c r="C73" s="15" t="str">
        <f>IFERROR(__xludf.DUMMYFUNCTION("""COMPUTED_VALUE"""),"5")</f>
        <v>5</v>
      </c>
      <c r="D73" s="15" t="str">
        <f>IFERROR(__xludf.DUMMYFUNCTION("""COMPUTED_VALUE"""),"51")</f>
        <v>51</v>
      </c>
      <c r="E73" s="15" t="str">
        <f>IFERROR(__xludf.DUMMYFUNCTION("""COMPUTED_VALUE"""),"Not ranking")</f>
        <v>Not ranking</v>
      </c>
      <c r="F73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73" s="17" t="str">
        <f>IFERROR(__xludf.DUMMYFUNCTION("""COMPUTED_VALUE"""),"https://realtree.com/brow-tines-and-backstrap/do-bucks-delay-their-response-to-grunt-calls")</f>
        <v>https://realtree.com/brow-tines-and-backstrap/do-bucks-delay-their-response-to-grunt-calls</v>
      </c>
      <c r="H73" s="18" t="str">
        <f>IFERROR(__xludf.DUMMYFUNCTION("""COMPUTED_VALUE"""),"Not ranking")</f>
        <v>Not ranking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 t="str">
        <f>IFERROR(__xludf.DUMMYFUNCTION("""COMPUTED_VALUE"""),"calling a deer")</f>
        <v>calling a deer</v>
      </c>
      <c r="B74" s="15" t="str">
        <f>IFERROR(__xludf.DUMMYFUNCTION("""COMPUTED_VALUE"""),"720")</f>
        <v>720</v>
      </c>
      <c r="C74" s="15" t="str">
        <f>IFERROR(__xludf.DUMMYFUNCTION("""COMPUTED_VALUE"""),"5")</f>
        <v>5</v>
      </c>
      <c r="D74" s="15" t="str">
        <f>IFERROR(__xludf.DUMMYFUNCTION("""COMPUTED_VALUE"""),"17")</f>
        <v>17</v>
      </c>
      <c r="E74" s="15" t="str">
        <f>IFERROR(__xludf.DUMMYFUNCTION("""COMPUTED_VALUE"""),"Not ranking")</f>
        <v>Not ranking</v>
      </c>
      <c r="F74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74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74" s="18" t="str">
        <f>IFERROR(__xludf.DUMMYFUNCTION("""COMPUTED_VALUE"""),"Not ranking")</f>
        <v>Not ranking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 t="str">
        <f>IFERROR(__xludf.DUMMYFUNCTION("""COMPUTED_VALUE"""),"deer hunting in the rain")</f>
        <v>deer hunting in the rain</v>
      </c>
      <c r="B75" s="15" t="str">
        <f>IFERROR(__xludf.DUMMYFUNCTION("""COMPUTED_VALUE"""),"720")</f>
        <v>720</v>
      </c>
      <c r="C75" s="15" t="str">
        <f>IFERROR(__xludf.DUMMYFUNCTION("""COMPUTED_VALUE"""),"5")</f>
        <v>5</v>
      </c>
      <c r="D75" s="15" t="str">
        <f>IFERROR(__xludf.DUMMYFUNCTION("""COMPUTED_VALUE"""),"Not ranking")</f>
        <v>Not ranking</v>
      </c>
      <c r="E75" s="15" t="str">
        <f>IFERROR(__xludf.DUMMYFUNCTION("""COMPUTED_VALUE"""),"7")</f>
        <v>7</v>
      </c>
      <c r="F75" s="17" t="str">
        <f>IFERROR(__xludf.DUMMYFUNCTION("""COMPUTED_VALUE"""),"https://www.themeateater.com/wired-to-hunt/whitetail-hunting/should-you-deer-hunt-in-the-rain")</f>
        <v>https://www.themeateater.com/wired-to-hunt/whitetail-hunting/should-you-deer-hunt-in-the-rain</v>
      </c>
      <c r="G75" s="18" t="str">
        <f>IFERROR(__xludf.DUMMYFUNCTION("""COMPUTED_VALUE"""),"Not ranking")</f>
        <v>Not ranking</v>
      </c>
      <c r="H75" s="17" t="str">
        <f>IFERROR(__xludf.DUMMYFUNCTION("""COMPUTED_VALUE"""),"https://www.wideopenspaces.com/deer-hunting-in-the-rain/")</f>
        <v>https://www.wideopenspaces.com/deer-hunting-in-the-rain/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5" t="str">
        <f>IFERROR(__xludf.DUMMYFUNCTION("""COMPUTED_VALUE"""),"22250 for deer")</f>
        <v>22250 for deer</v>
      </c>
      <c r="B76" s="15" t="str">
        <f>IFERROR(__xludf.DUMMYFUNCTION("""COMPUTED_VALUE"""),"590")</f>
        <v>590</v>
      </c>
      <c r="C76" s="15" t="str">
        <f>IFERROR(__xludf.DUMMYFUNCTION("""COMPUTED_VALUE"""),"5")</f>
        <v>5</v>
      </c>
      <c r="D76" s="15" t="str">
        <f>IFERROR(__xludf.DUMMYFUNCTION("""COMPUTED_VALUE"""),"Not ranking")</f>
        <v>Not ranking</v>
      </c>
      <c r="E76" s="15" t="str">
        <f>IFERROR(__xludf.DUMMYFUNCTION("""COMPUTED_VALUE"""),"Not ranking")</f>
        <v>Not ranking</v>
      </c>
      <c r="F76" s="17" t="str">
        <f>IFERROR(__xludf.DUMMYFUNCTION("""COMPUTED_VALUE"""),"https://www.themeateater.com/hunt/firearm-hunting/caliber-battle-223-rem-vs-22-250-rem")</f>
        <v>https://www.themeateater.com/hunt/firearm-hunting/caliber-battle-223-rem-vs-22-250-rem</v>
      </c>
      <c r="G76" s="18" t="str">
        <f>IFERROR(__xludf.DUMMYFUNCTION("""COMPUTED_VALUE"""),"Not ranking")</f>
        <v>Not ranking</v>
      </c>
      <c r="H76" s="18" t="str">
        <f>IFERROR(__xludf.DUMMYFUNCTION("""COMPUTED_VALUE"""),"Not ranking")</f>
        <v>Not ranking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5" t="str">
        <f>IFERROR(__xludf.DUMMYFUNCTION("""COMPUTED_VALUE"""),"best spot to shoot a deer")</f>
        <v>best spot to shoot a deer</v>
      </c>
      <c r="B77" s="15" t="str">
        <f>IFERROR(__xludf.DUMMYFUNCTION("""COMPUTED_VALUE"""),"590")</f>
        <v>590</v>
      </c>
      <c r="C77" s="15" t="str">
        <f>IFERROR(__xludf.DUMMYFUNCTION("""COMPUTED_VALUE"""),"5")</f>
        <v>5</v>
      </c>
      <c r="D77" s="15" t="str">
        <f>IFERROR(__xludf.DUMMYFUNCTION("""COMPUTED_VALUE"""),"13")</f>
        <v>13</v>
      </c>
      <c r="E77" s="15" t="str">
        <f>IFERROR(__xludf.DUMMYFUNCTION("""COMPUTED_VALUE"""),"19")</f>
        <v>19</v>
      </c>
      <c r="F77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77" s="17" t="str">
        <f>IFERROR(__xludf.DUMMYFUNCTION("""COMPUTED_VALUE"""),"https://realtree.com/deer-hunting/articles/the-best-shot-placement-on-deer")</f>
        <v>https://realtree.com/deer-hunting/articles/the-best-shot-placement-on-deer</v>
      </c>
      <c r="H77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 t="str">
        <f>IFERROR(__xludf.DUMMYFUNCTION("""COMPUTED_VALUE"""),"call in a deer")</f>
        <v>call in a deer</v>
      </c>
      <c r="B78" s="15" t="str">
        <f>IFERROR(__xludf.DUMMYFUNCTION("""COMPUTED_VALUE"""),"590")</f>
        <v>590</v>
      </c>
      <c r="C78" s="15" t="str">
        <f>IFERROR(__xludf.DUMMYFUNCTION("""COMPUTED_VALUE"""),"5")</f>
        <v>5</v>
      </c>
      <c r="D78" s="15" t="str">
        <f>IFERROR(__xludf.DUMMYFUNCTION("""COMPUTED_VALUE"""),"21")</f>
        <v>21</v>
      </c>
      <c r="E78" s="15" t="str">
        <f>IFERROR(__xludf.DUMMYFUNCTION("""COMPUTED_VALUE"""),"Not ranking")</f>
        <v>Not ranking</v>
      </c>
      <c r="F78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78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78" s="18" t="str">
        <f>IFERROR(__xludf.DUMMYFUNCTION("""COMPUTED_VALUE"""),"Not ranking")</f>
        <v>Not ranking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5" t="str">
        <f>IFERROR(__xludf.DUMMYFUNCTION("""COMPUTED_VALUE"""),"do deer come out in the rain")</f>
        <v>do deer come out in the rain</v>
      </c>
      <c r="B79" s="15" t="str">
        <f>IFERROR(__xludf.DUMMYFUNCTION("""COMPUTED_VALUE"""),"590")</f>
        <v>590</v>
      </c>
      <c r="C79" s="15" t="str">
        <f>IFERROR(__xludf.DUMMYFUNCTION("""COMPUTED_VALUE"""),"5")</f>
        <v>5</v>
      </c>
      <c r="D79" s="15" t="str">
        <f>IFERROR(__xludf.DUMMYFUNCTION("""COMPUTED_VALUE"""),"64")</f>
        <v>64</v>
      </c>
      <c r="E79" s="15" t="str">
        <f>IFERROR(__xludf.DUMMYFUNCTION("""COMPUTED_VALUE"""),"14")</f>
        <v>14</v>
      </c>
      <c r="F79" s="17" t="str">
        <f>IFERROR(__xludf.DUMMYFUNCTION("""COMPUTED_VALUE"""),"https://www.themeateater.com/wired-to-hunt/whitetail-hunting/should-you-deer-hunt-in-the-rain")</f>
        <v>https://www.themeateater.com/wired-to-hunt/whitetail-hunting/should-you-deer-hunt-in-the-rain</v>
      </c>
      <c r="G79" s="17" t="str">
        <f>IFERROR(__xludf.DUMMYFUNCTION("""COMPUTED_VALUE"""),"https://realtree.com/brow-tines-and-backstrap/5-watering-habits-of-mature-deer")</f>
        <v>https://realtree.com/brow-tines-and-backstrap/5-watering-habits-of-mature-deer</v>
      </c>
      <c r="H79" s="17" t="str">
        <f>IFERROR(__xludf.DUMMYFUNCTION("""COMPUTED_VALUE"""),"https://www.wideopenspaces.com/deer-hunting-in-the-rain/")</f>
        <v>https://www.wideopenspaces.com/deer-hunting-in-the-rain/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5" t="str">
        <f>IFERROR(__xludf.DUMMYFUNCTION("""COMPUTED_VALUE"""),"kill zone on deer")</f>
        <v>kill zone on deer</v>
      </c>
      <c r="B80" s="15" t="str">
        <f>IFERROR(__xludf.DUMMYFUNCTION("""COMPUTED_VALUE"""),"590")</f>
        <v>590</v>
      </c>
      <c r="C80" s="15" t="str">
        <f>IFERROR(__xludf.DUMMYFUNCTION("""COMPUTED_VALUE"""),"5")</f>
        <v>5</v>
      </c>
      <c r="D80" s="15" t="str">
        <f>IFERROR(__xludf.DUMMYFUNCTION("""COMPUTED_VALUE"""),"14")</f>
        <v>14</v>
      </c>
      <c r="E80" s="15" t="str">
        <f>IFERROR(__xludf.DUMMYFUNCTION("""COMPUTED_VALUE"""),"18")</f>
        <v>18</v>
      </c>
      <c r="F80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80" s="17" t="str">
        <f>IFERROR(__xludf.DUMMYFUNCTION("""COMPUTED_VALUE"""),"https://realtree.com/deer-hunting/articles/the-best-shot-placement-on-deer")</f>
        <v>https://realtree.com/deer-hunting/articles/the-best-shot-placement-on-deer</v>
      </c>
      <c r="H80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5" t="str">
        <f>IFERROR(__xludf.DUMMYFUNCTION("""COMPUTED_VALUE"""),"shot placement deer")</f>
        <v>shot placement deer</v>
      </c>
      <c r="B81" s="15" t="str">
        <f>IFERROR(__xludf.DUMMYFUNCTION("""COMPUTED_VALUE"""),"590")</f>
        <v>590</v>
      </c>
      <c r="C81" s="15" t="str">
        <f>IFERROR(__xludf.DUMMYFUNCTION("""COMPUTED_VALUE"""),"5")</f>
        <v>5</v>
      </c>
      <c r="D81" s="15" t="str">
        <f>IFERROR(__xludf.DUMMYFUNCTION("""COMPUTED_VALUE"""),"7")</f>
        <v>7</v>
      </c>
      <c r="E81" s="15" t="str">
        <f>IFERROR(__xludf.DUMMYFUNCTION("""COMPUTED_VALUE"""),"26")</f>
        <v>26</v>
      </c>
      <c r="F81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81" s="17" t="str">
        <f>IFERROR(__xludf.DUMMYFUNCTION("""COMPUTED_VALUE"""),"https://realtree.com/deer-hunting/articles/the-best-shot-placement-on-deer")</f>
        <v>https://realtree.com/deer-hunting/articles/the-best-shot-placement-on-deer</v>
      </c>
      <c r="H81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5" t="str">
        <f>IFERROR(__xludf.DUMMYFUNCTION("""COMPUTED_VALUE"""),"will deer move in the rain")</f>
        <v>will deer move in the rain</v>
      </c>
      <c r="B82" s="15" t="str">
        <f>IFERROR(__xludf.DUMMYFUNCTION("""COMPUTED_VALUE"""),"590")</f>
        <v>590</v>
      </c>
      <c r="C82" s="15" t="str">
        <f>IFERROR(__xludf.DUMMYFUNCTION("""COMPUTED_VALUE"""),"5")</f>
        <v>5</v>
      </c>
      <c r="D82" s="15" t="str">
        <f>IFERROR(__xludf.DUMMYFUNCTION("""COMPUTED_VALUE"""),"75")</f>
        <v>75</v>
      </c>
      <c r="E82" s="15" t="str">
        <f>IFERROR(__xludf.DUMMYFUNCTION("""COMPUTED_VALUE"""),"12")</f>
        <v>12</v>
      </c>
      <c r="F82" s="17" t="str">
        <f>IFERROR(__xludf.DUMMYFUNCTION("""COMPUTED_VALUE"""),"https://www.themeateater.com/wired-to-hunt/whitetail-hunting/should-you-deer-hunt-in-the-rain")</f>
        <v>https://www.themeateater.com/wired-to-hunt/whitetail-hunting/should-you-deer-hunt-in-the-rain</v>
      </c>
      <c r="G82" s="17" t="str">
        <f>IFERROR(__xludf.DUMMYFUNCTION("""COMPUTED_VALUE"""),"https://realtree.com/brow-tines-and-backstrap/why-windy-days-are-great-for-deer-hunting")</f>
        <v>https://realtree.com/brow-tines-and-backstrap/why-windy-days-are-great-for-deer-hunting</v>
      </c>
      <c r="H82" s="17" t="str">
        <f>IFERROR(__xludf.DUMMYFUNCTION("""COMPUTED_VALUE"""),"https://www.wideopenspaces.com/deer-hunting-in-the-rain/")</f>
        <v>https://www.wideopenspaces.com/deer-hunting-in-the-rain/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5" t="str">
        <f>IFERROR(__xludf.DUMMYFUNCTION("""COMPUTED_VALUE"""),"deer shot placement")</f>
        <v>deer shot placement</v>
      </c>
      <c r="B83" s="15" t="str">
        <f>IFERROR(__xludf.DUMMYFUNCTION("""COMPUTED_VALUE"""),"4400")</f>
        <v>4400</v>
      </c>
      <c r="C83" s="15" t="str">
        <f>IFERROR(__xludf.DUMMYFUNCTION("""COMPUTED_VALUE"""),"6")</f>
        <v>6</v>
      </c>
      <c r="D83" s="15" t="str">
        <f>IFERROR(__xludf.DUMMYFUNCTION("""COMPUTED_VALUE"""),"8")</f>
        <v>8</v>
      </c>
      <c r="E83" s="15" t="str">
        <f>IFERROR(__xludf.DUMMYFUNCTION("""COMPUTED_VALUE"""),"23")</f>
        <v>23</v>
      </c>
      <c r="F83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83" s="17" t="str">
        <f>IFERROR(__xludf.DUMMYFUNCTION("""COMPUTED_VALUE"""),"https://realtree.com/deer-hunting/articles/the-best-shot-placement-on-deer")</f>
        <v>https://realtree.com/deer-hunting/articles/the-best-shot-placement-on-deer</v>
      </c>
      <c r="H83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 t="str">
        <f>IFERROR(__xludf.DUMMYFUNCTION("""COMPUTED_VALUE"""),"deer steak")</f>
        <v>deer steak</v>
      </c>
      <c r="B84" s="15" t="str">
        <f>IFERROR(__xludf.DUMMYFUNCTION("""COMPUTED_VALUE"""),"2900")</f>
        <v>2900</v>
      </c>
      <c r="C84" s="15" t="str">
        <f>IFERROR(__xludf.DUMMYFUNCTION("""COMPUTED_VALUE"""),"6")</f>
        <v>6</v>
      </c>
      <c r="D84" s="15" t="str">
        <f>IFERROR(__xludf.DUMMYFUNCTION("""COMPUTED_VALUE"""),"20")</f>
        <v>20</v>
      </c>
      <c r="E84" s="15" t="str">
        <f>IFERROR(__xludf.DUMMYFUNCTION("""COMPUTED_VALUE"""),"Not ranking")</f>
        <v>Not ranking</v>
      </c>
      <c r="F84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84" s="17" t="str">
        <f>IFERROR(__xludf.DUMMYFUNCTION("""COMPUTED_VALUE"""),"https://realtree.com/timber-2-table-wild-game-recipes/black-pepper-and-honey-deer-steak-bites-recipe")</f>
        <v>https://realtree.com/timber-2-table-wild-game-recipes/black-pepper-and-honey-deer-steak-bites-recipe</v>
      </c>
      <c r="H84" s="18" t="str">
        <f>IFERROR(__xludf.DUMMYFUNCTION("""COMPUTED_VALUE"""),"Not ranking")</f>
        <v>Not ranking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 t="str">
        <f>IFERROR(__xludf.DUMMYFUNCTION("""COMPUTED_VALUE"""),"do female deer have antlers")</f>
        <v>do female deer have antlers</v>
      </c>
      <c r="B85" s="15" t="str">
        <f>IFERROR(__xludf.DUMMYFUNCTION("""COMPUTED_VALUE"""),"2900")</f>
        <v>2900</v>
      </c>
      <c r="C85" s="15" t="str">
        <f>IFERROR(__xludf.DUMMYFUNCTION("""COMPUTED_VALUE"""),"6")</f>
        <v>6</v>
      </c>
      <c r="D85" s="15" t="str">
        <f>IFERROR(__xludf.DUMMYFUNCTION("""COMPUTED_VALUE"""),"Not ranking")</f>
        <v>Not ranking</v>
      </c>
      <c r="E85" s="15" t="str">
        <f>IFERROR(__xludf.DUMMYFUNCTION("""COMPUTED_VALUE"""),"Not ranking")</f>
        <v>Not ranking</v>
      </c>
      <c r="F85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85" s="18" t="str">
        <f>IFERROR(__xludf.DUMMYFUNCTION("""COMPUTED_VALUE"""),"Not ranking")</f>
        <v>Not ranking</v>
      </c>
      <c r="H85" s="18" t="str">
        <f>IFERROR(__xludf.DUMMYFUNCTION("""COMPUTED_VALUE"""),"Not ranking")</f>
        <v>Not ranking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 t="str">
        <f>IFERROR(__xludf.DUMMYFUNCTION("""COMPUTED_VALUE"""),"where do deer sleep")</f>
        <v>where do deer sleep</v>
      </c>
      <c r="B86" s="15" t="str">
        <f>IFERROR(__xludf.DUMMYFUNCTION("""COMPUTED_VALUE"""),"2400")</f>
        <v>2400</v>
      </c>
      <c r="C86" s="15" t="str">
        <f>IFERROR(__xludf.DUMMYFUNCTION("""COMPUTED_VALUE"""),"6")</f>
        <v>6</v>
      </c>
      <c r="D86" s="15" t="str">
        <f>IFERROR(__xludf.DUMMYFUNCTION("""COMPUTED_VALUE"""),"39")</f>
        <v>39</v>
      </c>
      <c r="E86" s="15" t="str">
        <f>IFERROR(__xludf.DUMMYFUNCTION("""COMPUTED_VALUE"""),"15")</f>
        <v>15</v>
      </c>
      <c r="F86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86" s="17" t="str">
        <f>IFERROR(__xludf.DUMMYFUNCTION("""COMPUTED_VALUE"""),"https://realtree.com/brow-tines-and-backstrap/8-bedding-habits-of-mature-deer")</f>
        <v>https://realtree.com/brow-tines-and-backstrap/8-bedding-habits-of-mature-deer</v>
      </c>
      <c r="H86" s="17" t="str">
        <f>IFERROR(__xludf.DUMMYFUNCTION("""COMPUTED_VALUE"""),"https://www.wideopenspaces.com/where-do-deer-sleep/")</f>
        <v>https://www.wideopenspaces.com/where-do-deer-sleep/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 t="str">
        <f>IFERROR(__xludf.DUMMYFUNCTION("""COMPUTED_VALUE"""),"deer steak recipe")</f>
        <v>deer steak recipe</v>
      </c>
      <c r="B87" s="15" t="str">
        <f>IFERROR(__xludf.DUMMYFUNCTION("""COMPUTED_VALUE"""),"1600")</f>
        <v>1600</v>
      </c>
      <c r="C87" s="15" t="str">
        <f>IFERROR(__xludf.DUMMYFUNCTION("""COMPUTED_VALUE"""),"6")</f>
        <v>6</v>
      </c>
      <c r="D87" s="15" t="str">
        <f>IFERROR(__xludf.DUMMYFUNCTION("""COMPUTED_VALUE"""),"31")</f>
        <v>31</v>
      </c>
      <c r="E87" s="15" t="str">
        <f>IFERROR(__xludf.DUMMYFUNCTION("""COMPUTED_VALUE"""),"Not ranking")</f>
        <v>Not ranking</v>
      </c>
      <c r="F87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87" s="17" t="str">
        <f>IFERROR(__xludf.DUMMYFUNCTION("""COMPUTED_VALUE"""),"https://realtree.com/timber-2-table-wild-game-recipes/black-pepper-and-honey-deer-steak-bites-recipe")</f>
        <v>https://realtree.com/timber-2-table-wild-game-recipes/black-pepper-and-honey-deer-steak-bites-recipe</v>
      </c>
      <c r="H87" s="18" t="str">
        <f>IFERROR(__xludf.DUMMYFUNCTION("""COMPUTED_VALUE"""),"Not ranking")</f>
        <v>Not ranking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 t="str">
        <f>IFERROR(__xludf.DUMMYFUNCTION("""COMPUTED_VALUE"""),"fat deer")</f>
        <v>fat deer</v>
      </c>
      <c r="B88" s="15" t="str">
        <f>IFERROR(__xludf.DUMMYFUNCTION("""COMPUTED_VALUE"""),"1300")</f>
        <v>1300</v>
      </c>
      <c r="C88" s="15" t="str">
        <f>IFERROR(__xludf.DUMMYFUNCTION("""COMPUTED_VALUE"""),"6")</f>
        <v>6</v>
      </c>
      <c r="D88" s="15" t="str">
        <f>IFERROR(__xludf.DUMMYFUNCTION("""COMPUTED_VALUE"""),"10")</f>
        <v>10</v>
      </c>
      <c r="E88" s="15" t="str">
        <f>IFERROR(__xludf.DUMMYFUNCTION("""COMPUTED_VALUE"""),"Not ranking")</f>
        <v>Not ranking</v>
      </c>
      <c r="F88" s="17" t="str">
        <f>IFERROR(__xludf.DUMMYFUNCTION("""COMPUTED_VALUE"""),"https://www.themeateater.com/cook/butchering-and-processing/how-to-use-wild-game-fat")</f>
        <v>https://www.themeateater.com/cook/butchering-and-processing/how-to-use-wild-game-fat</v>
      </c>
      <c r="G88" s="17" t="str">
        <f>IFERROR(__xludf.DUMMYFUNCTION("""COMPUTED_VALUE"""),"https://realtree.com/timber-2-table-articles/how-to-save-and-cook-venison-caul-fat")</f>
        <v>https://realtree.com/timber-2-table-articles/how-to-save-and-cook-venison-caul-fat</v>
      </c>
      <c r="H88" s="18" t="str">
        <f>IFERROR(__xludf.DUMMYFUNCTION("""COMPUTED_VALUE"""),"Not ranking")</f>
        <v>Not ranking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 t="str">
        <f>IFERROR(__xludf.DUMMYFUNCTION("""COMPUTED_VALUE"""),"deer leg")</f>
        <v>deer leg</v>
      </c>
      <c r="B89" s="15" t="str">
        <f>IFERROR(__xludf.DUMMYFUNCTION("""COMPUTED_VALUE"""),"1000")</f>
        <v>1000</v>
      </c>
      <c r="C89" s="15" t="str">
        <f>IFERROR(__xludf.DUMMYFUNCTION("""COMPUTED_VALUE"""),"6")</f>
        <v>6</v>
      </c>
      <c r="D89" s="15" t="str">
        <f>IFERROR(__xludf.DUMMYFUNCTION("""COMPUTED_VALUE"""),"Not ranking")</f>
        <v>Not ranking</v>
      </c>
      <c r="E89" s="15" t="str">
        <f>IFERROR(__xludf.DUMMYFUNCTION("""COMPUTED_VALUE"""),"Not ranking")</f>
        <v>Not ranking</v>
      </c>
      <c r="F89" s="17" t="str">
        <f>IFERROR(__xludf.DUMMYFUNCTION("""COMPUTED_VALUE"""),"https://www.themeateater.com/watch/6175617016001/how-to-break-down-a-deer-s-hind-leg")</f>
        <v>https://www.themeateater.com/watch/6175617016001/how-to-break-down-a-deer-s-hind-leg</v>
      </c>
      <c r="G89" s="18" t="str">
        <f>IFERROR(__xludf.DUMMYFUNCTION("""COMPUTED_VALUE"""),"Not ranking")</f>
        <v>Not ranking</v>
      </c>
      <c r="H89" s="18" t="str">
        <f>IFERROR(__xludf.DUMMYFUNCTION("""COMPUTED_VALUE"""),"Not ranking")</f>
        <v>Not ranking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 t="str">
        <f>IFERROR(__xludf.DUMMYFUNCTION("""COMPUTED_VALUE"""),"whitetail deer versus mule deer")</f>
        <v>whitetail deer versus mule deer</v>
      </c>
      <c r="B90" s="15" t="str">
        <f>IFERROR(__xludf.DUMMYFUNCTION("""COMPUTED_VALUE"""),"1000")</f>
        <v>1000</v>
      </c>
      <c r="C90" s="15" t="str">
        <f>IFERROR(__xludf.DUMMYFUNCTION("""COMPUTED_VALUE"""),"6")</f>
        <v>6</v>
      </c>
      <c r="D90" s="15" t="str">
        <f>IFERROR(__xludf.DUMMYFUNCTION("""COMPUTED_VALUE"""),"4")</f>
        <v>4</v>
      </c>
      <c r="E90" s="15" t="str">
        <f>IFERROR(__xludf.DUMMYFUNCTION("""COMPUTED_VALUE"""),"28")</f>
        <v>28</v>
      </c>
      <c r="F90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90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90" s="17" t="str">
        <f>IFERROR(__xludf.DUMMYFUNCTION("""COMPUTED_VALUE"""),"https://www.wideopenspaces.com/whitetail-vs-mule-deer-the-differences-why-you-should-hunt-them-and-which-is-best/")</f>
        <v>https://www.wideopenspaces.com/whitetail-vs-mule-deer-the-differences-why-you-should-hunt-them-and-which-is-best/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 t="str">
        <f>IFERROR(__xludf.DUMMYFUNCTION("""COMPUTED_VALUE"""),"biggest whitetail deer")</f>
        <v>biggest whitetail deer</v>
      </c>
      <c r="B91" s="15" t="str">
        <f>IFERROR(__xludf.DUMMYFUNCTION("""COMPUTED_VALUE"""),"880")</f>
        <v>880</v>
      </c>
      <c r="C91" s="15" t="str">
        <f>IFERROR(__xludf.DUMMYFUNCTION("""COMPUTED_VALUE"""),"6")</f>
        <v>6</v>
      </c>
      <c r="D91" s="15" t="str">
        <f>IFERROR(__xludf.DUMMYFUNCTION("""COMPUTED_VALUE"""),"8")</f>
        <v>8</v>
      </c>
      <c r="E91" s="15" t="str">
        <f>IFERROR(__xludf.DUMMYFUNCTION("""COMPUTED_VALUE"""),"1")</f>
        <v>1</v>
      </c>
      <c r="F91" s="17" t="str">
        <f>IFERROR(__xludf.DUMMYFUNCTION("""COMPUTED_VALUE"""),"https://www.themeateater.com/hunt/whitetail-deer/this-might-be-the-new-world-record-whitetail")</f>
        <v>https://www.themeateater.com/hunt/whitetail-deer/this-might-be-the-new-world-record-whitetail</v>
      </c>
      <c r="G91" s="17" t="str">
        <f>IFERROR(__xludf.DUMMYFUNCTION("""COMPUTED_VALUE"""),"https://realtree.com/brow-tines-and-backstrap/3-biggest-typical-white-tailed-bucks-of-all-time")</f>
        <v>https://realtree.com/brow-tines-and-backstrap/3-biggest-typical-white-tailed-bucks-of-all-time</v>
      </c>
      <c r="H91" s="17" t="str">
        <f>IFERROR(__xludf.DUMMYFUNCTION("""COMPUTED_VALUE"""),"https://www.wideopenspaces.com/5-biggest-whitetail-bucks-ever-found-dead/")</f>
        <v>https://www.wideopenspaces.com/5-biggest-whitetail-bucks-ever-found-dead/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 t="str">
        <f>IFERROR(__xludf.DUMMYFUNCTION("""COMPUTED_VALUE"""),"deer rut 2022")</f>
        <v>deer rut 2022</v>
      </c>
      <c r="B92" s="15" t="str">
        <f>IFERROR(__xludf.DUMMYFUNCTION("""COMPUTED_VALUE"""),"880")</f>
        <v>880</v>
      </c>
      <c r="C92" s="15" t="str">
        <f>IFERROR(__xludf.DUMMYFUNCTION("""COMPUTED_VALUE"""),"6")</f>
        <v>6</v>
      </c>
      <c r="D92" s="15" t="str">
        <f>IFERROR(__xludf.DUMMYFUNCTION("""COMPUTED_VALUE"""),"36")</f>
        <v>36</v>
      </c>
      <c r="E92" s="15" t="str">
        <f>IFERROR(__xludf.DUMMYFUNCTION("""COMPUTED_VALUE"""),"Not ranking")</f>
        <v>Not ranking</v>
      </c>
      <c r="F92" s="17" t="str">
        <f>IFERROR(__xludf.DUMMYFUNCTION("""COMPUTED_VALUE"""),"https://www.themeateater.com/wired-to-hunt/whitetail-hunting/rut-fresh-report-10-27-2022")</f>
        <v>https://www.themeateater.com/wired-to-hunt/whitetail-hunting/rut-fresh-report-10-27-2022</v>
      </c>
      <c r="G92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92" s="18" t="str">
        <f>IFERROR(__xludf.DUMMYFUNCTION("""COMPUTED_VALUE"""),"Not ranking")</f>
        <v>Not ranking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 t="str">
        <f>IFERROR(__xludf.DUMMYFUNCTION("""COMPUTED_VALUE"""),"22 250 for deer")</f>
        <v>22 250 for deer</v>
      </c>
      <c r="B93" s="15" t="str">
        <f>IFERROR(__xludf.DUMMYFUNCTION("""COMPUTED_VALUE"""),"720")</f>
        <v>720</v>
      </c>
      <c r="C93" s="15" t="str">
        <f>IFERROR(__xludf.DUMMYFUNCTION("""COMPUTED_VALUE"""),"6")</f>
        <v>6</v>
      </c>
      <c r="D93" s="15" t="str">
        <f>IFERROR(__xludf.DUMMYFUNCTION("""COMPUTED_VALUE"""),"72")</f>
        <v>72</v>
      </c>
      <c r="E93" s="15" t="str">
        <f>IFERROR(__xludf.DUMMYFUNCTION("""COMPUTED_VALUE"""),"88")</f>
        <v>88</v>
      </c>
      <c r="F93" s="17" t="str">
        <f>IFERROR(__xludf.DUMMYFUNCTION("""COMPUTED_VALUE"""),"https://www.themeateater.com/hunt/firearm-hunting/caliber-battle-223-rem-vs-22-250-rem")</f>
        <v>https://www.themeateater.com/hunt/firearm-hunting/caliber-battle-223-rem-vs-22-250-rem</v>
      </c>
      <c r="G93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93" s="17" t="str">
        <f>IFERROR(__xludf.DUMMYFUNCTION("""COMPUTED_VALUE"""),"https://www.wideopenspaces.com/22-250-remington-varmint-round/")</f>
        <v>https://www.wideopenspaces.com/22-250-remington-varmint-round/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 t="str">
        <f>IFERROR(__xludf.DUMMYFUNCTION("""COMPUTED_VALUE"""),"deer call grunt")</f>
        <v>deer call grunt</v>
      </c>
      <c r="B94" s="15" t="str">
        <f>IFERROR(__xludf.DUMMYFUNCTION("""COMPUTED_VALUE"""),"720")</f>
        <v>720</v>
      </c>
      <c r="C94" s="15" t="str">
        <f>IFERROR(__xludf.DUMMYFUNCTION("""COMPUTED_VALUE"""),"6")</f>
        <v>6</v>
      </c>
      <c r="D94" s="15" t="str">
        <f>IFERROR(__xludf.DUMMYFUNCTION("""COMPUTED_VALUE"""),"34")</f>
        <v>34</v>
      </c>
      <c r="E94" s="15" t="str">
        <f>IFERROR(__xludf.DUMMYFUNCTION("""COMPUTED_VALUE"""),"Not ranking")</f>
        <v>Not ranking</v>
      </c>
      <c r="F94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94" s="17" t="str">
        <f>IFERROR(__xludf.DUMMYFUNCTION("""COMPUTED_VALUE"""),"https://realtree.com/brow-tines-and-backstrap/podcast-how-the-grunt-call-came-to-be")</f>
        <v>https://realtree.com/brow-tines-and-backstrap/podcast-how-the-grunt-call-came-to-be</v>
      </c>
      <c r="H94" s="18" t="str">
        <f>IFERROR(__xludf.DUMMYFUNCTION("""COMPUTED_VALUE"""),"Not ranking")</f>
        <v>Not ranking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 t="str">
        <f>IFERROR(__xludf.DUMMYFUNCTION("""COMPUTED_VALUE"""),"mule deer vs white tail")</f>
        <v>mule deer vs white tail</v>
      </c>
      <c r="B95" s="15" t="str">
        <f>IFERROR(__xludf.DUMMYFUNCTION("""COMPUTED_VALUE"""),"720")</f>
        <v>720</v>
      </c>
      <c r="C95" s="15" t="str">
        <f>IFERROR(__xludf.DUMMYFUNCTION("""COMPUTED_VALUE"""),"6")</f>
        <v>6</v>
      </c>
      <c r="D95" s="15" t="str">
        <f>IFERROR(__xludf.DUMMYFUNCTION("""COMPUTED_VALUE"""),"2")</f>
        <v>2</v>
      </c>
      <c r="E95" s="15" t="str">
        <f>IFERROR(__xludf.DUMMYFUNCTION("""COMPUTED_VALUE"""),"37")</f>
        <v>37</v>
      </c>
      <c r="F95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95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95" s="17" t="str">
        <f>IFERROR(__xludf.DUMMYFUNCTION("""COMPUTED_VALUE"""),"https://www.wideopenspaces.com/whitetail-vs-mule-deer-the-differences-why-you-should-hunt-them-and-which-is-best/")</f>
        <v>https://www.wideopenspaces.com/whitetail-vs-mule-deer-the-differences-why-you-should-hunt-them-and-which-is-best/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 t="str">
        <f>IFERROR(__xludf.DUMMYFUNCTION("""COMPUTED_VALUE"""),"deer coloration")</f>
        <v>deer coloration</v>
      </c>
      <c r="B96" s="15" t="str">
        <f>IFERROR(__xludf.DUMMYFUNCTION("""COMPUTED_VALUE"""),"590")</f>
        <v>590</v>
      </c>
      <c r="C96" s="15" t="str">
        <f>IFERROR(__xludf.DUMMYFUNCTION("""COMPUTED_VALUE"""),"6")</f>
        <v>6</v>
      </c>
      <c r="D96" s="15" t="str">
        <f>IFERROR(__xludf.DUMMYFUNCTION("""COMPUTED_VALUE"""),"Not ranking")</f>
        <v>Not ranking</v>
      </c>
      <c r="E96" s="15" t="str">
        <f>IFERROR(__xludf.DUMMYFUNCTION("""COMPUTED_VALUE"""),"Not ranking")</f>
        <v>Not ranking</v>
      </c>
      <c r="F96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96" s="18" t="str">
        <f>IFERROR(__xludf.DUMMYFUNCTION("""COMPUTED_VALUE"""),"Not ranking")</f>
        <v>Not ranking</v>
      </c>
      <c r="H96" s="18" t="str">
        <f>IFERROR(__xludf.DUMMYFUNCTION("""COMPUTED_VALUE"""),"Not ranking")</f>
        <v>Not ranking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 t="str">
        <f>IFERROR(__xludf.DUMMYFUNCTION("""COMPUTED_VALUE"""),"do female deers have antlers")</f>
        <v>do female deers have antlers</v>
      </c>
      <c r="B97" s="15" t="str">
        <f>IFERROR(__xludf.DUMMYFUNCTION("""COMPUTED_VALUE"""),"590")</f>
        <v>590</v>
      </c>
      <c r="C97" s="15" t="str">
        <f>IFERROR(__xludf.DUMMYFUNCTION("""COMPUTED_VALUE"""),"6")</f>
        <v>6</v>
      </c>
      <c r="D97" s="15" t="str">
        <f>IFERROR(__xludf.DUMMYFUNCTION("""COMPUTED_VALUE"""),"Not ranking")</f>
        <v>Not ranking</v>
      </c>
      <c r="E97" s="15" t="str">
        <f>IFERROR(__xludf.DUMMYFUNCTION("""COMPUTED_VALUE"""),"Not ranking")</f>
        <v>Not ranking</v>
      </c>
      <c r="F97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97" s="18" t="str">
        <f>IFERROR(__xludf.DUMMYFUNCTION("""COMPUTED_VALUE"""),"Not ranking")</f>
        <v>Not ranking</v>
      </c>
      <c r="H97" s="18" t="str">
        <f>IFERROR(__xludf.DUMMYFUNCTION("""COMPUTED_VALUE"""),"Not ranking")</f>
        <v>Not ranking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 t="str">
        <f>IFERROR(__xludf.DUMMYFUNCTION("""COMPUTED_VALUE"""),"skin a deer")</f>
        <v>skin a deer</v>
      </c>
      <c r="B98" s="15" t="str">
        <f>IFERROR(__xludf.DUMMYFUNCTION("""COMPUTED_VALUE"""),"590")</f>
        <v>590</v>
      </c>
      <c r="C98" s="15" t="str">
        <f>IFERROR(__xludf.DUMMYFUNCTION("""COMPUTED_VALUE"""),"6")</f>
        <v>6</v>
      </c>
      <c r="D98" s="15" t="str">
        <f>IFERROR(__xludf.DUMMYFUNCTION("""COMPUTED_VALUE"""),"3")</f>
        <v>3</v>
      </c>
      <c r="E98" s="15" t="str">
        <f>IFERROR(__xludf.DUMMYFUNCTION("""COMPUTED_VALUE"""),"Not ranking")</f>
        <v>Not ranking</v>
      </c>
      <c r="F98" s="17" t="str">
        <f>IFERROR(__xludf.DUMMYFUNCTION("""COMPUTED_VALUE"""),"https://www.themeateater.com/hunt/big-game/how-to-hang-and-skin-a-deer-in-the-field")</f>
        <v>https://www.themeateater.com/hunt/big-game/how-to-hang-and-skin-a-deer-in-the-field</v>
      </c>
      <c r="G98" s="17" t="str">
        <f>IFERROR(__xludf.DUMMYFUNCTION("""COMPUTED_VALUE"""),"https://realtree.com/timber-2-table-wild-game-recipes/how-to-skin-a-deer-in-6-steps")</f>
        <v>https://realtree.com/timber-2-table-wild-game-recipes/how-to-skin-a-deer-in-6-steps</v>
      </c>
      <c r="H98" s="18" t="str">
        <f>IFERROR(__xludf.DUMMYFUNCTION("""COMPUTED_VALUE"""),"Not ranking")</f>
        <v>Not ranking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 t="str">
        <f>IFERROR(__xludf.DUMMYFUNCTION("""COMPUTED_VALUE"""),"white tail vs mule deer")</f>
        <v>white tail vs mule deer</v>
      </c>
      <c r="B99" s="15" t="str">
        <f>IFERROR(__xludf.DUMMYFUNCTION("""COMPUTED_VALUE"""),"590")</f>
        <v>590</v>
      </c>
      <c r="C99" s="15" t="str">
        <f>IFERROR(__xludf.DUMMYFUNCTION("""COMPUTED_VALUE"""),"6")</f>
        <v>6</v>
      </c>
      <c r="D99" s="15" t="str">
        <f>IFERROR(__xludf.DUMMYFUNCTION("""COMPUTED_VALUE"""),"5")</f>
        <v>5</v>
      </c>
      <c r="E99" s="15" t="str">
        <f>IFERROR(__xludf.DUMMYFUNCTION("""COMPUTED_VALUE"""),"36")</f>
        <v>36</v>
      </c>
      <c r="F99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99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99" s="17" t="str">
        <f>IFERROR(__xludf.DUMMYFUNCTION("""COMPUTED_VALUE"""),"https://www.wideopenspaces.com/whitetail-vs-mule-deer-the-differences-why-you-should-hunt-them-and-which-is-best/")</f>
        <v>https://www.wideopenspaces.com/whitetail-vs-mule-deer-the-differences-why-you-should-hunt-them-and-which-is-best/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 t="str">
        <f>IFERROR(__xludf.DUMMYFUNCTION("""COMPUTED_VALUE"""),"deer steak recipes")</f>
        <v>deer steak recipes</v>
      </c>
      <c r="B100" s="15" t="str">
        <f>IFERROR(__xludf.DUMMYFUNCTION("""COMPUTED_VALUE"""),"1900")</f>
        <v>1900</v>
      </c>
      <c r="C100" s="15" t="str">
        <f>IFERROR(__xludf.DUMMYFUNCTION("""COMPUTED_VALUE"""),"7")</f>
        <v>7</v>
      </c>
      <c r="D100" s="15" t="str">
        <f>IFERROR(__xludf.DUMMYFUNCTION("""COMPUTED_VALUE"""),"48")</f>
        <v>48</v>
      </c>
      <c r="E100" s="15" t="str">
        <f>IFERROR(__xludf.DUMMYFUNCTION("""COMPUTED_VALUE"""),"Not ranking")</f>
        <v>Not ranking</v>
      </c>
      <c r="F100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100" s="17" t="str">
        <f>IFERROR(__xludf.DUMMYFUNCTION("""COMPUTED_VALUE"""),"https://realtree.com/timber-2-table-wild-game-recipes/black-pepper-and-honey-deer-steak-bites-recipe")</f>
        <v>https://realtree.com/timber-2-table-wild-game-recipes/black-pepper-and-honey-deer-steak-bites-recipe</v>
      </c>
      <c r="H100" s="18" t="str">
        <f>IFERROR(__xludf.DUMMYFUNCTION("""COMPUTED_VALUE"""),"Not ranking")</f>
        <v>Not ranking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 t="str">
        <f>IFERROR(__xludf.DUMMYFUNCTION("""COMPUTED_VALUE"""),"mule deer buck")</f>
        <v>mule deer buck</v>
      </c>
      <c r="B101" s="15" t="str">
        <f>IFERROR(__xludf.DUMMYFUNCTION("""COMPUTED_VALUE"""),"1600")</f>
        <v>1600</v>
      </c>
      <c r="C101" s="15" t="str">
        <f>IFERROR(__xludf.DUMMYFUNCTION("""COMPUTED_VALUE"""),"7")</f>
        <v>7</v>
      </c>
      <c r="D101" s="15" t="str">
        <f>IFERROR(__xludf.DUMMYFUNCTION("""COMPUTED_VALUE"""),"25")</f>
        <v>25</v>
      </c>
      <c r="E101" s="15" t="str">
        <f>IFERROR(__xludf.DUMMYFUNCTION("""COMPUTED_VALUE"""),"Not ranking")</f>
        <v>Not ranking</v>
      </c>
      <c r="F101" s="17" t="str">
        <f>IFERROR(__xludf.DUMMYFUNCTION("""COMPUTED_VALUE"""),"https://www.themeateater.com/watch/6290992279001/how-to-score-a-mule-deer-buck")</f>
        <v>https://www.themeateater.com/watch/6290992279001/how-to-score-a-mule-deer-buck</v>
      </c>
      <c r="G101" s="17" t="str">
        <f>IFERROR(__xludf.DUMMYFUNCTION("""COMPUTED_VALUE"""),"https://realtree.com/big-game-hunting/articles/5-things-to-know-about-big-mule-deer")</f>
        <v>https://realtree.com/big-game-hunting/articles/5-things-to-know-about-big-mule-deer</v>
      </c>
      <c r="H101" s="18" t="str">
        <f>IFERROR(__xludf.DUMMYFUNCTION("""COMPUTED_VALUE"""),"Not ranking")</f>
        <v>Not ranking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 t="str">
        <f>IFERROR(__xludf.DUMMYFUNCTION("""COMPUTED_VALUE"""),"crossbow deer hunting")</f>
        <v>crossbow deer hunting</v>
      </c>
      <c r="B102" s="15" t="str">
        <f>IFERROR(__xludf.DUMMYFUNCTION("""COMPUTED_VALUE"""),"1300")</f>
        <v>1300</v>
      </c>
      <c r="C102" s="15" t="str">
        <f>IFERROR(__xludf.DUMMYFUNCTION("""COMPUTED_VALUE"""),"7")</f>
        <v>7</v>
      </c>
      <c r="D102" s="15" t="str">
        <f>IFERROR(__xludf.DUMMYFUNCTION("""COMPUTED_VALUE"""),"12")</f>
        <v>12</v>
      </c>
      <c r="E102" s="15" t="str">
        <f>IFERROR(__xludf.DUMMYFUNCTION("""COMPUTED_VALUE"""),"4")</f>
        <v>4</v>
      </c>
      <c r="F102" s="17" t="str">
        <f>IFERROR(__xludf.DUMMYFUNCTION("""COMPUTED_VALUE"""),"https://www.themeateater.com/wired-to-hunt/whitetail-hunting-gear/is-crossbow-hunting-really-archery-hunting")</f>
        <v>https://www.themeateater.com/wired-to-hunt/whitetail-hunting-gear/is-crossbow-hunting-really-archery-hunting</v>
      </c>
      <c r="G102" s="17" t="str">
        <f>IFERROR(__xludf.DUMMYFUNCTION("""COMPUTED_VALUE"""),"https://realtree.com/brow-tines-and-backstrap/5-tips-for-better-crossbow-hunting")</f>
        <v>https://realtree.com/brow-tines-and-backstrap/5-tips-for-better-crossbow-hunting</v>
      </c>
      <c r="H102" s="17" t="str">
        <f>IFERROR(__xludf.DUMMYFUNCTION("""COMPUTED_VALUE"""),"https://www.wideopenspaces.com/how-long-can-it-realistically-take-a-beginner-to-kill-a-deer-with-a-crossbow/")</f>
        <v>https://www.wideopenspaces.com/how-long-can-it-realistically-take-a-beginner-to-kill-a-deer-with-a-crossbow/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 t="str">
        <f>IFERROR(__xludf.DUMMYFUNCTION("""COMPUTED_VALUE"""),"deer grunt sounds")</f>
        <v>deer grunt sounds</v>
      </c>
      <c r="B103" s="15" t="str">
        <f>IFERROR(__xludf.DUMMYFUNCTION("""COMPUTED_VALUE"""),"1300")</f>
        <v>1300</v>
      </c>
      <c r="C103" s="15" t="str">
        <f>IFERROR(__xludf.DUMMYFUNCTION("""COMPUTED_VALUE"""),"7")</f>
        <v>7</v>
      </c>
      <c r="D103" s="15" t="str">
        <f>IFERROR(__xludf.DUMMYFUNCTION("""COMPUTED_VALUE"""),"87")</f>
        <v>87</v>
      </c>
      <c r="E103" s="15" t="str">
        <f>IFERROR(__xludf.DUMMYFUNCTION("""COMPUTED_VALUE"""),"57")</f>
        <v>57</v>
      </c>
      <c r="F103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103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103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 t="str">
        <f>IFERROR(__xludf.DUMMYFUNCTION("""COMPUTED_VALUE"""),"deer liver")</f>
        <v>deer liver</v>
      </c>
      <c r="B104" s="15" t="str">
        <f>IFERROR(__xludf.DUMMYFUNCTION("""COMPUTED_VALUE"""),"1300")</f>
        <v>1300</v>
      </c>
      <c r="C104" s="15" t="str">
        <f>IFERROR(__xludf.DUMMYFUNCTION("""COMPUTED_VALUE"""),"7")</f>
        <v>7</v>
      </c>
      <c r="D104" s="15" t="str">
        <f>IFERROR(__xludf.DUMMYFUNCTION("""COMPUTED_VALUE"""),"9")</f>
        <v>9</v>
      </c>
      <c r="E104" s="15" t="str">
        <f>IFERROR(__xludf.DUMMYFUNCTION("""COMPUTED_VALUE"""),"Not ranking")</f>
        <v>Not ranking</v>
      </c>
      <c r="F104" s="17" t="str">
        <f>IFERROR(__xludf.DUMMYFUNCTION("""COMPUTED_VALUE"""),"https://www.themeateater.com/cook/recipes/liver-and-onions-recipe")</f>
        <v>https://www.themeateater.com/cook/recipes/liver-and-onions-recipe</v>
      </c>
      <c r="G104" s="17" t="str">
        <f>IFERROR(__xludf.DUMMYFUNCTION("""COMPUTED_VALUE"""),"https://realtree.com/timber-2-table-wild-game-recipes/pan-fried-venison-liver-with-onions-and-beer-gravy-recipe")</f>
        <v>https://realtree.com/timber-2-table-wild-game-recipes/pan-fried-venison-liver-with-onions-and-beer-gravy-recipe</v>
      </c>
      <c r="H104" s="18" t="str">
        <f>IFERROR(__xludf.DUMMYFUNCTION("""COMPUTED_VALUE"""),"Not ranking")</f>
        <v>Not ranking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 t="str">
        <f>IFERROR(__xludf.DUMMYFUNCTION("""COMPUTED_VALUE"""),"deer kill zone")</f>
        <v>deer kill zone</v>
      </c>
      <c r="B105" s="15" t="str">
        <f>IFERROR(__xludf.DUMMYFUNCTION("""COMPUTED_VALUE"""),"1000")</f>
        <v>1000</v>
      </c>
      <c r="C105" s="15" t="str">
        <f>IFERROR(__xludf.DUMMYFUNCTION("""COMPUTED_VALUE"""),"7")</f>
        <v>7</v>
      </c>
      <c r="D105" s="15" t="str">
        <f>IFERROR(__xludf.DUMMYFUNCTION("""COMPUTED_VALUE"""),"9")</f>
        <v>9</v>
      </c>
      <c r="E105" s="15" t="str">
        <f>IFERROR(__xludf.DUMMYFUNCTION("""COMPUTED_VALUE"""),"23")</f>
        <v>23</v>
      </c>
      <c r="F105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05" s="17" t="str">
        <f>IFERROR(__xludf.DUMMYFUNCTION("""COMPUTED_VALUE"""),"https://realtree.com/deer-hunting/articles/the-best-shot-placement-on-deer")</f>
        <v>https://realtree.com/deer-hunting/articles/the-best-shot-placement-on-deer</v>
      </c>
      <c r="H105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 t="str">
        <f>IFERROR(__xludf.DUMMYFUNCTION("""COMPUTED_VALUE"""),"how to age a deer")</f>
        <v>how to age a deer</v>
      </c>
      <c r="B106" s="15" t="str">
        <f>IFERROR(__xludf.DUMMYFUNCTION("""COMPUTED_VALUE"""),"880")</f>
        <v>880</v>
      </c>
      <c r="C106" s="15" t="str">
        <f>IFERROR(__xludf.DUMMYFUNCTION("""COMPUTED_VALUE"""),"7")</f>
        <v>7</v>
      </c>
      <c r="D106" s="15" t="str">
        <f>IFERROR(__xludf.DUMMYFUNCTION("""COMPUTED_VALUE"""),"72")</f>
        <v>72</v>
      </c>
      <c r="E106" s="15" t="str">
        <f>IFERROR(__xludf.DUMMYFUNCTION("""COMPUTED_VALUE"""),"28")</f>
        <v>28</v>
      </c>
      <c r="F106" s="17" t="str">
        <f>IFERROR(__xludf.DUMMYFUNCTION("""COMPUTED_VALUE"""),"https://www.themeateater.com/wired-to-hunt/whitetail-management/how-to-age-a-whitetail-buck-on-the-hoof")</f>
        <v>https://www.themeateater.com/wired-to-hunt/whitetail-management/how-to-age-a-whitetail-buck-on-the-hoof</v>
      </c>
      <c r="G106" s="17" t="str">
        <f>IFERROR(__xludf.DUMMYFUNCTION("""COMPUTED_VALUE"""),"https://realtree.com/deer-hunting/articles/really-how-old-is-that-buck")</f>
        <v>https://realtree.com/deer-hunting/articles/really-how-old-is-that-buck</v>
      </c>
      <c r="H106" s="17" t="str">
        <f>IFERROR(__xludf.DUMMYFUNCTION("""COMPUTED_VALUE"""),"https://www.wideopenspaces.com/tell-age-deer-pics/")</f>
        <v>https://www.wideopenspaces.com/tell-age-deer-pics/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 t="str">
        <f>IFERROR(__xludf.DUMMYFUNCTION("""COMPUTED_VALUE"""),"kill zone on a deer")</f>
        <v>kill zone on a deer</v>
      </c>
      <c r="B107" s="15" t="str">
        <f>IFERROR(__xludf.DUMMYFUNCTION("""COMPUTED_VALUE"""),"880")</f>
        <v>880</v>
      </c>
      <c r="C107" s="15" t="str">
        <f>IFERROR(__xludf.DUMMYFUNCTION("""COMPUTED_VALUE"""),"7")</f>
        <v>7</v>
      </c>
      <c r="D107" s="15" t="str">
        <f>IFERROR(__xludf.DUMMYFUNCTION("""COMPUTED_VALUE"""),"15")</f>
        <v>15</v>
      </c>
      <c r="E107" s="15" t="str">
        <f>IFERROR(__xludf.DUMMYFUNCTION("""COMPUTED_VALUE"""),"10")</f>
        <v>10</v>
      </c>
      <c r="F107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07" s="17" t="str">
        <f>IFERROR(__xludf.DUMMYFUNCTION("""COMPUTED_VALUE"""),"https://realtree.com/deer-hunting/articles/the-best-shot-placement-on-deer")</f>
        <v>https://realtree.com/deer-hunting/articles/the-best-shot-placement-on-deer</v>
      </c>
      <c r="H107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 t="str">
        <f>IFERROR(__xludf.DUMMYFUNCTION("""COMPUTED_VALUE"""),"deer cuts")</f>
        <v>deer cuts</v>
      </c>
      <c r="B108" s="15" t="str">
        <f>IFERROR(__xludf.DUMMYFUNCTION("""COMPUTED_VALUE"""),"720")</f>
        <v>720</v>
      </c>
      <c r="C108" s="15" t="str">
        <f>IFERROR(__xludf.DUMMYFUNCTION("""COMPUTED_VALUE"""),"7")</f>
        <v>7</v>
      </c>
      <c r="D108" s="15" t="str">
        <f>IFERROR(__xludf.DUMMYFUNCTION("""COMPUTED_VALUE"""),"Not ranking")</f>
        <v>Not ranking</v>
      </c>
      <c r="E108" s="15" t="str">
        <f>IFERROR(__xludf.DUMMYFUNCTION("""COMPUTED_VALUE"""),"10")</f>
        <v>10</v>
      </c>
      <c r="F108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08" s="18" t="str">
        <f>IFERROR(__xludf.DUMMYFUNCTION("""COMPUTED_VALUE"""),"Not ranking")</f>
        <v>Not ranking</v>
      </c>
      <c r="H108" s="17" t="str">
        <f>IFERROR(__xludf.DUMMYFUNCTION("""COMPUTED_VALUE"""),"https://www.wideopenspaces.com/venison-cuts-ranked/")</f>
        <v>https://www.wideopenspaces.com/venison-cuts-ranked/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5" t="str">
        <f>IFERROR(__xludf.DUMMYFUNCTION("""COMPUTED_VALUE"""),"scent glands on deer")</f>
        <v>scent glands on deer</v>
      </c>
      <c r="B109" s="15" t="str">
        <f>IFERROR(__xludf.DUMMYFUNCTION("""COMPUTED_VALUE"""),"720")</f>
        <v>720</v>
      </c>
      <c r="C109" s="15" t="str">
        <f>IFERROR(__xludf.DUMMYFUNCTION("""COMPUTED_VALUE"""),"7")</f>
        <v>7</v>
      </c>
      <c r="D109" s="15" t="str">
        <f>IFERROR(__xludf.DUMMYFUNCTION("""COMPUTED_VALUE"""),"17")</f>
        <v>17</v>
      </c>
      <c r="E109" s="15" t="str">
        <f>IFERROR(__xludf.DUMMYFUNCTION("""COMPUTED_VALUE"""),"Not ranking")</f>
        <v>Not ranking</v>
      </c>
      <c r="F109" s="17" t="str">
        <f>IFERROR(__xludf.DUMMYFUNCTION("""COMPUTED_VALUE"""),"https://www.themeateater.com/wired-to-hunt/whitetail-management/what-you-need-to-know-about-whitetail-buck-glands")</f>
        <v>https://www.themeateater.com/wired-to-hunt/whitetail-management/what-you-need-to-know-about-whitetail-buck-glands</v>
      </c>
      <c r="G109" s="17" t="str">
        <f>IFERROR(__xludf.DUMMYFUNCTION("""COMPUTED_VALUE"""),"https://realtree.com/brow-tines-and-backstrap/why-buck-tarsal-is-the-deadliest-scent-in-the-deer-woods")</f>
        <v>https://realtree.com/brow-tines-and-backstrap/why-buck-tarsal-is-the-deadliest-scent-in-the-deer-woods</v>
      </c>
      <c r="H109" s="18" t="str">
        <f>IFERROR(__xludf.DUMMYFUNCTION("""COMPUTED_VALUE"""),"Not ranking")</f>
        <v>Not ranking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5" t="str">
        <f>IFERROR(__xludf.DUMMYFUNCTION("""COMPUTED_VALUE"""),"cuts of meat deer")</f>
        <v>cuts of meat deer</v>
      </c>
      <c r="B110" s="15" t="str">
        <f>IFERROR(__xludf.DUMMYFUNCTION("""COMPUTED_VALUE"""),"590")</f>
        <v>590</v>
      </c>
      <c r="C110" s="15" t="str">
        <f>IFERROR(__xludf.DUMMYFUNCTION("""COMPUTED_VALUE"""),"7")</f>
        <v>7</v>
      </c>
      <c r="D110" s="15" t="str">
        <f>IFERROR(__xludf.DUMMYFUNCTION("""COMPUTED_VALUE"""),"Not ranking")</f>
        <v>Not ranking</v>
      </c>
      <c r="E110" s="15" t="str">
        <f>IFERROR(__xludf.DUMMYFUNCTION("""COMPUTED_VALUE"""),"19")</f>
        <v>19</v>
      </c>
      <c r="F110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10" s="18" t="str">
        <f>IFERROR(__xludf.DUMMYFUNCTION("""COMPUTED_VALUE"""),"Not ranking")</f>
        <v>Not ranking</v>
      </c>
      <c r="H110" s="17" t="str">
        <f>IFERROR(__xludf.DUMMYFUNCTION("""COMPUTED_VALUE"""),"https://www.wideopenspaces.com/venison-cuts-ranked/")</f>
        <v>https://www.wideopenspaces.com/venison-cuts-ranked/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5" t="str">
        <f>IFERROR(__xludf.DUMMYFUNCTION("""COMPUTED_VALUE"""),"how to skin deer")</f>
        <v>how to skin deer</v>
      </c>
      <c r="B111" s="15" t="str">
        <f>IFERROR(__xludf.DUMMYFUNCTION("""COMPUTED_VALUE"""),"590")</f>
        <v>590</v>
      </c>
      <c r="C111" s="15" t="str">
        <f>IFERROR(__xludf.DUMMYFUNCTION("""COMPUTED_VALUE"""),"7")</f>
        <v>7</v>
      </c>
      <c r="D111" s="15" t="str">
        <f>IFERROR(__xludf.DUMMYFUNCTION("""COMPUTED_VALUE"""),"2")</f>
        <v>2</v>
      </c>
      <c r="E111" s="15" t="str">
        <f>IFERROR(__xludf.DUMMYFUNCTION("""COMPUTED_VALUE"""),"Not ranking")</f>
        <v>Not ranking</v>
      </c>
      <c r="F111" s="17" t="str">
        <f>IFERROR(__xludf.DUMMYFUNCTION("""COMPUTED_VALUE"""),"https://www.themeateater.com/hunt/big-game/how-to-hang-and-skin-a-deer-in-the-field")</f>
        <v>https://www.themeateater.com/hunt/big-game/how-to-hang-and-skin-a-deer-in-the-field</v>
      </c>
      <c r="G111" s="17" t="str">
        <f>IFERROR(__xludf.DUMMYFUNCTION("""COMPUTED_VALUE"""),"https://realtree.com/timber-2-table-wild-game-recipes/how-to-skin-a-deer-in-6-steps")</f>
        <v>https://realtree.com/timber-2-table-wild-game-recipes/how-to-skin-a-deer-in-6-steps</v>
      </c>
      <c r="H111" s="18" t="str">
        <f>IFERROR(__xludf.DUMMYFUNCTION("""COMPUTED_VALUE"""),"Not ranking")</f>
        <v>Not ranking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5" t="str">
        <f>IFERROR(__xludf.DUMMYFUNCTION("""COMPUTED_VALUE"""),"best deer hunting caliber")</f>
        <v>best deer hunting caliber</v>
      </c>
      <c r="B112" s="15" t="str">
        <f>IFERROR(__xludf.DUMMYFUNCTION("""COMPUTED_VALUE"""),"2400")</f>
        <v>2400</v>
      </c>
      <c r="C112" s="15" t="str">
        <f>IFERROR(__xludf.DUMMYFUNCTION("""COMPUTED_VALUE"""),"8")</f>
        <v>8</v>
      </c>
      <c r="D112" s="15" t="str">
        <f>IFERROR(__xludf.DUMMYFUNCTION("""COMPUTED_VALUE"""),"25")</f>
        <v>25</v>
      </c>
      <c r="E112" s="15" t="str">
        <f>IFERROR(__xludf.DUMMYFUNCTION("""COMPUTED_VALUE"""),"32")</f>
        <v>32</v>
      </c>
      <c r="F112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112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112" s="17" t="str">
        <f>IFERROR(__xludf.DUMMYFUNCTION("""COMPUTED_VALUE"""),"https://www.wideopenspaces.com/best-deer-hunting-caliber-for-women/")</f>
        <v>https://www.wideopenspaces.com/best-deer-hunting-caliber-for-women/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5" t="str">
        <f>IFERROR(__xludf.DUMMYFUNCTION("""COMPUTED_VALUE"""),"how to skin a deer")</f>
        <v>how to skin a deer</v>
      </c>
      <c r="B113" s="15" t="str">
        <f>IFERROR(__xludf.DUMMYFUNCTION("""COMPUTED_VALUE"""),"1900")</f>
        <v>1900</v>
      </c>
      <c r="C113" s="15" t="str">
        <f>IFERROR(__xludf.DUMMYFUNCTION("""COMPUTED_VALUE"""),"8")</f>
        <v>8</v>
      </c>
      <c r="D113" s="15" t="str">
        <f>IFERROR(__xludf.DUMMYFUNCTION("""COMPUTED_VALUE"""),"4")</f>
        <v>4</v>
      </c>
      <c r="E113" s="15" t="str">
        <f>IFERROR(__xludf.DUMMYFUNCTION("""COMPUTED_VALUE"""),"Not ranking")</f>
        <v>Not ranking</v>
      </c>
      <c r="F113" s="17" t="str">
        <f>IFERROR(__xludf.DUMMYFUNCTION("""COMPUTED_VALUE"""),"https://www.themeateater.com/hunt/big-game/how-to-hang-and-skin-a-deer-in-the-field")</f>
        <v>https://www.themeateater.com/hunt/big-game/how-to-hang-and-skin-a-deer-in-the-field</v>
      </c>
      <c r="G113" s="17" t="str">
        <f>IFERROR(__xludf.DUMMYFUNCTION("""COMPUTED_VALUE"""),"https://realtree.com/timber-2-table-wild-game-recipes/how-to-skin-a-deer-in-6-steps")</f>
        <v>https://realtree.com/timber-2-table-wild-game-recipes/how-to-skin-a-deer-in-6-steps</v>
      </c>
      <c r="H113" s="18" t="str">
        <f>IFERROR(__xludf.DUMMYFUNCTION("""COMPUTED_VALUE"""),"Not ranking")</f>
        <v>Not ranking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5" t="str">
        <f>IFERROR(__xludf.DUMMYFUNCTION("""COMPUTED_VALUE"""),"mule deer vs whitetail deer")</f>
        <v>mule deer vs whitetail deer</v>
      </c>
      <c r="B114" s="15" t="str">
        <f>IFERROR(__xludf.DUMMYFUNCTION("""COMPUTED_VALUE"""),"1600")</f>
        <v>1600</v>
      </c>
      <c r="C114" s="15" t="str">
        <f>IFERROR(__xludf.DUMMYFUNCTION("""COMPUTED_VALUE"""),"8")</f>
        <v>8</v>
      </c>
      <c r="D114" s="15" t="str">
        <f>IFERROR(__xludf.DUMMYFUNCTION("""COMPUTED_VALUE"""),"5")</f>
        <v>5</v>
      </c>
      <c r="E114" s="15" t="str">
        <f>IFERROR(__xludf.DUMMYFUNCTION("""COMPUTED_VALUE"""),"28")</f>
        <v>28</v>
      </c>
      <c r="F114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114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114" s="17" t="str">
        <f>IFERROR(__xludf.DUMMYFUNCTION("""COMPUTED_VALUE"""),"https://www.wideopenspaces.com/whitetail-vs-mule-deer-the-differences-why-you-should-hunt-them-and-which-is-best/")</f>
        <v>https://www.wideopenspaces.com/whitetail-vs-mule-deer-the-differences-why-you-should-hunt-them-and-which-is-best/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5" t="str">
        <f>IFERROR(__xludf.DUMMYFUNCTION("""COMPUTED_VALUE"""),"bow hunting deer")</f>
        <v>bow hunting deer</v>
      </c>
      <c r="B115" s="15" t="str">
        <f>IFERROR(__xludf.DUMMYFUNCTION("""COMPUTED_VALUE"""),"1300")</f>
        <v>1300</v>
      </c>
      <c r="C115" s="15" t="str">
        <f>IFERROR(__xludf.DUMMYFUNCTION("""COMPUTED_VALUE"""),"8")</f>
        <v>8</v>
      </c>
      <c r="D115" s="15" t="str">
        <f>IFERROR(__xludf.DUMMYFUNCTION("""COMPUTED_VALUE"""),"7")</f>
        <v>7</v>
      </c>
      <c r="E115" s="15" t="str">
        <f>IFERROR(__xludf.DUMMYFUNCTION("""COMPUTED_VALUE"""),"Not ranking")</f>
        <v>Not ranking</v>
      </c>
      <c r="F115" s="17" t="str">
        <f>IFERROR(__xludf.DUMMYFUNCTION("""COMPUTED_VALUE"""),"https://www.themeateater.com/watch/6303966877001/ozark-whitetail-bowhunting")</f>
        <v>https://www.themeateater.com/watch/6303966877001/ozark-whitetail-bowhunting</v>
      </c>
      <c r="G115" s="17" t="str">
        <f>IFERROR(__xludf.DUMMYFUNCTION("""COMPUTED_VALUE"""),"https://realtree.com/bowhunting/articles/10-bowhunting-sins")</f>
        <v>https://realtree.com/bowhunting/articles/10-bowhunting-sins</v>
      </c>
      <c r="H115" s="18" t="str">
        <f>IFERROR(__xludf.DUMMYFUNCTION("""COMPUTED_VALUE"""),"Not ranking")</f>
        <v>Not ranking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5" t="str">
        <f>IFERROR(__xludf.DUMMYFUNCTION("""COMPUTED_VALUE"""),"deer grunt")</f>
        <v>deer grunt</v>
      </c>
      <c r="B116" s="15" t="str">
        <f>IFERROR(__xludf.DUMMYFUNCTION("""COMPUTED_VALUE"""),"1300")</f>
        <v>1300</v>
      </c>
      <c r="C116" s="15" t="str">
        <f>IFERROR(__xludf.DUMMYFUNCTION("""COMPUTED_VALUE"""),"8")</f>
        <v>8</v>
      </c>
      <c r="D116" s="15" t="str">
        <f>IFERROR(__xludf.DUMMYFUNCTION("""COMPUTED_VALUE"""),"47")</f>
        <v>47</v>
      </c>
      <c r="E116" s="15" t="str">
        <f>IFERROR(__xludf.DUMMYFUNCTION("""COMPUTED_VALUE"""),"Not ranking")</f>
        <v>Not ranking</v>
      </c>
      <c r="F116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116" s="17" t="str">
        <f>IFERROR(__xludf.DUMMYFUNCTION("""COMPUTED_VALUE"""),"https://realtree.com/brow-tines-and-backstrap/podcast-how-the-grunt-call-came-to-be")</f>
        <v>https://realtree.com/brow-tines-and-backstrap/podcast-how-the-grunt-call-came-to-be</v>
      </c>
      <c r="H116" s="18" t="str">
        <f>IFERROR(__xludf.DUMMYFUNCTION("""COMPUTED_VALUE"""),"Not ranking")</f>
        <v>Not ranking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5" t="str">
        <f>IFERROR(__xludf.DUMMYFUNCTION("""COMPUTED_VALUE"""),"deer scent glands")</f>
        <v>deer scent glands</v>
      </c>
      <c r="B117" s="15" t="str">
        <f>IFERROR(__xludf.DUMMYFUNCTION("""COMPUTED_VALUE"""),"1300")</f>
        <v>1300</v>
      </c>
      <c r="C117" s="15" t="str">
        <f>IFERROR(__xludf.DUMMYFUNCTION("""COMPUTED_VALUE"""),"8")</f>
        <v>8</v>
      </c>
      <c r="D117" s="15" t="str">
        <f>IFERROR(__xludf.DUMMYFUNCTION("""COMPUTED_VALUE"""),"14")</f>
        <v>14</v>
      </c>
      <c r="E117" s="15" t="str">
        <f>IFERROR(__xludf.DUMMYFUNCTION("""COMPUTED_VALUE"""),"Not ranking")</f>
        <v>Not ranking</v>
      </c>
      <c r="F117" s="17" t="str">
        <f>IFERROR(__xludf.DUMMYFUNCTION("""COMPUTED_VALUE"""),"https://www.themeateater.com/wired-to-hunt/whitetail-management/what-you-need-to-know-about-whitetail-buck-glands")</f>
        <v>https://www.themeateater.com/wired-to-hunt/whitetail-management/what-you-need-to-know-about-whitetail-buck-glands</v>
      </c>
      <c r="G117" s="17" t="str">
        <f>IFERROR(__xludf.DUMMYFUNCTION("""COMPUTED_VALUE"""),"https://realtree.com/brow-tines-and-backstrap/why-buck-tarsal-is-the-deadliest-scent-in-the-deer-woods")</f>
        <v>https://realtree.com/brow-tines-and-backstrap/why-buck-tarsal-is-the-deadliest-scent-in-the-deer-woods</v>
      </c>
      <c r="H117" s="18" t="str">
        <f>IFERROR(__xludf.DUMMYFUNCTION("""COMPUTED_VALUE"""),"Not ranking")</f>
        <v>Not ranking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5" t="str">
        <f>IFERROR(__xludf.DUMMYFUNCTION("""COMPUTED_VALUE"""),"whitetail deer vitals")</f>
        <v>whitetail deer vitals</v>
      </c>
      <c r="B118" s="15" t="str">
        <f>IFERROR(__xludf.DUMMYFUNCTION("""COMPUTED_VALUE"""),"880")</f>
        <v>880</v>
      </c>
      <c r="C118" s="15" t="str">
        <f>IFERROR(__xludf.DUMMYFUNCTION("""COMPUTED_VALUE"""),"8")</f>
        <v>8</v>
      </c>
      <c r="D118" s="15" t="str">
        <f>IFERROR(__xludf.DUMMYFUNCTION("""COMPUTED_VALUE"""),"4")</f>
        <v>4</v>
      </c>
      <c r="E118" s="15" t="str">
        <f>IFERROR(__xludf.DUMMYFUNCTION("""COMPUTED_VALUE"""),"5")</f>
        <v>5</v>
      </c>
      <c r="F118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18" s="17" t="str">
        <f>IFERROR(__xludf.DUMMYFUNCTION("""COMPUTED_VALUE"""),"https://realtree.com/deer-hunting/articles/the-best-shot-placement-on-deer")</f>
        <v>https://realtree.com/deer-hunting/articles/the-best-shot-placement-on-deer</v>
      </c>
      <c r="H118" s="17" t="str">
        <f>IFERROR(__xludf.DUMMYFUNCTION("""COMPUTED_VALUE"""),"https://www.wideopenspaces.com/how-to-find-and-aim-for-deer-vitals/")</f>
        <v>https://www.wideopenspaces.com/how-to-find-and-aim-for-deer-vitals/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5" t="str">
        <f>IFERROR(__xludf.DUMMYFUNCTION("""COMPUTED_VALUE"""),"rutting deer")</f>
        <v>rutting deer</v>
      </c>
      <c r="B119" s="15" t="str">
        <f>IFERROR(__xludf.DUMMYFUNCTION("""COMPUTED_VALUE"""),"720")</f>
        <v>720</v>
      </c>
      <c r="C119" s="15" t="str">
        <f>IFERROR(__xludf.DUMMYFUNCTION("""COMPUTED_VALUE"""),"8")</f>
        <v>8</v>
      </c>
      <c r="D119" s="15" t="str">
        <f>IFERROR(__xludf.DUMMYFUNCTION("""COMPUTED_VALUE"""),"17")</f>
        <v>17</v>
      </c>
      <c r="E119" s="15" t="str">
        <f>IFERROR(__xludf.DUMMYFUNCTION("""COMPUTED_VALUE"""),"Not ranking")</f>
        <v>Not ranking</v>
      </c>
      <c r="F119" s="17" t="str">
        <f>IFERROR(__xludf.DUMMYFUNCTION("""COMPUTED_VALUE"""),"https://www.themeateater.com/hunt/whitetail-deer/video-rutting-buck-makes-crazy-vocalizations")</f>
        <v>https://www.themeateater.com/hunt/whitetail-deer/video-rutting-buck-makes-crazy-vocalizations</v>
      </c>
      <c r="G119" s="17" t="str">
        <f>IFERROR(__xludf.DUMMYFUNCTION("""COMPUTED_VALUE"""),"https://realtree.com/deer-hunting/articles/5-rut-buck-behaviors-you-should-recognize")</f>
        <v>https://realtree.com/deer-hunting/articles/5-rut-buck-behaviors-you-should-recognize</v>
      </c>
      <c r="H119" s="18" t="str">
        <f>IFERROR(__xludf.DUMMYFUNCTION("""COMPUTED_VALUE"""),"Not ranking")</f>
        <v>Not ranking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5" t="str">
        <f>IFERROR(__xludf.DUMMYFUNCTION("""COMPUTED_VALUE"""),"243 for deer")</f>
        <v>243 for deer</v>
      </c>
      <c r="B120" s="15" t="str">
        <f>IFERROR(__xludf.DUMMYFUNCTION("""COMPUTED_VALUE"""),"590")</f>
        <v>590</v>
      </c>
      <c r="C120" s="15" t="str">
        <f>IFERROR(__xludf.DUMMYFUNCTION("""COMPUTED_VALUE"""),"8")</f>
        <v>8</v>
      </c>
      <c r="D120" s="15" t="str">
        <f>IFERROR(__xludf.DUMMYFUNCTION("""COMPUTED_VALUE"""),"Not ranking")</f>
        <v>Not ranking</v>
      </c>
      <c r="E120" s="15" t="str">
        <f>IFERROR(__xludf.DUMMYFUNCTION("""COMPUTED_VALUE"""),"4")</f>
        <v>4</v>
      </c>
      <c r="F120" s="17" t="str">
        <f>IFERROR(__xludf.DUMMYFUNCTION("""COMPUTED_VALUE"""),"https://www.themeateater.com/hunt/firearm-hunting/caliber-battle-270-win-vs-243-win")</f>
        <v>https://www.themeateater.com/hunt/firearm-hunting/caliber-battle-270-win-vs-243-win</v>
      </c>
      <c r="G120" s="18" t="str">
        <f>IFERROR(__xludf.DUMMYFUNCTION("""COMPUTED_VALUE"""),"Not ranking")</f>
        <v>Not ranking</v>
      </c>
      <c r="H120" s="17" t="str">
        <f>IFERROR(__xludf.DUMMYFUNCTION("""COMPUTED_VALUE"""),"https://www.wideopenspaces.com/why-the-243-is-hands-down-the-best-deer-rifle/")</f>
        <v>https://www.wideopenspaces.com/why-the-243-is-hands-down-the-best-deer-rifle/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 t="str">
        <f>IFERROR(__xludf.DUMMYFUNCTION("""COMPUTED_VALUE"""),"kill zone deer")</f>
        <v>kill zone deer</v>
      </c>
      <c r="B121" s="15" t="str">
        <f>IFERROR(__xludf.DUMMYFUNCTION("""COMPUTED_VALUE"""),"590")</f>
        <v>590</v>
      </c>
      <c r="C121" s="15" t="str">
        <f>IFERROR(__xludf.DUMMYFUNCTION("""COMPUTED_VALUE"""),"8")</f>
        <v>8</v>
      </c>
      <c r="D121" s="15" t="str">
        <f>IFERROR(__xludf.DUMMYFUNCTION("""COMPUTED_VALUE"""),"10")</f>
        <v>10</v>
      </c>
      <c r="E121" s="15" t="str">
        <f>IFERROR(__xludf.DUMMYFUNCTION("""COMPUTED_VALUE"""),"12")</f>
        <v>12</v>
      </c>
      <c r="F121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21" s="17" t="str">
        <f>IFERROR(__xludf.DUMMYFUNCTION("""COMPUTED_VALUE"""),"https://realtree.com/deer-hunting/articles/the-best-shot-placement-on-deer")</f>
        <v>https://realtree.com/deer-hunting/articles/the-best-shot-placement-on-deer</v>
      </c>
      <c r="H121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 t="str">
        <f>IFERROR(__xludf.DUMMYFUNCTION("""COMPUTED_VALUE"""),"meat cuts on deer")</f>
        <v>meat cuts on deer</v>
      </c>
      <c r="B122" s="15" t="str">
        <f>IFERROR(__xludf.DUMMYFUNCTION("""COMPUTED_VALUE"""),"590")</f>
        <v>590</v>
      </c>
      <c r="C122" s="15" t="str">
        <f>IFERROR(__xludf.DUMMYFUNCTION("""COMPUTED_VALUE"""),"8")</f>
        <v>8</v>
      </c>
      <c r="D122" s="15" t="str">
        <f>IFERROR(__xludf.DUMMYFUNCTION("""COMPUTED_VALUE"""),"Not ranking")</f>
        <v>Not ranking</v>
      </c>
      <c r="E122" s="15" t="str">
        <f>IFERROR(__xludf.DUMMYFUNCTION("""COMPUTED_VALUE"""),"15")</f>
        <v>15</v>
      </c>
      <c r="F122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22" s="18" t="str">
        <f>IFERROR(__xludf.DUMMYFUNCTION("""COMPUTED_VALUE"""),"Not ranking")</f>
        <v>Not ranking</v>
      </c>
      <c r="H122" s="17" t="str">
        <f>IFERROR(__xludf.DUMMYFUNCTION("""COMPUTED_VALUE"""),"https://www.wideopenspaces.com/venison-cuts-ranked/")</f>
        <v>https://www.wideopenspaces.com/venison-cuts-ranked/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 t="str">
        <f>IFERROR(__xludf.DUMMYFUNCTION("""COMPUTED_VALUE"""),"tarsal glands deer")</f>
        <v>tarsal glands deer</v>
      </c>
      <c r="B123" s="15" t="str">
        <f>IFERROR(__xludf.DUMMYFUNCTION("""COMPUTED_VALUE"""),"590")</f>
        <v>590</v>
      </c>
      <c r="C123" s="15" t="str">
        <f>IFERROR(__xludf.DUMMYFUNCTION("""COMPUTED_VALUE"""),"8")</f>
        <v>8</v>
      </c>
      <c r="D123" s="15" t="str">
        <f>IFERROR(__xludf.DUMMYFUNCTION("""COMPUTED_VALUE"""),"12")</f>
        <v>12</v>
      </c>
      <c r="E123" s="15" t="str">
        <f>IFERROR(__xludf.DUMMYFUNCTION("""COMPUTED_VALUE"""),"Not ranking")</f>
        <v>Not ranking</v>
      </c>
      <c r="F123" s="17" t="str">
        <f>IFERROR(__xludf.DUMMYFUNCTION("""COMPUTED_VALUE"""),"https://www.themeateater.com/wired-to-hunt/whitetail-management/what-you-need-to-know-about-whitetail-buck-glands")</f>
        <v>https://www.themeateater.com/wired-to-hunt/whitetail-management/what-you-need-to-know-about-whitetail-buck-glands</v>
      </c>
      <c r="G123" s="17" t="str">
        <f>IFERROR(__xludf.DUMMYFUNCTION("""COMPUTED_VALUE"""),"https://realtree.com/brow-tines-and-backstrap/why-buck-tarsal-is-the-deadliest-scent-in-the-deer-woods")</f>
        <v>https://realtree.com/brow-tines-and-backstrap/why-buck-tarsal-is-the-deadliest-scent-in-the-deer-woods</v>
      </c>
      <c r="H123" s="18" t="str">
        <f>IFERROR(__xludf.DUMMYFUNCTION("""COMPUTED_VALUE"""),"Not ranking")</f>
        <v>Not ranking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 t="str">
        <f>IFERROR(__xludf.DUMMYFUNCTION("""COMPUTED_VALUE"""),"whitetail vs mule deer")</f>
        <v>whitetail vs mule deer</v>
      </c>
      <c r="B124" s="15" t="str">
        <f>IFERROR(__xludf.DUMMYFUNCTION("""COMPUTED_VALUE"""),"590")</f>
        <v>590</v>
      </c>
      <c r="C124" s="15" t="str">
        <f>IFERROR(__xludf.DUMMYFUNCTION("""COMPUTED_VALUE"""),"8")</f>
        <v>8</v>
      </c>
      <c r="D124" s="15" t="str">
        <f>IFERROR(__xludf.DUMMYFUNCTION("""COMPUTED_VALUE"""),"4")</f>
        <v>4</v>
      </c>
      <c r="E124" s="15" t="str">
        <f>IFERROR(__xludf.DUMMYFUNCTION("""COMPUTED_VALUE"""),"26")</f>
        <v>26</v>
      </c>
      <c r="F124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124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124" s="17" t="str">
        <f>IFERROR(__xludf.DUMMYFUNCTION("""COMPUTED_VALUE"""),"https://www.wideopenspaces.com/whitetail-vs-mule-deer-the-differences-why-you-should-hunt-them-and-which-is-best/")</f>
        <v>https://www.wideopenspaces.com/whitetail-vs-mule-deer-the-differences-why-you-should-hunt-them-and-which-is-best/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 t="str">
        <f>IFERROR(__xludf.DUMMYFUNCTION("""COMPUTED_VALUE"""),"how to score a deer")</f>
        <v>how to score a deer</v>
      </c>
      <c r="B125" s="15" t="str">
        <f>IFERROR(__xludf.DUMMYFUNCTION("""COMPUTED_VALUE"""),"2400")</f>
        <v>2400</v>
      </c>
      <c r="C125" s="15" t="str">
        <f>IFERROR(__xludf.DUMMYFUNCTION("""COMPUTED_VALUE"""),"9")</f>
        <v>9</v>
      </c>
      <c r="D125" s="15" t="str">
        <f>IFERROR(__xludf.DUMMYFUNCTION("""COMPUTED_VALUE"""),"33")</f>
        <v>33</v>
      </c>
      <c r="E125" s="15" t="str">
        <f>IFERROR(__xludf.DUMMYFUNCTION("""COMPUTED_VALUE"""),"19")</f>
        <v>19</v>
      </c>
      <c r="F125" s="17" t="str">
        <f>IFERROR(__xludf.DUMMYFUNCTION("""COMPUTED_VALUE"""),"https://www.themeateater.com/watch/6259336077001/how-to-score-a-whitetail-deer")</f>
        <v>https://www.themeateater.com/watch/6259336077001/how-to-score-a-whitetail-deer</v>
      </c>
      <c r="G125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125" s="17" t="str">
        <f>IFERROR(__xludf.DUMMYFUNCTION("""COMPUTED_VALUE"""),"https://www.wideopenspaces.com/how-to-score-a-deer-measuring-your-trophy-step-by-step/")</f>
        <v>https://www.wideopenspaces.com/how-to-score-a-deer-measuring-your-trophy-step-by-step/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 t="str">
        <f>IFERROR(__xludf.DUMMYFUNCTION("""COMPUTED_VALUE"""),"recipe deer heart")</f>
        <v>recipe deer heart</v>
      </c>
      <c r="B126" s="15" t="str">
        <f>IFERROR(__xludf.DUMMYFUNCTION("""COMPUTED_VALUE"""),"1600")</f>
        <v>1600</v>
      </c>
      <c r="C126" s="15" t="str">
        <f>IFERROR(__xludf.DUMMYFUNCTION("""COMPUTED_VALUE"""),"9")</f>
        <v>9</v>
      </c>
      <c r="D126" s="15" t="str">
        <f>IFERROR(__xludf.DUMMYFUNCTION("""COMPUTED_VALUE"""),"11")</f>
        <v>11</v>
      </c>
      <c r="E126" s="15" t="str">
        <f>IFERROR(__xludf.DUMMYFUNCTION("""COMPUTED_VALUE"""),"75")</f>
        <v>75</v>
      </c>
      <c r="F126" s="17" t="str">
        <f>IFERROR(__xludf.DUMMYFUNCTION("""COMPUTED_VALUE"""),"https://www.themeateater.com/watch/6175573953001/meateater-s-seared-venison-heart-with-whiskey-butter")</f>
        <v>https://www.themeateater.com/watch/6175573953001/meateater-s-seared-venison-heart-with-whiskey-butter</v>
      </c>
      <c r="G126" s="17" t="str">
        <f>IFERROR(__xludf.DUMMYFUNCTION("""COMPUTED_VALUE"""),"https://realtree.com/timber-2-table-wild-game-recipes/pan-fried-venison-heart-with-black-pepper-buttermilk-gravy")</f>
        <v>https://realtree.com/timber-2-table-wild-game-recipes/pan-fried-venison-heart-with-black-pepper-buttermilk-gravy</v>
      </c>
      <c r="H126" s="17" t="str">
        <f>IFERROR(__xludf.DUMMYFUNCTION("""COMPUTED_VALUE"""),"https://www.wideopenspaces.com/huntchef-venison-heart-recipe/")</f>
        <v>https://www.wideopenspaces.com/huntchef-venison-heart-recipe/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5" t="str">
        <f>IFERROR(__xludf.DUMMYFUNCTION("""COMPUTED_VALUE"""),"how to butcher a deer")</f>
        <v>how to butcher a deer</v>
      </c>
      <c r="B127" s="15" t="str">
        <f>IFERROR(__xludf.DUMMYFUNCTION("""COMPUTED_VALUE"""),"1300")</f>
        <v>1300</v>
      </c>
      <c r="C127" s="15" t="str">
        <f>IFERROR(__xludf.DUMMYFUNCTION("""COMPUTED_VALUE"""),"9")</f>
        <v>9</v>
      </c>
      <c r="D127" s="15" t="str">
        <f>IFERROR(__xludf.DUMMYFUNCTION("""COMPUTED_VALUE"""),"18")</f>
        <v>18</v>
      </c>
      <c r="E127" s="15" t="str">
        <f>IFERROR(__xludf.DUMMYFUNCTION("""COMPUTED_VALUE"""),"59")</f>
        <v>59</v>
      </c>
      <c r="F127" s="17" t="str">
        <f>IFERROR(__xludf.DUMMYFUNCTION("""COMPUTED_VALUE"""),"https://www.themeateater.com/watch/list/1670860111805882434%20")</f>
        <v>https://www.themeateater.com/watch/list/1670860111805882434%20</v>
      </c>
      <c r="G127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127" s="17" t="str">
        <f>IFERROR(__xludf.DUMMYFUNCTION("""COMPUTED_VALUE"""),"https://www.wideopenspaces.com/you-actually-dont-have-to-know-how-to-butcher-a-deer-completely/")</f>
        <v>https://www.wideopenspaces.com/you-actually-dont-have-to-know-how-to-butcher-a-deer-completely/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5" t="str">
        <f>IFERROR(__xludf.DUMMYFUNCTION("""COMPUTED_VALUE"""),"do deer move in the wind")</f>
        <v>do deer move in the wind</v>
      </c>
      <c r="B128" s="15" t="str">
        <f>IFERROR(__xludf.DUMMYFUNCTION("""COMPUTED_VALUE"""),"1000")</f>
        <v>1000</v>
      </c>
      <c r="C128" s="15" t="str">
        <f>IFERROR(__xludf.DUMMYFUNCTION("""COMPUTED_VALUE"""),"9")</f>
        <v>9</v>
      </c>
      <c r="D128" s="15" t="str">
        <f>IFERROR(__xludf.DUMMYFUNCTION("""COMPUTED_VALUE"""),"4")</f>
        <v>4</v>
      </c>
      <c r="E128" s="15" t="str">
        <f>IFERROR(__xludf.DUMMYFUNCTION("""COMPUTED_VALUE"""),"97")</f>
        <v>97</v>
      </c>
      <c r="F128" s="17" t="str">
        <f>IFERROR(__xludf.DUMMYFUNCTION("""COMPUTED_VALUE"""),"https://www.themeateater.com/wired-to-hunt/whitetail-hunting/how-to-kill-a-buck-in-high-wind")</f>
        <v>https://www.themeateater.com/wired-to-hunt/whitetail-hunting/how-to-kill-a-buck-in-high-wind</v>
      </c>
      <c r="G128" s="17" t="str">
        <f>IFERROR(__xludf.DUMMYFUNCTION("""COMPUTED_VALUE"""),"https://realtree.com/brow-tines-and-backstrap/why-windy-days-are-great-for-deer-hunting")</f>
        <v>https://realtree.com/brow-tines-and-backstrap/why-windy-days-are-great-for-deer-hunting</v>
      </c>
      <c r="H128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5" t="str">
        <f>IFERROR(__xludf.DUMMYFUNCTION("""COMPUTED_VALUE"""),"how to cook deer steak")</f>
        <v>how to cook deer steak</v>
      </c>
      <c r="B129" s="15" t="str">
        <f>IFERROR(__xludf.DUMMYFUNCTION("""COMPUTED_VALUE"""),"1000")</f>
        <v>1000</v>
      </c>
      <c r="C129" s="15" t="str">
        <f>IFERROR(__xludf.DUMMYFUNCTION("""COMPUTED_VALUE"""),"9")</f>
        <v>9</v>
      </c>
      <c r="D129" s="15" t="str">
        <f>IFERROR(__xludf.DUMMYFUNCTION("""COMPUTED_VALUE"""),"Not ranking")</f>
        <v>Not ranking</v>
      </c>
      <c r="E129" s="15" t="str">
        <f>IFERROR(__xludf.DUMMYFUNCTION("""COMPUTED_VALUE"""),"Not ranking")</f>
        <v>Not ranking</v>
      </c>
      <c r="F129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129" s="18" t="str">
        <f>IFERROR(__xludf.DUMMYFUNCTION("""COMPUTED_VALUE"""),"Not ranking")</f>
        <v>Not ranking</v>
      </c>
      <c r="H129" s="18" t="str">
        <f>IFERROR(__xludf.DUMMYFUNCTION("""COMPUTED_VALUE"""),"Not ranking")</f>
        <v>Not ranking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5" t="str">
        <f>IFERROR(__xludf.DUMMYFUNCTION("""COMPUTED_VALUE"""),"shot placement on deer")</f>
        <v>shot placement on deer</v>
      </c>
      <c r="B130" s="15" t="str">
        <f>IFERROR(__xludf.DUMMYFUNCTION("""COMPUTED_VALUE"""),"1000")</f>
        <v>1000</v>
      </c>
      <c r="C130" s="15" t="str">
        <f>IFERROR(__xludf.DUMMYFUNCTION("""COMPUTED_VALUE"""),"9")</f>
        <v>9</v>
      </c>
      <c r="D130" s="15" t="str">
        <f>IFERROR(__xludf.DUMMYFUNCTION("""COMPUTED_VALUE"""),"6")</f>
        <v>6</v>
      </c>
      <c r="E130" s="15" t="str">
        <f>IFERROR(__xludf.DUMMYFUNCTION("""COMPUTED_VALUE"""),"Not ranking")</f>
        <v>Not ranking</v>
      </c>
      <c r="F130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30" s="17" t="str">
        <f>IFERROR(__xludf.DUMMYFUNCTION("""COMPUTED_VALUE"""),"https://realtree.com/deer-hunting/articles/the-best-shot-placement-on-deer")</f>
        <v>https://realtree.com/deer-hunting/articles/the-best-shot-placement-on-deer</v>
      </c>
      <c r="H130" s="18" t="str">
        <f>IFERROR(__xludf.DUMMYFUNCTION("""COMPUTED_VALUE"""),"Not ranking")</f>
        <v>Not ranking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5" t="str">
        <f>IFERROR(__xludf.DUMMYFUNCTION("""COMPUTED_VALUE"""),"deer heart recipes")</f>
        <v>deer heart recipes</v>
      </c>
      <c r="B131" s="15" t="str">
        <f>IFERROR(__xludf.DUMMYFUNCTION("""COMPUTED_VALUE"""),"880")</f>
        <v>880</v>
      </c>
      <c r="C131" s="15" t="str">
        <f>IFERROR(__xludf.DUMMYFUNCTION("""COMPUTED_VALUE"""),"9")</f>
        <v>9</v>
      </c>
      <c r="D131" s="15" t="str">
        <f>IFERROR(__xludf.DUMMYFUNCTION("""COMPUTED_VALUE"""),"8")</f>
        <v>8</v>
      </c>
      <c r="E131" s="15" t="str">
        <f>IFERROR(__xludf.DUMMYFUNCTION("""COMPUTED_VALUE"""),"66")</f>
        <v>66</v>
      </c>
      <c r="F131" s="17" t="str">
        <f>IFERROR(__xludf.DUMMYFUNCTION("""COMPUTED_VALUE"""),"https://www.themeateater.com/watch/6175573953001/meateater-s-seared-venison-heart-with-whiskey-butter")</f>
        <v>https://www.themeateater.com/watch/6175573953001/meateater-s-seared-venison-heart-with-whiskey-butter</v>
      </c>
      <c r="G131" s="17" t="str">
        <f>IFERROR(__xludf.DUMMYFUNCTION("""COMPUTED_VALUE"""),"https://realtree.com/timber-2-table-wild-game-recipes/pan-fried-venison-heart-with-black-pepper-buttermilk-gravy")</f>
        <v>https://realtree.com/timber-2-table-wild-game-recipes/pan-fried-venison-heart-with-black-pepper-buttermilk-gravy</v>
      </c>
      <c r="H131" s="17" t="str">
        <f>IFERROR(__xludf.DUMMYFUNCTION("""COMPUTED_VALUE"""),"https://www.wideopenspaces.com/seared-venison-heart-with-whiskey-butter-recipe/")</f>
        <v>https://www.wideopenspaces.com/seared-venison-heart-with-whiskey-butter-recipe/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5" t="str">
        <f>IFERROR(__xludf.DUMMYFUNCTION("""COMPUTED_VALUE"""),"cuts of meat on deer")</f>
        <v>cuts of meat on deer</v>
      </c>
      <c r="B132" s="15" t="str">
        <f>IFERROR(__xludf.DUMMYFUNCTION("""COMPUTED_VALUE"""),"720")</f>
        <v>720</v>
      </c>
      <c r="C132" s="15" t="str">
        <f>IFERROR(__xludf.DUMMYFUNCTION("""COMPUTED_VALUE"""),"9")</f>
        <v>9</v>
      </c>
      <c r="D132" s="15" t="str">
        <f>IFERROR(__xludf.DUMMYFUNCTION("""COMPUTED_VALUE"""),"Not ranking")</f>
        <v>Not ranking</v>
      </c>
      <c r="E132" s="15" t="str">
        <f>IFERROR(__xludf.DUMMYFUNCTION("""COMPUTED_VALUE"""),"16")</f>
        <v>16</v>
      </c>
      <c r="F132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32" s="18" t="str">
        <f>IFERROR(__xludf.DUMMYFUNCTION("""COMPUTED_VALUE"""),"Not ranking")</f>
        <v>Not ranking</v>
      </c>
      <c r="H132" s="17" t="str">
        <f>IFERROR(__xludf.DUMMYFUNCTION("""COMPUTED_VALUE"""),"https://www.wideopenspaces.com/venison-cuts-ranked/")</f>
        <v>https://www.wideopenspaces.com/venison-cuts-ranked/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5" t="str">
        <f>IFERROR(__xludf.DUMMYFUNCTION("""COMPUTED_VALUE"""),"deer hunting video")</f>
        <v>deer hunting video</v>
      </c>
      <c r="B133" s="15" t="str">
        <f>IFERROR(__xludf.DUMMYFUNCTION("""COMPUTED_VALUE"""),"720")</f>
        <v>720</v>
      </c>
      <c r="C133" s="15" t="str">
        <f>IFERROR(__xludf.DUMMYFUNCTION("""COMPUTED_VALUE"""),"9")</f>
        <v>9</v>
      </c>
      <c r="D133" s="15" t="str">
        <f>IFERROR(__xludf.DUMMYFUNCTION("""COMPUTED_VALUE"""),"Not ranking")</f>
        <v>Not ranking</v>
      </c>
      <c r="E133" s="15" t="str">
        <f>IFERROR(__xludf.DUMMYFUNCTION("""COMPUTED_VALUE"""),"64")</f>
        <v>64</v>
      </c>
      <c r="F133" s="17" t="str">
        <f>IFERROR(__xludf.DUMMYFUNCTION("""COMPUTED_VALUE"""),"https://www.themeateater.com/watch/6303966877001/ozark-whitetail-bowhunting")</f>
        <v>https://www.themeateater.com/watch/6303966877001/ozark-whitetail-bowhunting</v>
      </c>
      <c r="G133" s="18" t="str">
        <f>IFERROR(__xludf.DUMMYFUNCTION("""COMPUTED_VALUE"""),"Not ranking")</f>
        <v>Not ranking</v>
      </c>
      <c r="H133" s="17" t="str">
        <f>IFERROR(__xludf.DUMMYFUNCTION("""COMPUTED_VALUE"""),"https://www.wideopenspaces.com/10-deer-hunting-videos-get-primed-season-opener/")</f>
        <v>https://www.wideopenspaces.com/10-deer-hunting-videos-get-primed-season-opener/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5" t="str">
        <f>IFERROR(__xludf.DUMMYFUNCTION("""COMPUTED_VALUE"""),"how do deer sleep")</f>
        <v>how do deer sleep</v>
      </c>
      <c r="B134" s="15" t="str">
        <f>IFERROR(__xludf.DUMMYFUNCTION("""COMPUTED_VALUE"""),"720")</f>
        <v>720</v>
      </c>
      <c r="C134" s="15" t="str">
        <f>IFERROR(__xludf.DUMMYFUNCTION("""COMPUTED_VALUE"""),"9")</f>
        <v>9</v>
      </c>
      <c r="D134" s="15" t="str">
        <f>IFERROR(__xludf.DUMMYFUNCTION("""COMPUTED_VALUE"""),"49")</f>
        <v>49</v>
      </c>
      <c r="E134" s="15" t="str">
        <f>IFERROR(__xludf.DUMMYFUNCTION("""COMPUTED_VALUE"""),"15")</f>
        <v>15</v>
      </c>
      <c r="F134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134" s="17" t="str">
        <f>IFERROR(__xludf.DUMMYFUNCTION("""COMPUTED_VALUE"""),"https://realtree.com/brow-tines-and-backstrap/8-bedding-habits-of-mature-deer")</f>
        <v>https://realtree.com/brow-tines-and-backstrap/8-bedding-habits-of-mature-deer</v>
      </c>
      <c r="H134" s="17" t="str">
        <f>IFERROR(__xludf.DUMMYFUNCTION("""COMPUTED_VALUE"""),"https://www.wideopenspaces.com/where-do-deer-sleep/")</f>
        <v>https://www.wideopenspaces.com/where-do-deer-sleep/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5" t="str">
        <f>IFERROR(__xludf.DUMMYFUNCTION("""COMPUTED_VALUE"""),"how to score a whitetail deer")</f>
        <v>how to score a whitetail deer</v>
      </c>
      <c r="B135" s="15" t="str">
        <f>IFERROR(__xludf.DUMMYFUNCTION("""COMPUTED_VALUE"""),"720")</f>
        <v>720</v>
      </c>
      <c r="C135" s="15" t="str">
        <f>IFERROR(__xludf.DUMMYFUNCTION("""COMPUTED_VALUE"""),"9")</f>
        <v>9</v>
      </c>
      <c r="D135" s="15" t="str">
        <f>IFERROR(__xludf.DUMMYFUNCTION("""COMPUTED_VALUE"""),"Not ranking")</f>
        <v>Not ranking</v>
      </c>
      <c r="E135" s="15" t="str">
        <f>IFERROR(__xludf.DUMMYFUNCTION("""COMPUTED_VALUE"""),"53")</f>
        <v>53</v>
      </c>
      <c r="F135" s="17" t="str">
        <f>IFERROR(__xludf.DUMMYFUNCTION("""COMPUTED_VALUE"""),"https://www.themeateater.com/wired-to-hunt/whitetail-management/video-how-to-score-a-whitetail-buck")</f>
        <v>https://www.themeateater.com/wired-to-hunt/whitetail-management/video-how-to-score-a-whitetail-buck</v>
      </c>
      <c r="G135" s="18" t="str">
        <f>IFERROR(__xludf.DUMMYFUNCTION("""COMPUTED_VALUE"""),"Not ranking")</f>
        <v>Not ranking</v>
      </c>
      <c r="H135" s="17" t="str">
        <f>IFERROR(__xludf.DUMMYFUNCTION("""COMPUTED_VALUE"""),"https://www.wideopenspaces.com/how-to-score-a-deer-measuring-your-trophy-step-by-step/")</f>
        <v>https://www.wideopenspaces.com/how-to-score-a-deer-measuring-your-trophy-step-by-step/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5" t="str">
        <f>IFERROR(__xludf.DUMMYFUNCTION("""COMPUTED_VALUE"""),"best caliber deer rifle")</f>
        <v>best caliber deer rifle</v>
      </c>
      <c r="B136" s="15" t="str">
        <f>IFERROR(__xludf.DUMMYFUNCTION("""COMPUTED_VALUE"""),"590")</f>
        <v>590</v>
      </c>
      <c r="C136" s="15" t="str">
        <f>IFERROR(__xludf.DUMMYFUNCTION("""COMPUTED_VALUE"""),"9")</f>
        <v>9</v>
      </c>
      <c r="D136" s="15" t="str">
        <f>IFERROR(__xludf.DUMMYFUNCTION("""COMPUTED_VALUE"""),"23")</f>
        <v>23</v>
      </c>
      <c r="E136" s="15" t="str">
        <f>IFERROR(__xludf.DUMMYFUNCTION("""COMPUTED_VALUE"""),"28")</f>
        <v>28</v>
      </c>
      <c r="F136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136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136" s="17" t="str">
        <f>IFERROR(__xludf.DUMMYFUNCTION("""COMPUTED_VALUE"""),"https://www.wideopenspaces.com/why-the-243-is-hands-down-the-best-deer-rifle/")</f>
        <v>https://www.wideopenspaces.com/why-the-243-is-hands-down-the-best-deer-rifle/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5" t="str">
        <f>IFERROR(__xludf.DUMMYFUNCTION("""COMPUTED_VALUE"""),"boiling deer skull")</f>
        <v>boiling deer skull</v>
      </c>
      <c r="B137" s="15" t="str">
        <f>IFERROR(__xludf.DUMMYFUNCTION("""COMPUTED_VALUE"""),"590")</f>
        <v>590</v>
      </c>
      <c r="C137" s="15" t="str">
        <f>IFERROR(__xludf.DUMMYFUNCTION("""COMPUTED_VALUE"""),"9")</f>
        <v>9</v>
      </c>
      <c r="D137" s="15" t="str">
        <f>IFERROR(__xludf.DUMMYFUNCTION("""COMPUTED_VALUE"""),"Not ranking")</f>
        <v>Not ranking</v>
      </c>
      <c r="E137" s="15" t="str">
        <f>IFERROR(__xludf.DUMMYFUNCTION("""COMPUTED_VALUE"""),"Not ranking")</f>
        <v>Not ranking</v>
      </c>
      <c r="F137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137" s="18" t="str">
        <f>IFERROR(__xludf.DUMMYFUNCTION("""COMPUTED_VALUE"""),"Not ranking")</f>
        <v>Not ranking</v>
      </c>
      <c r="H137" s="18" t="str">
        <f>IFERROR(__xludf.DUMMYFUNCTION("""COMPUTED_VALUE"""),"Not ranking")</f>
        <v>Not ranking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5" t="str">
        <f>IFERROR(__xludf.DUMMYFUNCTION("""COMPUTED_VALUE"""),"how to butcher deer")</f>
        <v>how to butcher deer</v>
      </c>
      <c r="B138" s="15" t="str">
        <f>IFERROR(__xludf.DUMMYFUNCTION("""COMPUTED_VALUE"""),"590")</f>
        <v>590</v>
      </c>
      <c r="C138" s="15" t="str">
        <f>IFERROR(__xludf.DUMMYFUNCTION("""COMPUTED_VALUE"""),"9")</f>
        <v>9</v>
      </c>
      <c r="D138" s="15" t="str">
        <f>IFERROR(__xludf.DUMMYFUNCTION("""COMPUTED_VALUE"""),"19")</f>
        <v>19</v>
      </c>
      <c r="E138" s="15" t="str">
        <f>IFERROR(__xludf.DUMMYFUNCTION("""COMPUTED_VALUE"""),"68")</f>
        <v>68</v>
      </c>
      <c r="F138" s="17" t="str">
        <f>IFERROR(__xludf.DUMMYFUNCTION("""COMPUTED_VALUE"""),"https://www.themeateater.com/watch/list/1670860111805882434%20")</f>
        <v>https://www.themeateater.com/watch/list/1670860111805882434%20</v>
      </c>
      <c r="G138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138" s="17" t="str">
        <f>IFERROR(__xludf.DUMMYFUNCTION("""COMPUTED_VALUE"""),"https://www.wideopenspaces.com/you-actually-dont-have-to-know-how-to-butcher-a-deer-completely/")</f>
        <v>https://www.wideopenspaces.com/you-actually-dont-have-to-know-how-to-butcher-a-deer-completely/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5" t="str">
        <f>IFERROR(__xludf.DUMMYFUNCTION("""COMPUTED_VALUE"""),"how to european mount deer")</f>
        <v>how to european mount deer</v>
      </c>
      <c r="B139" s="15" t="str">
        <f>IFERROR(__xludf.DUMMYFUNCTION("""COMPUTED_VALUE"""),"590")</f>
        <v>590</v>
      </c>
      <c r="C139" s="15" t="str">
        <f>IFERROR(__xludf.DUMMYFUNCTION("""COMPUTED_VALUE"""),"9")</f>
        <v>9</v>
      </c>
      <c r="D139" s="15" t="str">
        <f>IFERROR(__xludf.DUMMYFUNCTION("""COMPUTED_VALUE"""),"Not ranking")</f>
        <v>Not ranking</v>
      </c>
      <c r="E139" s="15" t="str">
        <f>IFERROR(__xludf.DUMMYFUNCTION("""COMPUTED_VALUE"""),"28")</f>
        <v>28</v>
      </c>
      <c r="F139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139" s="18" t="str">
        <f>IFERROR(__xludf.DUMMYFUNCTION("""COMPUTED_VALUE"""),"Not ranking")</f>
        <v>Not ranking</v>
      </c>
      <c r="H139" s="17" t="str">
        <f>IFERROR(__xludf.DUMMYFUNCTION("""COMPUTED_VALUE"""),"https://www.wideopenspaces.com/how-to-do-a-european-mount-in-4-easy-steps/")</f>
        <v>https://www.wideopenspaces.com/how-to-do-a-european-mount-in-4-easy-steps/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5" t="str">
        <f>IFERROR(__xludf.DUMMYFUNCTION("""COMPUTED_VALUE"""),"saddle deer stand")</f>
        <v>saddle deer stand</v>
      </c>
      <c r="B140" s="15" t="str">
        <f>IFERROR(__xludf.DUMMYFUNCTION("""COMPUTED_VALUE"""),"590")</f>
        <v>590</v>
      </c>
      <c r="C140" s="15" t="str">
        <f>IFERROR(__xludf.DUMMYFUNCTION("""COMPUTED_VALUE"""),"9")</f>
        <v>9</v>
      </c>
      <c r="D140" s="15" t="str">
        <f>IFERROR(__xludf.DUMMYFUNCTION("""COMPUTED_VALUE"""),"Not ranking")</f>
        <v>Not ranking</v>
      </c>
      <c r="E140" s="15" t="str">
        <f>IFERROR(__xludf.DUMMYFUNCTION("""COMPUTED_VALUE"""),"Not ranking")</f>
        <v>Not ranking</v>
      </c>
      <c r="F140" s="17" t="str">
        <f>IFERROR(__xludf.DUMMYFUNCTION("""COMPUTED_VALUE"""),"https://www.themeateater.com/watch/6302418210001/s1-e43-the-pros-and-cons-of-tree-saddles-for-deer-hunting-or-saddle-hunting-costs-benefits-techniques")</f>
        <v>https://www.themeateater.com/watch/6302418210001/s1-e43-the-pros-and-cons-of-tree-saddles-for-deer-hunting-or-saddle-hunting-costs-benefits-techniques</v>
      </c>
      <c r="G140" s="18" t="str">
        <f>IFERROR(__xludf.DUMMYFUNCTION("""COMPUTED_VALUE"""),"Not ranking")</f>
        <v>Not ranking</v>
      </c>
      <c r="H140" s="18" t="str">
        <f>IFERROR(__xludf.DUMMYFUNCTION("""COMPUTED_VALUE"""),"Not ranking")</f>
        <v>Not ranking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5" t="str">
        <f>IFERROR(__xludf.DUMMYFUNCTION("""COMPUTED_VALUE"""),"whitetail deer calls")</f>
        <v>whitetail deer calls</v>
      </c>
      <c r="B141" s="15" t="str">
        <f>IFERROR(__xludf.DUMMYFUNCTION("""COMPUTED_VALUE"""),"590")</f>
        <v>590</v>
      </c>
      <c r="C141" s="15" t="str">
        <f>IFERROR(__xludf.DUMMYFUNCTION("""COMPUTED_VALUE"""),"9")</f>
        <v>9</v>
      </c>
      <c r="D141" s="15" t="str">
        <f>IFERROR(__xludf.DUMMYFUNCTION("""COMPUTED_VALUE"""),"78")</f>
        <v>78</v>
      </c>
      <c r="E141" s="15" t="str">
        <f>IFERROR(__xludf.DUMMYFUNCTION("""COMPUTED_VALUE"""),"68")</f>
        <v>68</v>
      </c>
      <c r="F141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141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141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5" t="str">
        <f>IFERROR(__xludf.DUMMYFUNCTION("""COMPUTED_VALUE"""),"best deer rifle caliber")</f>
        <v>best deer rifle caliber</v>
      </c>
      <c r="B142" s="15" t="str">
        <f>IFERROR(__xludf.DUMMYFUNCTION("""COMPUTED_VALUE"""),"1300")</f>
        <v>1300</v>
      </c>
      <c r="C142" s="15" t="str">
        <f>IFERROR(__xludf.DUMMYFUNCTION("""COMPUTED_VALUE"""),"10")</f>
        <v>10</v>
      </c>
      <c r="D142" s="15" t="str">
        <f>IFERROR(__xludf.DUMMYFUNCTION("""COMPUTED_VALUE"""),"40")</f>
        <v>40</v>
      </c>
      <c r="E142" s="15" t="str">
        <f>IFERROR(__xludf.DUMMYFUNCTION("""COMPUTED_VALUE"""),"32")</f>
        <v>32</v>
      </c>
      <c r="F142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142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142" s="17" t="str">
        <f>IFERROR(__xludf.DUMMYFUNCTION("""COMPUTED_VALUE"""),"https://www.wideopenspaces.com/best-deer-hunting-caliber-for-women/")</f>
        <v>https://www.wideopenspaces.com/best-deer-hunting-caliber-for-women/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5" t="str">
        <f>IFERROR(__xludf.DUMMYFUNCTION("""COMPUTED_VALUE"""),"best rifle to hunt deer")</f>
        <v>best rifle to hunt deer</v>
      </c>
      <c r="B143" s="15" t="str">
        <f>IFERROR(__xludf.DUMMYFUNCTION("""COMPUTED_VALUE"""),"1300")</f>
        <v>1300</v>
      </c>
      <c r="C143" s="15" t="str">
        <f>IFERROR(__xludf.DUMMYFUNCTION("""COMPUTED_VALUE"""),"10")</f>
        <v>10</v>
      </c>
      <c r="D143" s="15" t="str">
        <f>IFERROR(__xludf.DUMMYFUNCTION("""COMPUTED_VALUE"""),"Not ranking")</f>
        <v>Not ranking</v>
      </c>
      <c r="E143" s="15" t="str">
        <f>IFERROR(__xludf.DUMMYFUNCTION("""COMPUTED_VALUE"""),"31")</f>
        <v>31</v>
      </c>
      <c r="F143" s="17" t="str">
        <f>IFERROR(__xludf.DUMMYFUNCTION("""COMPUTED_VALUE"""),"https://www.themeateater.com/hunt/firearm-hunting/5-best-rifles-for-new-hunters")</f>
        <v>https://www.themeateater.com/hunt/firearm-hunting/5-best-rifles-for-new-hunters</v>
      </c>
      <c r="G143" s="18" t="str">
        <f>IFERROR(__xludf.DUMMYFUNCTION("""COMPUTED_VALUE"""),"Not ranking")</f>
        <v>Not ranking</v>
      </c>
      <c r="H143" s="17" t="str">
        <f>IFERROR(__xludf.DUMMYFUNCTION("""COMPUTED_VALUE"""),"https://www.wideopenspaces.com/best-deer-hunting-rifles/")</f>
        <v>https://www.wideopenspaces.com/best-deer-hunting-rifles/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5" t="str">
        <f>IFERROR(__xludf.DUMMYFUNCTION("""COMPUTED_VALUE"""),"butchering a deer")</f>
        <v>butchering a deer</v>
      </c>
      <c r="B144" s="15" t="str">
        <f>IFERROR(__xludf.DUMMYFUNCTION("""COMPUTED_VALUE"""),"880")</f>
        <v>880</v>
      </c>
      <c r="C144" s="15" t="str">
        <f>IFERROR(__xludf.DUMMYFUNCTION("""COMPUTED_VALUE"""),"10")</f>
        <v>10</v>
      </c>
      <c r="D144" s="15" t="str">
        <f>IFERROR(__xludf.DUMMYFUNCTION("""COMPUTED_VALUE"""),"20")</f>
        <v>20</v>
      </c>
      <c r="E144" s="15" t="str">
        <f>IFERROR(__xludf.DUMMYFUNCTION("""COMPUTED_VALUE"""),"19")</f>
        <v>19</v>
      </c>
      <c r="F144" s="17" t="str">
        <f>IFERROR(__xludf.DUMMYFUNCTION("""COMPUTED_VALUE"""),"https://www.themeateater.com/watch/list/1670860111805882434%20")</f>
        <v>https://www.themeateater.com/watch/list/1670860111805882434%20</v>
      </c>
      <c r="G144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144" s="17" t="str">
        <f>IFERROR(__xludf.DUMMYFUNCTION("""COMPUTED_VALUE"""),"https://www.wideopenspaces.com/you-actually-dont-have-to-know-how-to-butcher-a-deer-completely/")</f>
        <v>https://www.wideopenspaces.com/you-actually-dont-have-to-know-how-to-butcher-a-deer-completely/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5" t="str">
        <f>IFERROR(__xludf.DUMMYFUNCTION("""COMPUTED_VALUE"""),"diagram of deer vitals")</f>
        <v>diagram of deer vitals</v>
      </c>
      <c r="B145" s="15" t="str">
        <f>IFERROR(__xludf.DUMMYFUNCTION("""COMPUTED_VALUE"""),"880")</f>
        <v>880</v>
      </c>
      <c r="C145" s="15" t="str">
        <f>IFERROR(__xludf.DUMMYFUNCTION("""COMPUTED_VALUE"""),"10")</f>
        <v>10</v>
      </c>
      <c r="D145" s="15" t="str">
        <f>IFERROR(__xludf.DUMMYFUNCTION("""COMPUTED_VALUE"""),"5")</f>
        <v>5</v>
      </c>
      <c r="E145" s="15" t="str">
        <f>IFERROR(__xludf.DUMMYFUNCTION("""COMPUTED_VALUE"""),"35")</f>
        <v>35</v>
      </c>
      <c r="F145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45" s="17" t="str">
        <f>IFERROR(__xludf.DUMMYFUNCTION("""COMPUTED_VALUE"""),"https://realtree.com/deer-hunting/articles/the-best-shot-placement-on-deer")</f>
        <v>https://realtree.com/deer-hunting/articles/the-best-shot-placement-on-deer</v>
      </c>
      <c r="H145" s="17" t="str">
        <f>IFERROR(__xludf.DUMMYFUNCTION("""COMPUTED_VALUE"""),"https://www.wideopenspaces.com/how-to-find-and-aim-for-deer-vitals/")</f>
        <v>https://www.wideopenspaces.com/how-to-find-and-aim-for-deer-vitals/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5" t="str">
        <f>IFERROR(__xludf.DUMMYFUNCTION("""COMPUTED_VALUE"""),"national deer association")</f>
        <v>national deer association</v>
      </c>
      <c r="B146" s="15" t="str">
        <f>IFERROR(__xludf.DUMMYFUNCTION("""COMPUTED_VALUE"""),"880")</f>
        <v>880</v>
      </c>
      <c r="C146" s="15" t="str">
        <f>IFERROR(__xludf.DUMMYFUNCTION("""COMPUTED_VALUE"""),"10")</f>
        <v>10</v>
      </c>
      <c r="D146" s="15" t="str">
        <f>IFERROR(__xludf.DUMMYFUNCTION("""COMPUTED_VALUE"""),"Not ranking")</f>
        <v>Not ranking</v>
      </c>
      <c r="E146" s="15" t="str">
        <f>IFERROR(__xludf.DUMMYFUNCTION("""COMPUTED_VALUE"""),"65")</f>
        <v>65</v>
      </c>
      <c r="F146" s="17" t="str">
        <f>IFERROR(__xludf.DUMMYFUNCTION("""COMPUTED_VALUE"""),"https://store.themeateater.com/products/national-deer-association-donation.html?lang=en_US")</f>
        <v>https://store.themeateater.com/products/national-deer-association-donation.html?lang=en_US</v>
      </c>
      <c r="G146" s="18" t="str">
        <f>IFERROR(__xludf.DUMMYFUNCTION("""COMPUTED_VALUE"""),"Not ranking")</f>
        <v>Not ranking</v>
      </c>
      <c r="H146" s="17" t="str">
        <f>IFERROR(__xludf.DUMMYFUNCTION("""COMPUTED_VALUE"""),"https://www.wideopenspaces.com/rare-video-shows-deer-eating-a-snake/")</f>
        <v>https://www.wideopenspaces.com/rare-video-shows-deer-eating-a-snake/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5" t="str">
        <f>IFERROR(__xludf.DUMMYFUNCTION("""COMPUTED_VALUE"""),"deer diet")</f>
        <v>deer diet</v>
      </c>
      <c r="B147" s="15" t="str">
        <f>IFERROR(__xludf.DUMMYFUNCTION("""COMPUTED_VALUE"""),"720")</f>
        <v>720</v>
      </c>
      <c r="C147" s="15" t="str">
        <f>IFERROR(__xludf.DUMMYFUNCTION("""COMPUTED_VALUE"""),"10")</f>
        <v>10</v>
      </c>
      <c r="D147" s="15" t="str">
        <f>IFERROR(__xludf.DUMMYFUNCTION("""COMPUTED_VALUE"""),"Not ranking")</f>
        <v>Not ranking</v>
      </c>
      <c r="E147" s="15" t="str">
        <f>IFERROR(__xludf.DUMMYFUNCTION("""COMPUTED_VALUE"""),"50")</f>
        <v>50</v>
      </c>
      <c r="F147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147" s="18" t="str">
        <f>IFERROR(__xludf.DUMMYFUNCTION("""COMPUTED_VALUE"""),"Not ranking")</f>
        <v>Not ranking</v>
      </c>
      <c r="H147" s="17" t="str">
        <f>IFERROR(__xludf.DUMMYFUNCTION("""COMPUTED_VALUE"""),"https://www.wideopenspaces.com/what-do-deer-eat/")</f>
        <v>https://www.wideopenspaces.com/what-do-deer-eat/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5" t="str">
        <f>IFERROR(__xludf.DUMMYFUNCTION("""COMPUTED_VALUE"""),"how to european mount a deer")</f>
        <v>how to european mount a deer</v>
      </c>
      <c r="B148" s="15" t="str">
        <f>IFERROR(__xludf.DUMMYFUNCTION("""COMPUTED_VALUE"""),"720")</f>
        <v>720</v>
      </c>
      <c r="C148" s="15" t="str">
        <f>IFERROR(__xludf.DUMMYFUNCTION("""COMPUTED_VALUE"""),"10")</f>
        <v>10</v>
      </c>
      <c r="D148" s="15" t="str">
        <f>IFERROR(__xludf.DUMMYFUNCTION("""COMPUTED_VALUE"""),"Not ranking")</f>
        <v>Not ranking</v>
      </c>
      <c r="E148" s="15" t="str">
        <f>IFERROR(__xludf.DUMMYFUNCTION("""COMPUTED_VALUE"""),"28")</f>
        <v>28</v>
      </c>
      <c r="F148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148" s="18" t="str">
        <f>IFERROR(__xludf.DUMMYFUNCTION("""COMPUTED_VALUE"""),"Not ranking")</f>
        <v>Not ranking</v>
      </c>
      <c r="H148" s="17" t="str">
        <f>IFERROR(__xludf.DUMMYFUNCTION("""COMPUTED_VALUE"""),"https://www.wideopenspaces.com/how-to-do-a-european-mount-in-4-easy-steps/")</f>
        <v>https://www.wideopenspaces.com/how-to-do-a-european-mount-in-4-easy-steps/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5" t="str">
        <f>IFERROR(__xludf.DUMMYFUNCTION("""COMPUTED_VALUE"""),"kill shots on deer")</f>
        <v>kill shots on deer</v>
      </c>
      <c r="B149" s="15" t="str">
        <f>IFERROR(__xludf.DUMMYFUNCTION("""COMPUTED_VALUE"""),"720")</f>
        <v>720</v>
      </c>
      <c r="C149" s="15" t="str">
        <f>IFERROR(__xludf.DUMMYFUNCTION("""COMPUTED_VALUE"""),"10")</f>
        <v>10</v>
      </c>
      <c r="D149" s="15" t="str">
        <f>IFERROR(__xludf.DUMMYFUNCTION("""COMPUTED_VALUE"""),"9")</f>
        <v>9</v>
      </c>
      <c r="E149" s="15" t="str">
        <f>IFERROR(__xludf.DUMMYFUNCTION("""COMPUTED_VALUE"""),"14")</f>
        <v>14</v>
      </c>
      <c r="F149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49" s="17" t="str">
        <f>IFERROR(__xludf.DUMMYFUNCTION("""COMPUTED_VALUE"""),"https://realtree.com/deer-hunting/articles/the-best-shot-placement-on-deer")</f>
        <v>https://realtree.com/deer-hunting/articles/the-best-shot-placement-on-deer</v>
      </c>
      <c r="H149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5" t="str">
        <f>IFERROR(__xludf.DUMMYFUNCTION("""COMPUTED_VALUE"""),"when is the rut for deer 2022")</f>
        <v>when is the rut for deer 2022</v>
      </c>
      <c r="B150" s="15" t="str">
        <f>IFERROR(__xludf.DUMMYFUNCTION("""COMPUTED_VALUE"""),"720")</f>
        <v>720</v>
      </c>
      <c r="C150" s="15" t="str">
        <f>IFERROR(__xludf.DUMMYFUNCTION("""COMPUTED_VALUE"""),"10")</f>
        <v>10</v>
      </c>
      <c r="D150" s="15" t="str">
        <f>IFERROR(__xludf.DUMMYFUNCTION("""COMPUTED_VALUE"""),"24")</f>
        <v>24</v>
      </c>
      <c r="E150" s="15" t="str">
        <f>IFERROR(__xludf.DUMMYFUNCTION("""COMPUTED_VALUE"""),"Not ranking")</f>
        <v>Not ranking</v>
      </c>
      <c r="F150" s="17" t="str">
        <f>IFERROR(__xludf.DUMMYFUNCTION("""COMPUTED_VALUE"""),"https://www.themeateater.com/wired-to-hunt/whitetail-hunting/rut-fresh-report-10-27-2022")</f>
        <v>https://www.themeateater.com/wired-to-hunt/whitetail-hunting/rut-fresh-report-10-27-2022</v>
      </c>
      <c r="G150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150" s="18" t="str">
        <f>IFERROR(__xludf.DUMMYFUNCTION("""COMPUTED_VALUE"""),"Not ranking")</f>
        <v>Not ranking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5" t="str">
        <f>IFERROR(__xludf.DUMMYFUNCTION("""COMPUTED_VALUE"""),"best gun to hunt deer")</f>
        <v>best gun to hunt deer</v>
      </c>
      <c r="B151" s="15" t="str">
        <f>IFERROR(__xludf.DUMMYFUNCTION("""COMPUTED_VALUE"""),"590")</f>
        <v>590</v>
      </c>
      <c r="C151" s="15" t="str">
        <f>IFERROR(__xludf.DUMMYFUNCTION("""COMPUTED_VALUE"""),"10")</f>
        <v>10</v>
      </c>
      <c r="D151" s="15" t="str">
        <f>IFERROR(__xludf.DUMMYFUNCTION("""COMPUTED_VALUE"""),"Not ranking")</f>
        <v>Not ranking</v>
      </c>
      <c r="E151" s="15" t="str">
        <f>IFERROR(__xludf.DUMMYFUNCTION("""COMPUTED_VALUE"""),"7")</f>
        <v>7</v>
      </c>
      <c r="F151" s="17" t="str">
        <f>IFERROR(__xludf.DUMMYFUNCTION("""COMPUTED_VALUE"""),"https://www.themeateater.com/hunt/firearm-hunting/the-5-guns-every-hunter-should-own")</f>
        <v>https://www.themeateater.com/hunt/firearm-hunting/the-5-guns-every-hunter-should-own</v>
      </c>
      <c r="G151" s="18" t="str">
        <f>IFERROR(__xludf.DUMMYFUNCTION("""COMPUTED_VALUE"""),"Not ranking")</f>
        <v>Not ranking</v>
      </c>
      <c r="H151" s="17" t="str">
        <f>IFERROR(__xludf.DUMMYFUNCTION("""COMPUTED_VALUE"""),"https://www.wideopenspaces.com/best-deer-hunting-rifles/")</f>
        <v>https://www.wideopenspaces.com/best-deer-hunting-rifles/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5" t="str">
        <f>IFERROR(__xludf.DUMMYFUNCTION("""COMPUTED_VALUE"""),"deer vital area")</f>
        <v>deer vital area</v>
      </c>
      <c r="B152" s="15" t="str">
        <f>IFERROR(__xludf.DUMMYFUNCTION("""COMPUTED_VALUE"""),"590")</f>
        <v>590</v>
      </c>
      <c r="C152" s="15" t="str">
        <f>IFERROR(__xludf.DUMMYFUNCTION("""COMPUTED_VALUE"""),"10")</f>
        <v>10</v>
      </c>
      <c r="D152" s="15" t="str">
        <f>IFERROR(__xludf.DUMMYFUNCTION("""COMPUTED_VALUE"""),"6")</f>
        <v>6</v>
      </c>
      <c r="E152" s="15" t="str">
        <f>IFERROR(__xludf.DUMMYFUNCTION("""COMPUTED_VALUE"""),"8")</f>
        <v>8</v>
      </c>
      <c r="F152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52" s="17" t="str">
        <f>IFERROR(__xludf.DUMMYFUNCTION("""COMPUTED_VALUE"""),"https://realtree.com/deer-hunting/articles/the-best-shot-placement-on-deer")</f>
        <v>https://realtree.com/deer-hunting/articles/the-best-shot-placement-on-deer</v>
      </c>
      <c r="H152" s="17" t="str">
        <f>IFERROR(__xludf.DUMMYFUNCTION("""COMPUTED_VALUE"""),"https://www.wideopenspaces.com/how-to-find-and-aim-for-deer-vitals/")</f>
        <v>https://www.wideopenspaces.com/how-to-find-and-aim-for-deer-vitals/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5" t="str">
        <f>IFERROR(__xludf.DUMMYFUNCTION("""COMPUTED_VALUE"""),"meat cuts deer")</f>
        <v>meat cuts deer</v>
      </c>
      <c r="B153" s="15" t="str">
        <f>IFERROR(__xludf.DUMMYFUNCTION("""COMPUTED_VALUE"""),"590")</f>
        <v>590</v>
      </c>
      <c r="C153" s="15" t="str">
        <f>IFERROR(__xludf.DUMMYFUNCTION("""COMPUTED_VALUE"""),"10")</f>
        <v>10</v>
      </c>
      <c r="D153" s="15" t="str">
        <f>IFERROR(__xludf.DUMMYFUNCTION("""COMPUTED_VALUE"""),"Not ranking")</f>
        <v>Not ranking</v>
      </c>
      <c r="E153" s="15" t="str">
        <f>IFERROR(__xludf.DUMMYFUNCTION("""COMPUTED_VALUE"""),"51")</f>
        <v>51</v>
      </c>
      <c r="F153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53" s="18" t="str">
        <f>IFERROR(__xludf.DUMMYFUNCTION("""COMPUTED_VALUE"""),"Not ranking")</f>
        <v>Not ranking</v>
      </c>
      <c r="H153" s="17" t="str">
        <f>IFERROR(__xludf.DUMMYFUNCTION("""COMPUTED_VALUE"""),"https://www.wideopenspaces.com/check-illustrated-deer-meat-guide/")</f>
        <v>https://www.wideopenspaces.com/check-illustrated-deer-meat-guide/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5" t="str">
        <f>IFERROR(__xludf.DUMMYFUNCTION("""COMPUTED_VALUE"""),"deer vitals")</f>
        <v>deer vitals</v>
      </c>
      <c r="B154" s="15" t="str">
        <f>IFERROR(__xludf.DUMMYFUNCTION("""COMPUTED_VALUE"""),"4400")</f>
        <v>4400</v>
      </c>
      <c r="C154" s="15" t="str">
        <f>IFERROR(__xludf.DUMMYFUNCTION("""COMPUTED_VALUE"""),"11")</f>
        <v>11</v>
      </c>
      <c r="D154" s="15" t="str">
        <f>IFERROR(__xludf.DUMMYFUNCTION("""COMPUTED_VALUE"""),"7")</f>
        <v>7</v>
      </c>
      <c r="E154" s="15" t="str">
        <f>IFERROR(__xludf.DUMMYFUNCTION("""COMPUTED_VALUE"""),"3")</f>
        <v>3</v>
      </c>
      <c r="F154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54" s="17" t="str">
        <f>IFERROR(__xludf.DUMMYFUNCTION("""COMPUTED_VALUE"""),"https://realtree.com/deer-hunting/articles/the-best-shot-placement-on-deer")</f>
        <v>https://realtree.com/deer-hunting/articles/the-best-shot-placement-on-deer</v>
      </c>
      <c r="H154" s="17" t="str">
        <f>IFERROR(__xludf.DUMMYFUNCTION("""COMPUTED_VALUE"""),"https://www.wideopenspaces.com/how-to-find-and-aim-for-deer-vitals/")</f>
        <v>https://www.wideopenspaces.com/how-to-find-and-aim-for-deer-vitals/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5" t="str">
        <f>IFERROR(__xludf.DUMMYFUNCTION("""COMPUTED_VALUE"""),"deer hunters")</f>
        <v>deer hunters</v>
      </c>
      <c r="B155" s="15" t="str">
        <f>IFERROR(__xludf.DUMMYFUNCTION("""COMPUTED_VALUE"""),"1900")</f>
        <v>1900</v>
      </c>
      <c r="C155" s="15" t="str">
        <f>IFERROR(__xludf.DUMMYFUNCTION("""COMPUTED_VALUE"""),"11")</f>
        <v>11</v>
      </c>
      <c r="D155" s="15" t="str">
        <f>IFERROR(__xludf.DUMMYFUNCTION("""COMPUTED_VALUE"""),"3")</f>
        <v>3</v>
      </c>
      <c r="E155" s="15" t="str">
        <f>IFERROR(__xludf.DUMMYFUNCTION("""COMPUTED_VALUE"""),"Not ranking")</f>
        <v>Not ranking</v>
      </c>
      <c r="F155" s="17" t="str">
        <f>IFERROR(__xludf.DUMMYFUNCTION("""COMPUTED_VALUE"""),"https://www.themeateater.com/hunt/general/which-states-produce-the-best-deer-hunters")</f>
        <v>https://www.themeateater.com/hunt/general/which-states-produce-the-best-deer-hunters</v>
      </c>
      <c r="G155" s="17" t="str">
        <f>IFERROR(__xludf.DUMMYFUNCTION("""COMPUTED_VALUE"""),"https://realtree.com/brow-tines-and-backstrap/20-knowledgeable-deer-hunters-you-should-follow-on-social-media-0")</f>
        <v>https://realtree.com/brow-tines-and-backstrap/20-knowledgeable-deer-hunters-you-should-follow-on-social-media-0</v>
      </c>
      <c r="H155" s="18" t="str">
        <f>IFERROR(__xludf.DUMMYFUNCTION("""COMPUTED_VALUE"""),"Not ranking")</f>
        <v>Not ranking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5" t="str">
        <f>IFERROR(__xludf.DUMMYFUNCTION("""COMPUTED_VALUE"""),"deer hunting gear")</f>
        <v>deer hunting gear</v>
      </c>
      <c r="B156" s="15" t="str">
        <f>IFERROR(__xludf.DUMMYFUNCTION("""COMPUTED_VALUE"""),"1300")</f>
        <v>1300</v>
      </c>
      <c r="C156" s="15" t="str">
        <f>IFERROR(__xludf.DUMMYFUNCTION("""COMPUTED_VALUE"""),"11")</f>
        <v>11</v>
      </c>
      <c r="D156" s="15" t="str">
        <f>IFERROR(__xludf.DUMMYFUNCTION("""COMPUTED_VALUE"""),"88")</f>
        <v>88</v>
      </c>
      <c r="E156" s="15" t="str">
        <f>IFERROR(__xludf.DUMMYFUNCTION("""COMPUTED_VALUE"""),"Not ranking")</f>
        <v>Not ranking</v>
      </c>
      <c r="F156" s="17" t="str">
        <f>IFERROR(__xludf.DUMMYFUNCTION("""COMPUTED_VALUE"""),"https://www.themeateater.com/wired-to-hunt/whitetail-hunting-gear/hunting-gear-that-will-actually-help-you-kill-more-bucks")</f>
        <v>https://www.themeateater.com/wired-to-hunt/whitetail-hunting-gear/hunting-gear-that-will-actually-help-you-kill-more-bucks</v>
      </c>
      <c r="G156" s="17" t="str">
        <f>IFERROR(__xludf.DUMMYFUNCTION("""COMPUTED_VALUE"""),"https://realtree.com/brow-tines-and-backstrap/declutter-your-old-hunting-gear")</f>
        <v>https://realtree.com/brow-tines-and-backstrap/declutter-your-old-hunting-gear</v>
      </c>
      <c r="H156" s="18" t="str">
        <f>IFERROR(__xludf.DUMMYFUNCTION("""COMPUTED_VALUE"""),"Not ranking")</f>
        <v>Not ranking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5" t="str">
        <f>IFERROR(__xludf.DUMMYFUNCTION("""COMPUTED_VALUE"""),"broadside deer")</f>
        <v>broadside deer</v>
      </c>
      <c r="B157" s="15" t="str">
        <f>IFERROR(__xludf.DUMMYFUNCTION("""COMPUTED_VALUE"""),"1000")</f>
        <v>1000</v>
      </c>
      <c r="C157" s="15" t="str">
        <f>IFERROR(__xludf.DUMMYFUNCTION("""COMPUTED_VALUE"""),"11")</f>
        <v>11</v>
      </c>
      <c r="D157" s="15" t="str">
        <f>IFERROR(__xludf.DUMMYFUNCTION("""COMPUTED_VALUE"""),"10")</f>
        <v>10</v>
      </c>
      <c r="E157" s="15" t="str">
        <f>IFERROR(__xludf.DUMMYFUNCTION("""COMPUTED_VALUE"""),"Not ranking")</f>
        <v>Not ranking</v>
      </c>
      <c r="F157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57" s="17" t="str">
        <f>IFERROR(__xludf.DUMMYFUNCTION("""COMPUTED_VALUE"""),"https://realtree.com/deer-hunting/articles/the-best-shot-placement-on-deer")</f>
        <v>https://realtree.com/deer-hunting/articles/the-best-shot-placement-on-deer</v>
      </c>
      <c r="H157" s="18" t="str">
        <f>IFERROR(__xludf.DUMMYFUNCTION("""COMPUTED_VALUE"""),"Not ranking")</f>
        <v>Not ranking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5" t="str">
        <f>IFERROR(__xludf.DUMMYFUNCTION("""COMPUTED_VALUE"""),"biggest whitetail deer ever killed")</f>
        <v>biggest whitetail deer ever killed</v>
      </c>
      <c r="B158" s="15" t="str">
        <f>IFERROR(__xludf.DUMMYFUNCTION("""COMPUTED_VALUE"""),"880")</f>
        <v>880</v>
      </c>
      <c r="C158" s="15" t="str">
        <f>IFERROR(__xludf.DUMMYFUNCTION("""COMPUTED_VALUE"""),"11")</f>
        <v>11</v>
      </c>
      <c r="D158" s="15" t="str">
        <f>IFERROR(__xludf.DUMMYFUNCTION("""COMPUTED_VALUE"""),"20")</f>
        <v>20</v>
      </c>
      <c r="E158" s="15" t="str">
        <f>IFERROR(__xludf.DUMMYFUNCTION("""COMPUTED_VALUE"""),"4")</f>
        <v>4</v>
      </c>
      <c r="F158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158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158" s="17" t="str">
        <f>IFERROR(__xludf.DUMMYFUNCTION("""COMPUTED_VALUE"""),"https://www.wideopenspaces.com/5-biggest-whitetail-bucks-ever-found-dead/")</f>
        <v>https://www.wideopenspaces.com/5-biggest-whitetail-bucks-ever-found-dead/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5" t="str">
        <f>IFERROR(__xludf.DUMMYFUNCTION("""COMPUTED_VALUE"""),"cuts of meat from a deer")</f>
        <v>cuts of meat from a deer</v>
      </c>
      <c r="B159" s="15" t="str">
        <f>IFERROR(__xludf.DUMMYFUNCTION("""COMPUTED_VALUE"""),"720")</f>
        <v>720</v>
      </c>
      <c r="C159" s="15" t="str">
        <f>IFERROR(__xludf.DUMMYFUNCTION("""COMPUTED_VALUE"""),"11")</f>
        <v>11</v>
      </c>
      <c r="D159" s="15" t="str">
        <f>IFERROR(__xludf.DUMMYFUNCTION("""COMPUTED_VALUE"""),"Not ranking")</f>
        <v>Not ranking</v>
      </c>
      <c r="E159" s="15" t="str">
        <f>IFERROR(__xludf.DUMMYFUNCTION("""COMPUTED_VALUE"""),"Not ranking")</f>
        <v>Not ranking</v>
      </c>
      <c r="F159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59" s="18" t="str">
        <f>IFERROR(__xludf.DUMMYFUNCTION("""COMPUTED_VALUE"""),"Not ranking")</f>
        <v>Not ranking</v>
      </c>
      <c r="H159" s="18" t="str">
        <f>IFERROR(__xludf.DUMMYFUNCTION("""COMPUTED_VALUE"""),"Not ranking")</f>
        <v>Not ranking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5" t="str">
        <f>IFERROR(__xludf.DUMMYFUNCTION("""COMPUTED_VALUE"""),"meat cuts on a deer")</f>
        <v>meat cuts on a deer</v>
      </c>
      <c r="B160" s="15" t="str">
        <f>IFERROR(__xludf.DUMMYFUNCTION("""COMPUTED_VALUE"""),"720")</f>
        <v>720</v>
      </c>
      <c r="C160" s="15" t="str">
        <f>IFERROR(__xludf.DUMMYFUNCTION("""COMPUTED_VALUE"""),"11")</f>
        <v>11</v>
      </c>
      <c r="D160" s="15" t="str">
        <f>IFERROR(__xludf.DUMMYFUNCTION("""COMPUTED_VALUE"""),"Not ranking")</f>
        <v>Not ranking</v>
      </c>
      <c r="E160" s="15" t="str">
        <f>IFERROR(__xludf.DUMMYFUNCTION("""COMPUTED_VALUE"""),"Not ranking")</f>
        <v>Not ranking</v>
      </c>
      <c r="F160" s="17" t="str">
        <f>IFERROR(__xludf.DUMMYFUNCTION("""COMPUTED_VALUE"""),"https://www.themeateater.com/watch/6171359676001/how-to-cut-venison-steaks-with-ryan-callaghan")</f>
        <v>https://www.themeateater.com/watch/6171359676001/how-to-cut-venison-steaks-with-ryan-callaghan</v>
      </c>
      <c r="G160" s="18" t="str">
        <f>IFERROR(__xludf.DUMMYFUNCTION("""COMPUTED_VALUE"""),"Not ranking")</f>
        <v>Not ranking</v>
      </c>
      <c r="H160" s="18" t="str">
        <f>IFERROR(__xludf.DUMMYFUNCTION("""COMPUTED_VALUE"""),"Not ranking")</f>
        <v>Not ranking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5" t="str">
        <f>IFERROR(__xludf.DUMMYFUNCTION("""COMPUTED_VALUE"""),"cuts of a deer")</f>
        <v>cuts of a deer</v>
      </c>
      <c r="B161" s="15" t="str">
        <f>IFERROR(__xludf.DUMMYFUNCTION("""COMPUTED_VALUE"""),"590")</f>
        <v>590</v>
      </c>
      <c r="C161" s="15" t="str">
        <f>IFERROR(__xludf.DUMMYFUNCTION("""COMPUTED_VALUE"""),"11")</f>
        <v>11</v>
      </c>
      <c r="D161" s="15" t="str">
        <f>IFERROR(__xludf.DUMMYFUNCTION("""COMPUTED_VALUE"""),"Not ranking")</f>
        <v>Not ranking</v>
      </c>
      <c r="E161" s="15" t="str">
        <f>IFERROR(__xludf.DUMMYFUNCTION("""COMPUTED_VALUE"""),"38")</f>
        <v>38</v>
      </c>
      <c r="F161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61" s="18" t="str">
        <f>IFERROR(__xludf.DUMMYFUNCTION("""COMPUTED_VALUE"""),"Not ranking")</f>
        <v>Not ranking</v>
      </c>
      <c r="H161" s="17" t="str">
        <f>IFERROR(__xludf.DUMMYFUNCTION("""COMPUTED_VALUE"""),"https://www.wideopenspaces.com/check-illustrated-deer-meat-guide/")</f>
        <v>https://www.wideopenspaces.com/check-illustrated-deer-meat-guide/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5" t="str">
        <f>IFERROR(__xludf.DUMMYFUNCTION("""COMPUTED_VALUE"""),"cutting deer")</f>
        <v>cutting deer</v>
      </c>
      <c r="B162" s="15" t="str">
        <f>IFERROR(__xludf.DUMMYFUNCTION("""COMPUTED_VALUE"""),"590")</f>
        <v>590</v>
      </c>
      <c r="C162" s="15" t="str">
        <f>IFERROR(__xludf.DUMMYFUNCTION("""COMPUTED_VALUE"""),"11")</f>
        <v>11</v>
      </c>
      <c r="D162" s="15" t="str">
        <f>IFERROR(__xludf.DUMMYFUNCTION("""COMPUTED_VALUE"""),"21")</f>
        <v>21</v>
      </c>
      <c r="E162" s="15" t="str">
        <f>IFERROR(__xludf.DUMMYFUNCTION("""COMPUTED_VALUE"""),"28")</f>
        <v>28</v>
      </c>
      <c r="F162" s="17" t="str">
        <f>IFERROR(__xludf.DUMMYFUNCTION("""COMPUTED_VALUE"""),"https://www.themeateater.com/watch/6185211248001/how-to-butcher-a-deer-with-steven-rinella")</f>
        <v>https://www.themeateater.com/watch/6185211248001/how-to-butcher-a-deer-with-steven-rinella</v>
      </c>
      <c r="G162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162" s="17" t="str">
        <f>IFERROR(__xludf.DUMMYFUNCTION("""COMPUTED_VALUE"""),"https://www.wideopenspaces.com/you-actually-dont-have-to-know-how-to-butcher-a-deer-completely/")</f>
        <v>https://www.wideopenspaces.com/you-actually-dont-have-to-know-how-to-butcher-a-deer-completely/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 t="str">
        <f>IFERROR(__xludf.DUMMYFUNCTION("""COMPUTED_VALUE"""),"giant mule deer")</f>
        <v>giant mule deer</v>
      </c>
      <c r="B163" s="15" t="str">
        <f>IFERROR(__xludf.DUMMYFUNCTION("""COMPUTED_VALUE"""),"590")</f>
        <v>590</v>
      </c>
      <c r="C163" s="15" t="str">
        <f>IFERROR(__xludf.DUMMYFUNCTION("""COMPUTED_VALUE"""),"11")</f>
        <v>11</v>
      </c>
      <c r="D163" s="15" t="str">
        <f>IFERROR(__xludf.DUMMYFUNCTION("""COMPUTED_VALUE"""),"44")</f>
        <v>44</v>
      </c>
      <c r="E163" s="15" t="str">
        <f>IFERROR(__xludf.DUMMYFUNCTION("""COMPUTED_VALUE"""),"Not ranking")</f>
        <v>Not ranking</v>
      </c>
      <c r="F163" s="17" t="str">
        <f>IFERROR(__xludf.DUMMYFUNCTION("""COMPUTED_VALUE"""),"https://www.themeateater.com/watch/6222000778001/s4-e12-big-buck-dreams-mule-deer-special")</f>
        <v>https://www.themeateater.com/watch/6222000778001/s4-e12-big-buck-dreams-mule-deer-special</v>
      </c>
      <c r="G163" s="17" t="str">
        <f>IFERROR(__xludf.DUMMYFUNCTION("""COMPUTED_VALUE"""),"https://realtree.com/big-game-hunting/articles/the-top-states-for-record-mule-deer-in-the-last-10-years")</f>
        <v>https://realtree.com/big-game-hunting/articles/the-top-states-for-record-mule-deer-in-the-last-10-years</v>
      </c>
      <c r="H163" s="18" t="str">
        <f>IFERROR(__xludf.DUMMYFUNCTION("""COMPUTED_VALUE"""),"Not ranking")</f>
        <v>Not ranking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 t="str">
        <f>IFERROR(__xludf.DUMMYFUNCTION("""COMPUTED_VALUE"""),"liver shot deer")</f>
        <v>liver shot deer</v>
      </c>
      <c r="B164" s="15" t="str">
        <f>IFERROR(__xludf.DUMMYFUNCTION("""COMPUTED_VALUE"""),"590")</f>
        <v>590</v>
      </c>
      <c r="C164" s="15" t="str">
        <f>IFERROR(__xludf.DUMMYFUNCTION("""COMPUTED_VALUE"""),"11")</f>
        <v>11</v>
      </c>
      <c r="D164" s="15" t="str">
        <f>IFERROR(__xludf.DUMMYFUNCTION("""COMPUTED_VALUE"""),"64")</f>
        <v>64</v>
      </c>
      <c r="E164" s="15" t="str">
        <f>IFERROR(__xludf.DUMMYFUNCTION("""COMPUTED_VALUE"""),"47")</f>
        <v>47</v>
      </c>
      <c r="F164" s="17" t="str">
        <f>IFERROR(__xludf.DUMMYFUNCTION("""COMPUTED_VALUE"""),"https://www.themeateater.com/wired-to-hunt/whitetail-hunting/how-long-should-you-wait-to-blood-trail-a-deer")</f>
        <v>https://www.themeateater.com/wired-to-hunt/whitetail-hunting/how-long-should-you-wait-to-blood-trail-a-deer</v>
      </c>
      <c r="G164" s="17" t="str">
        <f>IFERROR(__xludf.DUMMYFUNCTION("""COMPUTED_VALUE"""),"https://realtree.com/brow-tines-and-backstrap/it-s-hot-you-shot-a-deer-now-what")</f>
        <v>https://realtree.com/brow-tines-and-backstrap/it-s-hot-you-shot-a-deer-now-what</v>
      </c>
      <c r="H164" s="17" t="str">
        <f>IFERROR(__xludf.DUMMYFUNCTION("""COMPUTED_VALUE"""),"https://www.wideopenspaces.com/salvage-gut-shot-deer/")</f>
        <v>https://www.wideopenspaces.com/salvage-gut-shot-deer/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 t="str">
        <f>IFERROR(__xludf.DUMMYFUNCTION("""COMPUTED_VALUE"""),"meat cuts from deer")</f>
        <v>meat cuts from deer</v>
      </c>
      <c r="B165" s="15" t="str">
        <f>IFERROR(__xludf.DUMMYFUNCTION("""COMPUTED_VALUE"""),"590")</f>
        <v>590</v>
      </c>
      <c r="C165" s="15" t="str">
        <f>IFERROR(__xludf.DUMMYFUNCTION("""COMPUTED_VALUE"""),"11")</f>
        <v>11</v>
      </c>
      <c r="D165" s="15" t="str">
        <f>IFERROR(__xludf.DUMMYFUNCTION("""COMPUTED_VALUE"""),"Not ranking")</f>
        <v>Not ranking</v>
      </c>
      <c r="E165" s="15" t="str">
        <f>IFERROR(__xludf.DUMMYFUNCTION("""COMPUTED_VALUE"""),"16")</f>
        <v>16</v>
      </c>
      <c r="F165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65" s="18" t="str">
        <f>IFERROR(__xludf.DUMMYFUNCTION("""COMPUTED_VALUE"""),"Not ranking")</f>
        <v>Not ranking</v>
      </c>
      <c r="H165" s="17" t="str">
        <f>IFERROR(__xludf.DUMMYFUNCTION("""COMPUTED_VALUE"""),"https://www.wideopenspaces.com/venison-cuts-ranked/")</f>
        <v>https://www.wideopenspaces.com/venison-cuts-ranked/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 t="str">
        <f>IFERROR(__xludf.DUMMYFUNCTION("""COMPUTED_VALUE"""),"deer heart recipe")</f>
        <v>deer heart recipe</v>
      </c>
      <c r="B166" s="15" t="str">
        <f>IFERROR(__xludf.DUMMYFUNCTION("""COMPUTED_VALUE"""),"1900")</f>
        <v>1900</v>
      </c>
      <c r="C166" s="15" t="str">
        <f>IFERROR(__xludf.DUMMYFUNCTION("""COMPUTED_VALUE"""),"12")</f>
        <v>12</v>
      </c>
      <c r="D166" s="15" t="str">
        <f>IFERROR(__xludf.DUMMYFUNCTION("""COMPUTED_VALUE"""),"10")</f>
        <v>10</v>
      </c>
      <c r="E166" s="15" t="str">
        <f>IFERROR(__xludf.DUMMYFUNCTION("""COMPUTED_VALUE"""),"74")</f>
        <v>74</v>
      </c>
      <c r="F166" s="17" t="str">
        <f>IFERROR(__xludf.DUMMYFUNCTION("""COMPUTED_VALUE"""),"https://www.themeateater.com/watch/6175573953001/meateater-s-seared-venison-heart-with-whiskey-butter")</f>
        <v>https://www.themeateater.com/watch/6175573953001/meateater-s-seared-venison-heart-with-whiskey-butter</v>
      </c>
      <c r="G166" s="17" t="str">
        <f>IFERROR(__xludf.DUMMYFUNCTION("""COMPUTED_VALUE"""),"https://realtree.com/timber-2-table-wild-game-recipes/pan-fried-venison-heart-with-black-pepper-buttermilk-gravy")</f>
        <v>https://realtree.com/timber-2-table-wild-game-recipes/pan-fried-venison-heart-with-black-pepper-buttermilk-gravy</v>
      </c>
      <c r="H166" s="17" t="str">
        <f>IFERROR(__xludf.DUMMYFUNCTION("""COMPUTED_VALUE"""),"https://www.wideopenspaces.com/hilarious-romantic-take-on-how-to-prepare-deer-heart/")</f>
        <v>https://www.wideopenspaces.com/hilarious-romantic-take-on-how-to-prepare-deer-heart/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5" t="str">
        <f>IFERROR(__xludf.DUMMYFUNCTION("""COMPUTED_VALUE"""),"how to process a deer")</f>
        <v>how to process a deer</v>
      </c>
      <c r="B167" s="15" t="str">
        <f>IFERROR(__xludf.DUMMYFUNCTION("""COMPUTED_VALUE"""),"1600")</f>
        <v>1600</v>
      </c>
      <c r="C167" s="15" t="str">
        <f>IFERROR(__xludf.DUMMYFUNCTION("""COMPUTED_VALUE"""),"12")</f>
        <v>12</v>
      </c>
      <c r="D167" s="15" t="str">
        <f>IFERROR(__xludf.DUMMYFUNCTION("""COMPUTED_VALUE"""),"87")</f>
        <v>87</v>
      </c>
      <c r="E167" s="15" t="str">
        <f>IFERROR(__xludf.DUMMYFUNCTION("""COMPUTED_VALUE"""),"Not ranking")</f>
        <v>Not ranking</v>
      </c>
      <c r="F167" s="17" t="str">
        <f>IFERROR(__xludf.DUMMYFUNCTION("""COMPUTED_VALUE"""),"https://www.themeateater.com/watch/6275506601001/how-to-butcher-your-own-deer-steve-s-way")</f>
        <v>https://www.themeateater.com/watch/6275506601001/how-to-butcher-your-own-deer-steve-s-way</v>
      </c>
      <c r="G167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167" s="18" t="str">
        <f>IFERROR(__xludf.DUMMYFUNCTION("""COMPUTED_VALUE"""),"Not ranking")</f>
        <v>Not ranking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 t="str">
        <f>IFERROR(__xludf.DUMMYFUNCTION("""COMPUTED_VALUE"""),"biggest deer ever killed")</f>
        <v>biggest deer ever killed</v>
      </c>
      <c r="B168" s="15" t="str">
        <f>IFERROR(__xludf.DUMMYFUNCTION("""COMPUTED_VALUE"""),"1300")</f>
        <v>1300</v>
      </c>
      <c r="C168" s="15" t="str">
        <f>IFERROR(__xludf.DUMMYFUNCTION("""COMPUTED_VALUE"""),"12")</f>
        <v>12</v>
      </c>
      <c r="D168" s="15" t="str">
        <f>IFERROR(__xludf.DUMMYFUNCTION("""COMPUTED_VALUE"""),"20")</f>
        <v>20</v>
      </c>
      <c r="E168" s="15" t="str">
        <f>IFERROR(__xludf.DUMMYFUNCTION("""COMPUTED_VALUE"""),"4")</f>
        <v>4</v>
      </c>
      <c r="F168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168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168" s="17" t="str">
        <f>IFERROR(__xludf.DUMMYFUNCTION("""COMPUTED_VALUE"""),"https://www.wideopenspaces.com/5-biggest-whitetail-bucks-ever-found-dead/")</f>
        <v>https://www.wideopenspaces.com/5-biggest-whitetail-bucks-ever-found-dead/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 t="str">
        <f>IFERROR(__xludf.DUMMYFUNCTION("""COMPUTED_VALUE"""),"deer blood color chart")</f>
        <v>deer blood color chart</v>
      </c>
      <c r="B169" s="15" t="str">
        <f>IFERROR(__xludf.DUMMYFUNCTION("""COMPUTED_VALUE"""),"1000")</f>
        <v>1000</v>
      </c>
      <c r="C169" s="15" t="str">
        <f>IFERROR(__xludf.DUMMYFUNCTION("""COMPUTED_VALUE"""),"12")</f>
        <v>12</v>
      </c>
      <c r="D169" s="15" t="str">
        <f>IFERROR(__xludf.DUMMYFUNCTION("""COMPUTED_VALUE"""),"11")</f>
        <v>11</v>
      </c>
      <c r="E169" s="15" t="str">
        <f>IFERROR(__xludf.DUMMYFUNCTION("""COMPUTED_VALUE"""),"Not ranking")</f>
        <v>Not ranking</v>
      </c>
      <c r="F169" s="17" t="str">
        <f>IFERROR(__xludf.DUMMYFUNCTION("""COMPUTED_VALUE"""),"https://www.themeateater.com/wired-to-hunt/whitetail-hunting/what-you-need-to-know-about-blood-trailing-whitetail")</f>
        <v>https://www.themeateater.com/wired-to-hunt/whitetail-hunting/what-you-need-to-know-about-blood-trailing-whitetail</v>
      </c>
      <c r="G169" s="17" t="str">
        <f>IFERROR(__xludf.DUMMYFUNCTION("""COMPUTED_VALUE"""),"https://realtree.com/brow-tines-and-backstrap/20-tips-for-blood-trailing-deer")</f>
        <v>https://realtree.com/brow-tines-and-backstrap/20-tips-for-blood-trailing-deer</v>
      </c>
      <c r="H169" s="18" t="str">
        <f>IFERROR(__xludf.DUMMYFUNCTION("""COMPUTED_VALUE"""),"Not ranking")</f>
        <v>Not ranking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 t="str">
        <f>IFERROR(__xludf.DUMMYFUNCTION("""COMPUTED_VALUE"""),"deer chili")</f>
        <v>deer chili</v>
      </c>
      <c r="B170" s="15" t="str">
        <f>IFERROR(__xludf.DUMMYFUNCTION("""COMPUTED_VALUE"""),"1000")</f>
        <v>1000</v>
      </c>
      <c r="C170" s="15" t="str">
        <f>IFERROR(__xludf.DUMMYFUNCTION("""COMPUTED_VALUE"""),"12")</f>
        <v>12</v>
      </c>
      <c r="D170" s="15" t="str">
        <f>IFERROR(__xludf.DUMMYFUNCTION("""COMPUTED_VALUE"""),"13")</f>
        <v>13</v>
      </c>
      <c r="E170" s="15" t="str">
        <f>IFERROR(__xludf.DUMMYFUNCTION("""COMPUTED_VALUE"""),"46")</f>
        <v>46</v>
      </c>
      <c r="F170" s="17" t="str">
        <f>IFERROR(__xludf.DUMMYFUNCTION("""COMPUTED_VALUE"""),"https://www.themeateater.com/watch/6175334134001/cooking-game-venison-chili")</f>
        <v>https://www.themeateater.com/watch/6175334134001/cooking-game-venison-chili</v>
      </c>
      <c r="G170" s="17" t="str">
        <f>IFERROR(__xludf.DUMMYFUNCTION("""COMPUTED_VALUE"""),"https://realtree.com/timber-2-table-wild-game-recipes/contest-winning-venison-chili-recipe")</f>
        <v>https://realtree.com/timber-2-table-wild-game-recipes/contest-winning-venison-chili-recipe</v>
      </c>
      <c r="H170" s="17" t="str">
        <f>IFERROR(__xludf.DUMMYFUNCTION("""COMPUTED_VALUE"""),"https://www.wideopenspaces.com/top-5-venison-chili-recipe/")</f>
        <v>https://www.wideopenspaces.com/top-5-venison-chili-recipe/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 t="str">
        <f>IFERROR(__xludf.DUMMYFUNCTION("""COMPUTED_VALUE"""),"deer meat cuts")</f>
        <v>deer meat cuts</v>
      </c>
      <c r="B171" s="15" t="str">
        <f>IFERROR(__xludf.DUMMYFUNCTION("""COMPUTED_VALUE"""),"1000")</f>
        <v>1000</v>
      </c>
      <c r="C171" s="15" t="str">
        <f>IFERROR(__xludf.DUMMYFUNCTION("""COMPUTED_VALUE"""),"12")</f>
        <v>12</v>
      </c>
      <c r="D171" s="15" t="str">
        <f>IFERROR(__xludf.DUMMYFUNCTION("""COMPUTED_VALUE"""),"Not ranking")</f>
        <v>Not ranking</v>
      </c>
      <c r="E171" s="15" t="str">
        <f>IFERROR(__xludf.DUMMYFUNCTION("""COMPUTED_VALUE"""),"16")</f>
        <v>16</v>
      </c>
      <c r="F171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71" s="18" t="str">
        <f>IFERROR(__xludf.DUMMYFUNCTION("""COMPUTED_VALUE"""),"Not ranking")</f>
        <v>Not ranking</v>
      </c>
      <c r="H171" s="17" t="str">
        <f>IFERROR(__xludf.DUMMYFUNCTION("""COMPUTED_VALUE"""),"https://www.wideopenspaces.com/venison-cuts-ranked/")</f>
        <v>https://www.wideopenspaces.com/venison-cuts-ranked/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 t="str">
        <f>IFERROR(__xludf.DUMMYFUNCTION("""COMPUTED_VALUE"""),"best caliber for deer hunting")</f>
        <v>best caliber for deer hunting</v>
      </c>
      <c r="B172" s="15" t="str">
        <f>IFERROR(__xludf.DUMMYFUNCTION("""COMPUTED_VALUE"""),"880")</f>
        <v>880</v>
      </c>
      <c r="C172" s="15" t="str">
        <f>IFERROR(__xludf.DUMMYFUNCTION("""COMPUTED_VALUE"""),"12")</f>
        <v>12</v>
      </c>
      <c r="D172" s="15" t="str">
        <f>IFERROR(__xludf.DUMMYFUNCTION("""COMPUTED_VALUE"""),"33")</f>
        <v>33</v>
      </c>
      <c r="E172" s="15" t="str">
        <f>IFERROR(__xludf.DUMMYFUNCTION("""COMPUTED_VALUE"""),"45")</f>
        <v>45</v>
      </c>
      <c r="F172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172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172" s="17" t="str">
        <f>IFERROR(__xludf.DUMMYFUNCTION("""COMPUTED_VALUE"""),"https://www.wideopenspaces.com/best-deer-hunting-caliber-for-women/")</f>
        <v>https://www.wideopenspaces.com/best-deer-hunting-caliber-for-women/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 t="str">
        <f>IFERROR(__xludf.DUMMYFUNCTION("""COMPUTED_VALUE"""),"best caliber to hunt deer")</f>
        <v>best caliber to hunt deer</v>
      </c>
      <c r="B173" s="15" t="str">
        <f>IFERROR(__xludf.DUMMYFUNCTION("""COMPUTED_VALUE"""),"880")</f>
        <v>880</v>
      </c>
      <c r="C173" s="15" t="str">
        <f>IFERROR(__xludf.DUMMYFUNCTION("""COMPUTED_VALUE"""),"12")</f>
        <v>12</v>
      </c>
      <c r="D173" s="15" t="str">
        <f>IFERROR(__xludf.DUMMYFUNCTION("""COMPUTED_VALUE"""),"28")</f>
        <v>28</v>
      </c>
      <c r="E173" s="15" t="str">
        <f>IFERROR(__xludf.DUMMYFUNCTION("""COMPUTED_VALUE"""),"44")</f>
        <v>44</v>
      </c>
      <c r="F173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173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173" s="17" t="str">
        <f>IFERROR(__xludf.DUMMYFUNCTION("""COMPUTED_VALUE"""),"https://www.wideopenspaces.com/best-deer-hunting-caliber-for-women/")</f>
        <v>https://www.wideopenspaces.com/best-deer-hunting-caliber-for-women/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 t="str">
        <f>IFERROR(__xludf.DUMMYFUNCTION("""COMPUTED_VALUE"""),"how to cook deer heart")</f>
        <v>how to cook deer heart</v>
      </c>
      <c r="B174" s="15" t="str">
        <f>IFERROR(__xludf.DUMMYFUNCTION("""COMPUTED_VALUE"""),"880")</f>
        <v>880</v>
      </c>
      <c r="C174" s="15" t="str">
        <f>IFERROR(__xludf.DUMMYFUNCTION("""COMPUTED_VALUE"""),"12")</f>
        <v>12</v>
      </c>
      <c r="D174" s="15" t="str">
        <f>IFERROR(__xludf.DUMMYFUNCTION("""COMPUTED_VALUE"""),"15")</f>
        <v>15</v>
      </c>
      <c r="E174" s="15" t="str">
        <f>IFERROR(__xludf.DUMMYFUNCTION("""COMPUTED_VALUE"""),"63")</f>
        <v>63</v>
      </c>
      <c r="F174" s="17" t="str">
        <f>IFERROR(__xludf.DUMMYFUNCTION("""COMPUTED_VALUE"""),"https://www.themeateater.com/watch/6175573953001/meateater-s-seared-venison-heart-with-whiskey-butter")</f>
        <v>https://www.themeateater.com/watch/6175573953001/meateater-s-seared-venison-heart-with-whiskey-butter</v>
      </c>
      <c r="G174" s="17" t="str">
        <f>IFERROR(__xludf.DUMMYFUNCTION("""COMPUTED_VALUE"""),"https://realtree.com/timber-2-table-wild-game-recipes/pan-fried-venison-heart-with-black-pepper-buttermilk-gravy")</f>
        <v>https://realtree.com/timber-2-table-wild-game-recipes/pan-fried-venison-heart-with-black-pepper-buttermilk-gravy</v>
      </c>
      <c r="H174" s="17" t="str">
        <f>IFERROR(__xludf.DUMMYFUNCTION("""COMPUTED_VALUE"""),"https://www.wideopenspaces.com/how-to-clean-a-deer-heart/")</f>
        <v>https://www.wideopenspaces.com/how-to-clean-a-deer-heart/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 t="str">
        <f>IFERROR(__xludf.DUMMYFUNCTION("""COMPUTED_VALUE"""),"a female deer")</f>
        <v>a female deer</v>
      </c>
      <c r="B175" s="15" t="str">
        <f>IFERROR(__xludf.DUMMYFUNCTION("""COMPUTED_VALUE"""),"720")</f>
        <v>720</v>
      </c>
      <c r="C175" s="15" t="str">
        <f>IFERROR(__xludf.DUMMYFUNCTION("""COMPUTED_VALUE"""),"12")</f>
        <v>12</v>
      </c>
      <c r="D175" s="15" t="str">
        <f>IFERROR(__xludf.DUMMYFUNCTION("""COMPUTED_VALUE"""),"Not ranking")</f>
        <v>Not ranking</v>
      </c>
      <c r="E175" s="15" t="str">
        <f>IFERROR(__xludf.DUMMYFUNCTION("""COMPUTED_VALUE"""),"Not ranking")</f>
        <v>Not ranking</v>
      </c>
      <c r="F175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175" s="18" t="str">
        <f>IFERROR(__xludf.DUMMYFUNCTION("""COMPUTED_VALUE"""),"Not ranking")</f>
        <v>Not ranking</v>
      </c>
      <c r="H175" s="18" t="str">
        <f>IFERROR(__xludf.DUMMYFUNCTION("""COMPUTED_VALUE"""),"Not ranking")</f>
        <v>Not ranking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 t="str">
        <f>IFERROR(__xludf.DUMMYFUNCTION("""COMPUTED_VALUE"""),"deer butchering")</f>
        <v>deer butchering</v>
      </c>
      <c r="B176" s="15" t="str">
        <f>IFERROR(__xludf.DUMMYFUNCTION("""COMPUTED_VALUE"""),"720")</f>
        <v>720</v>
      </c>
      <c r="C176" s="15" t="str">
        <f>IFERROR(__xludf.DUMMYFUNCTION("""COMPUTED_VALUE"""),"12")</f>
        <v>12</v>
      </c>
      <c r="D176" s="15" t="str">
        <f>IFERROR(__xludf.DUMMYFUNCTION("""COMPUTED_VALUE"""),"19")</f>
        <v>19</v>
      </c>
      <c r="E176" s="15" t="str">
        <f>IFERROR(__xludf.DUMMYFUNCTION("""COMPUTED_VALUE"""),"37")</f>
        <v>37</v>
      </c>
      <c r="F176" s="17" t="str">
        <f>IFERROR(__xludf.DUMMYFUNCTION("""COMPUTED_VALUE"""),"https://www.themeateater.com/watch/6258237862001/s6-e06-cooking-special-butchering-a-whole-deer")</f>
        <v>https://www.themeateater.com/watch/6258237862001/s6-e06-cooking-special-butchering-a-whole-deer</v>
      </c>
      <c r="G176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176" s="17" t="str">
        <f>IFERROR(__xludf.DUMMYFUNCTION("""COMPUTED_VALUE"""),"https://www.wideopenspaces.com/you-actually-dont-have-to-know-how-to-butcher-a-deer-completely/")</f>
        <v>https://www.wideopenspaces.com/you-actually-dont-have-to-know-how-to-butcher-a-deer-completely/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 t="str">
        <f>IFERROR(__xludf.DUMMYFUNCTION("""COMPUTED_VALUE"""),"deer vitals diagram")</f>
        <v>deer vitals diagram</v>
      </c>
      <c r="B177" s="15" t="str">
        <f>IFERROR(__xludf.DUMMYFUNCTION("""COMPUTED_VALUE"""),"720")</f>
        <v>720</v>
      </c>
      <c r="C177" s="15" t="str">
        <f>IFERROR(__xludf.DUMMYFUNCTION("""COMPUTED_VALUE"""),"12")</f>
        <v>12</v>
      </c>
      <c r="D177" s="15" t="str">
        <f>IFERROR(__xludf.DUMMYFUNCTION("""COMPUTED_VALUE"""),"6")</f>
        <v>6</v>
      </c>
      <c r="E177" s="15" t="str">
        <f>IFERROR(__xludf.DUMMYFUNCTION("""COMPUTED_VALUE"""),"58")</f>
        <v>58</v>
      </c>
      <c r="F177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77" s="17" t="str">
        <f>IFERROR(__xludf.DUMMYFUNCTION("""COMPUTED_VALUE"""),"https://realtree.com/deer-hunting/articles/the-best-shot-placement-on-deer")</f>
        <v>https://realtree.com/deer-hunting/articles/the-best-shot-placement-on-deer</v>
      </c>
      <c r="H177" s="17" t="str">
        <f>IFERROR(__xludf.DUMMYFUNCTION("""COMPUTED_VALUE"""),"https://www.wideopenspaces.com/how-to-find-and-aim-for-deer-vitals/")</f>
        <v>https://www.wideopenspaces.com/how-to-find-and-aim-for-deer-vitals/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 t="str">
        <f>IFERROR(__xludf.DUMMYFUNCTION("""COMPUTED_VALUE"""),"color deer")</f>
        <v>color deer</v>
      </c>
      <c r="B178" s="15" t="str">
        <f>IFERROR(__xludf.DUMMYFUNCTION("""COMPUTED_VALUE"""),"590")</f>
        <v>590</v>
      </c>
      <c r="C178" s="15" t="str">
        <f>IFERROR(__xludf.DUMMYFUNCTION("""COMPUTED_VALUE"""),"12")</f>
        <v>12</v>
      </c>
      <c r="D178" s="15" t="str">
        <f>IFERROR(__xludf.DUMMYFUNCTION("""COMPUTED_VALUE"""),"Not ranking")</f>
        <v>Not ranking</v>
      </c>
      <c r="E178" s="15" t="str">
        <f>IFERROR(__xludf.DUMMYFUNCTION("""COMPUTED_VALUE"""),"Not ranking")</f>
        <v>Not ranking</v>
      </c>
      <c r="F178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178" s="18" t="str">
        <f>IFERROR(__xludf.DUMMYFUNCTION("""COMPUTED_VALUE"""),"Not ranking")</f>
        <v>Not ranking</v>
      </c>
      <c r="H178" s="18" t="str">
        <f>IFERROR(__xludf.DUMMYFUNCTION("""COMPUTED_VALUE"""),"Not ranking")</f>
        <v>Not ranking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 t="str">
        <f>IFERROR(__xludf.DUMMYFUNCTION("""COMPUTED_VALUE"""),"deer sheds")</f>
        <v>deer sheds</v>
      </c>
      <c r="B179" s="15" t="str">
        <f>IFERROR(__xludf.DUMMYFUNCTION("""COMPUTED_VALUE"""),"590")</f>
        <v>590</v>
      </c>
      <c r="C179" s="15" t="str">
        <f>IFERROR(__xludf.DUMMYFUNCTION("""COMPUTED_VALUE"""),"12")</f>
        <v>12</v>
      </c>
      <c r="D179" s="15" t="str">
        <f>IFERROR(__xludf.DUMMYFUNCTION("""COMPUTED_VALUE"""),"53")</f>
        <v>53</v>
      </c>
      <c r="E179" s="15" t="str">
        <f>IFERROR(__xludf.DUMMYFUNCTION("""COMPUTED_VALUE"""),"44")</f>
        <v>44</v>
      </c>
      <c r="F179" s="17" t="str">
        <f>IFERROR(__xludf.DUMMYFUNCTION("""COMPUTED_VALUE"""),"https://www.themeateater.com/wired-to-hunt/whitetail-scouting/3-guaranteed-places-to-find-whitetail-sheds")</f>
        <v>https://www.themeateater.com/wired-to-hunt/whitetail-scouting/3-guaranteed-places-to-find-whitetail-sheds</v>
      </c>
      <c r="G179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179" s="17" t="str">
        <f>IFERROR(__xludf.DUMMYFUNCTION("""COMPUTED_VALUE"""),"https://www.wideopenspaces.com/deer-shed-antlers-pics/")</f>
        <v>https://www.wideopenspaces.com/deer-shed-antlers-pics/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 t="str">
        <f>IFERROR(__xludf.DUMMYFUNCTION("""COMPUTED_VALUE"""),"cheap deer blind ideas")</f>
        <v>cheap deer blind ideas</v>
      </c>
      <c r="B180" s="15" t="str">
        <f>IFERROR(__xludf.DUMMYFUNCTION("""COMPUTED_VALUE"""),"2900")</f>
        <v>2900</v>
      </c>
      <c r="C180" s="15" t="str">
        <f>IFERROR(__xludf.DUMMYFUNCTION("""COMPUTED_VALUE"""),"13")</f>
        <v>13</v>
      </c>
      <c r="D180" s="15" t="str">
        <f>IFERROR(__xludf.DUMMYFUNCTION("""COMPUTED_VALUE"""),"76")</f>
        <v>76</v>
      </c>
      <c r="E180" s="15" t="str">
        <f>IFERROR(__xludf.DUMMYFUNCTION("""COMPUTED_VALUE"""),"19")</f>
        <v>19</v>
      </c>
      <c r="F180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180" s="17" t="str">
        <f>IFERROR(__xludf.DUMMYFUNCTION("""COMPUTED_VALUE"""),"https://realtree.com/brow-tines-and-backstrap/how-to-build-a-shooting-house-on-a-budget")</f>
        <v>https://realtree.com/brow-tines-and-backstrap/how-to-build-a-shooting-house-on-a-budget</v>
      </c>
      <c r="H180" s="17" t="str">
        <f>IFERROR(__xludf.DUMMYFUNCTION("""COMPUTED_VALUE"""),"https://www.wideopenspaces.com/deer-hunting-blind-spacious/")</f>
        <v>https://www.wideopenspaces.com/deer-hunting-blind-spacious/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 t="str">
        <f>IFERROR(__xludf.DUMMYFUNCTION("""COMPUTED_VALUE"""),"deer heart")</f>
        <v>deer heart</v>
      </c>
      <c r="B181" s="15" t="str">
        <f>IFERROR(__xludf.DUMMYFUNCTION("""COMPUTED_VALUE"""),"1900")</f>
        <v>1900</v>
      </c>
      <c r="C181" s="15" t="str">
        <f>IFERROR(__xludf.DUMMYFUNCTION("""COMPUTED_VALUE"""),"13")</f>
        <v>13</v>
      </c>
      <c r="D181" s="15" t="str">
        <f>IFERROR(__xludf.DUMMYFUNCTION("""COMPUTED_VALUE"""),"12")</f>
        <v>12</v>
      </c>
      <c r="E181" s="15" t="str">
        <f>IFERROR(__xludf.DUMMYFUNCTION("""COMPUTED_VALUE"""),"Not ranking")</f>
        <v>Not ranking</v>
      </c>
      <c r="F181" s="17" t="str">
        <f>IFERROR(__xludf.DUMMYFUNCTION("""COMPUTED_VALUE"""),"https://www.themeateater.com/watch/6175573953001/meateater-s-seared-venison-heart-with-whiskey-butter")</f>
        <v>https://www.themeateater.com/watch/6175573953001/meateater-s-seared-venison-heart-with-whiskey-butter</v>
      </c>
      <c r="G181" s="17" t="str">
        <f>IFERROR(__xludf.DUMMYFUNCTION("""COMPUTED_VALUE"""),"https://realtree.com/timber-2-table-wild-game-recipes/pan-fried-venison-heart-with-black-pepper-buttermilk-gravy")</f>
        <v>https://realtree.com/timber-2-table-wild-game-recipes/pan-fried-venison-heart-with-black-pepper-buttermilk-gravy</v>
      </c>
      <c r="H181" s="18" t="str">
        <f>IFERROR(__xludf.DUMMYFUNCTION("""COMPUTED_VALUE"""),"Not ranking")</f>
        <v>Not ranking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 t="str">
        <f>IFERROR(__xludf.DUMMYFUNCTION("""COMPUTED_VALUE"""),"deer tracks in snow")</f>
        <v>deer tracks in snow</v>
      </c>
      <c r="B182" s="15" t="str">
        <f>IFERROR(__xludf.DUMMYFUNCTION("""COMPUTED_VALUE"""),"1900")</f>
        <v>1900</v>
      </c>
      <c r="C182" s="15" t="str">
        <f>IFERROR(__xludf.DUMMYFUNCTION("""COMPUTED_VALUE"""),"13")</f>
        <v>13</v>
      </c>
      <c r="D182" s="15" t="str">
        <f>IFERROR(__xludf.DUMMYFUNCTION("""COMPUTED_VALUE"""),"Not ranking")</f>
        <v>Not ranking</v>
      </c>
      <c r="E182" s="15" t="str">
        <f>IFERROR(__xludf.DUMMYFUNCTION("""COMPUTED_VALUE"""),"Not ranking")</f>
        <v>Not ranking</v>
      </c>
      <c r="F182" s="17" t="str">
        <f>IFERROR(__xludf.DUMMYFUNCTION("""COMPUTED_VALUE"""),"https://www.themeateater.com/wired-to-hunt/whitetail-scouting/how-to-identify-a-big-buck-track-in-snow")</f>
        <v>https://www.themeateater.com/wired-to-hunt/whitetail-scouting/how-to-identify-a-big-buck-track-in-snow</v>
      </c>
      <c r="G182" s="18" t="str">
        <f>IFERROR(__xludf.DUMMYFUNCTION("""COMPUTED_VALUE"""),"Not ranking")</f>
        <v>Not ranking</v>
      </c>
      <c r="H182" s="18" t="str">
        <f>IFERROR(__xludf.DUMMYFUNCTION("""COMPUTED_VALUE"""),"Not ranking")</f>
        <v>Not ranking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 t="str">
        <f>IFERROR(__xludf.DUMMYFUNCTION("""COMPUTED_VALUE"""),"how to make deer jerky")</f>
        <v>how to make deer jerky</v>
      </c>
      <c r="B183" s="15" t="str">
        <f>IFERROR(__xludf.DUMMYFUNCTION("""COMPUTED_VALUE"""),"1900")</f>
        <v>1900</v>
      </c>
      <c r="C183" s="15" t="str">
        <f>IFERROR(__xludf.DUMMYFUNCTION("""COMPUTED_VALUE"""),"13")</f>
        <v>13</v>
      </c>
      <c r="D183" s="15" t="str">
        <f>IFERROR(__xludf.DUMMYFUNCTION("""COMPUTED_VALUE"""),"65")</f>
        <v>65</v>
      </c>
      <c r="E183" s="15" t="str">
        <f>IFERROR(__xludf.DUMMYFUNCTION("""COMPUTED_VALUE"""),"24")</f>
        <v>24</v>
      </c>
      <c r="F183" s="17" t="str">
        <f>IFERROR(__xludf.DUMMYFUNCTION("""COMPUTED_VALUE"""),"https://www.themeateater.com/watch/6278033203001/how-to-make-venison-jerky-with-kevin-gillespie")</f>
        <v>https://www.themeateater.com/watch/6278033203001/how-to-make-venison-jerky-with-kevin-gillespie</v>
      </c>
      <c r="G183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183" s="17" t="str">
        <f>IFERROR(__xludf.DUMMYFUNCTION("""COMPUTED_VALUE"""),"https://www.wideopenspaces.com/venison-jerky-recipe/")</f>
        <v>https://www.wideopenspaces.com/venison-jerky-recipe/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 t="str">
        <f>IFERROR(__xludf.DUMMYFUNCTION("""COMPUTED_VALUE"""),"best caliber for deer")</f>
        <v>best caliber for deer</v>
      </c>
      <c r="B184" s="15" t="str">
        <f>IFERROR(__xludf.DUMMYFUNCTION("""COMPUTED_VALUE"""),"1300")</f>
        <v>1300</v>
      </c>
      <c r="C184" s="15" t="str">
        <f>IFERROR(__xludf.DUMMYFUNCTION("""COMPUTED_VALUE"""),"13")</f>
        <v>13</v>
      </c>
      <c r="D184" s="15" t="str">
        <f>IFERROR(__xludf.DUMMYFUNCTION("""COMPUTED_VALUE"""),"28")</f>
        <v>28</v>
      </c>
      <c r="E184" s="15" t="str">
        <f>IFERROR(__xludf.DUMMYFUNCTION("""COMPUTED_VALUE"""),"43")</f>
        <v>43</v>
      </c>
      <c r="F184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184" s="17" t="str">
        <f>IFERROR(__xludf.DUMMYFUNCTION("""COMPUTED_VALUE"""),"https://realtree.com/deer-hunting/articles/the-5-best-bullet-styles-for-deer-hunting")</f>
        <v>https://realtree.com/deer-hunting/articles/the-5-best-bullet-styles-for-deer-hunting</v>
      </c>
      <c r="H184" s="17" t="str">
        <f>IFERROR(__xludf.DUMMYFUNCTION("""COMPUTED_VALUE"""),"https://www.wideopenspaces.com/best-deer-hunting-caliber-for-women/")</f>
        <v>https://www.wideopenspaces.com/best-deer-hunting-caliber-for-women/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 t="str">
        <f>IFERROR(__xludf.DUMMYFUNCTION("""COMPUTED_VALUE"""),"deer kill shot")</f>
        <v>deer kill shot</v>
      </c>
      <c r="B185" s="15" t="str">
        <f>IFERROR(__xludf.DUMMYFUNCTION("""COMPUTED_VALUE"""),"1300")</f>
        <v>1300</v>
      </c>
      <c r="C185" s="15" t="str">
        <f>IFERROR(__xludf.DUMMYFUNCTION("""COMPUTED_VALUE"""),"13")</f>
        <v>13</v>
      </c>
      <c r="D185" s="15" t="str">
        <f>IFERROR(__xludf.DUMMYFUNCTION("""COMPUTED_VALUE"""),"7")</f>
        <v>7</v>
      </c>
      <c r="E185" s="15" t="str">
        <f>IFERROR(__xludf.DUMMYFUNCTION("""COMPUTED_VALUE"""),"Not ranking")</f>
        <v>Not ranking</v>
      </c>
      <c r="F185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185" s="17" t="str">
        <f>IFERROR(__xludf.DUMMYFUNCTION("""COMPUTED_VALUE"""),"https://realtree.com/deer-hunting/articles/the-best-shot-placement-on-deer")</f>
        <v>https://realtree.com/deer-hunting/articles/the-best-shot-placement-on-deer</v>
      </c>
      <c r="H185" s="18" t="str">
        <f>IFERROR(__xludf.DUMMYFUNCTION("""COMPUTED_VALUE"""),"Not ranking")</f>
        <v>Not ranking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 t="str">
        <f>IFERROR(__xludf.DUMMYFUNCTION("""COMPUTED_VALUE"""),"nilgai deer")</f>
        <v>nilgai deer</v>
      </c>
      <c r="B186" s="15" t="str">
        <f>IFERROR(__xludf.DUMMYFUNCTION("""COMPUTED_VALUE"""),"1300")</f>
        <v>1300</v>
      </c>
      <c r="C186" s="15" t="str">
        <f>IFERROR(__xludf.DUMMYFUNCTION("""COMPUTED_VALUE"""),"13")</f>
        <v>13</v>
      </c>
      <c r="D186" s="15" t="str">
        <f>IFERROR(__xludf.DUMMYFUNCTION("""COMPUTED_VALUE"""),"Not ranking")</f>
        <v>Not ranking</v>
      </c>
      <c r="E186" s="15" t="str">
        <f>IFERROR(__xludf.DUMMYFUNCTION("""COMPUTED_VALUE"""),"61")</f>
        <v>61</v>
      </c>
      <c r="F186" s="17" t="str">
        <f>IFERROR(__xludf.DUMMYFUNCTION("""COMPUTED_VALUE"""),"https://www.themeateater.com/shows/meateater/season-9/south-texas-nilgai")</f>
        <v>https://www.themeateater.com/shows/meateater/season-9/south-texas-nilgai</v>
      </c>
      <c r="G186" s="18" t="str">
        <f>IFERROR(__xludf.DUMMYFUNCTION("""COMPUTED_VALUE"""),"Not ranking")</f>
        <v>Not ranking</v>
      </c>
      <c r="H186" s="17" t="str">
        <f>IFERROR(__xludf.DUMMYFUNCTION("""COMPUTED_VALUE"""),"https://www.wideopenspaces.com/nilgai-species-profile-hunting-the-blue-bull/")</f>
        <v>https://www.wideopenspaces.com/nilgai-species-profile-hunting-the-blue-bull/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 t="str">
        <f>IFERROR(__xludf.DUMMYFUNCTION("""COMPUTED_VALUE"""),"deer hunting accessories")</f>
        <v>deer hunting accessories</v>
      </c>
      <c r="B187" s="15" t="str">
        <f>IFERROR(__xludf.DUMMYFUNCTION("""COMPUTED_VALUE"""),"880")</f>
        <v>880</v>
      </c>
      <c r="C187" s="15" t="str">
        <f>IFERROR(__xludf.DUMMYFUNCTION("""COMPUTED_VALUE"""),"13")</f>
        <v>13</v>
      </c>
      <c r="D187" s="15" t="str">
        <f>IFERROR(__xludf.DUMMYFUNCTION("""COMPUTED_VALUE"""),"Not ranking")</f>
        <v>Not ranking</v>
      </c>
      <c r="E187" s="15" t="str">
        <f>IFERROR(__xludf.DUMMYFUNCTION("""COMPUTED_VALUE"""),"Not ranking")</f>
        <v>Not ranking</v>
      </c>
      <c r="F187" s="17" t="str">
        <f>IFERROR(__xludf.DUMMYFUNCTION("""COMPUTED_VALUE"""),"https://www.themeateater.com/hunt/firearm-hunting/5-gun-accessories-every-deer-hunter-should-own")</f>
        <v>https://www.themeateater.com/hunt/firearm-hunting/5-gun-accessories-every-deer-hunter-should-own</v>
      </c>
      <c r="G187" s="18" t="str">
        <f>IFERROR(__xludf.DUMMYFUNCTION("""COMPUTED_VALUE"""),"Not ranking")</f>
        <v>Not ranking</v>
      </c>
      <c r="H187" s="18" t="str">
        <f>IFERROR(__xludf.DUMMYFUNCTION("""COMPUTED_VALUE"""),"Not ranking")</f>
        <v>Not ranking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 t="str">
        <f>IFERROR(__xludf.DUMMYFUNCTION("""COMPUTED_VALUE"""),"how to clean a deer")</f>
        <v>how to clean a deer</v>
      </c>
      <c r="B188" s="15" t="str">
        <f>IFERROR(__xludf.DUMMYFUNCTION("""COMPUTED_VALUE"""),"880")</f>
        <v>880</v>
      </c>
      <c r="C188" s="15" t="str">
        <f>IFERROR(__xludf.DUMMYFUNCTION("""COMPUTED_VALUE"""),"13")</f>
        <v>13</v>
      </c>
      <c r="D188" s="15" t="str">
        <f>IFERROR(__xludf.DUMMYFUNCTION("""COMPUTED_VALUE"""),"47")</f>
        <v>47</v>
      </c>
      <c r="E188" s="15" t="str">
        <f>IFERROR(__xludf.DUMMYFUNCTION("""COMPUTED_VALUE"""),"27")</f>
        <v>27</v>
      </c>
      <c r="F188" s="17" t="str">
        <f>IFERROR(__xludf.DUMMYFUNCTION("""COMPUTED_VALUE"""),"https://www.themeateater.com/watch/6175620095001/how-to-field-dress-a-deer-with-steven-rinella")</f>
        <v>https://www.themeateater.com/watch/6175620095001/how-to-field-dress-a-deer-with-steven-rinella</v>
      </c>
      <c r="G188" s="17" t="str">
        <f>IFERROR(__xludf.DUMMYFUNCTION("""COMPUTED_VALUE"""),"https://realtree.com/deer-hunting/articles/7-serious-field-dressing-mistakes")</f>
        <v>https://realtree.com/deer-hunting/articles/7-serious-field-dressing-mistakes</v>
      </c>
      <c r="H188" s="17" t="str">
        <f>IFERROR(__xludf.DUMMYFUNCTION("""COMPUTED_VALUE"""),"https://www.wideopenspaces.com/how-to-clean-a-deer-skull/")</f>
        <v>https://www.wideopenspaces.com/how-to-clean-a-deer-skull/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 t="str">
        <f>IFERROR(__xludf.DUMMYFUNCTION("""COMPUTED_VALUE"""),"deer vision")</f>
        <v>deer vision</v>
      </c>
      <c r="B189" s="15" t="str">
        <f>IFERROR(__xludf.DUMMYFUNCTION("""COMPUTED_VALUE"""),"720")</f>
        <v>720</v>
      </c>
      <c r="C189" s="15" t="str">
        <f>IFERROR(__xludf.DUMMYFUNCTION("""COMPUTED_VALUE"""),"13")</f>
        <v>13</v>
      </c>
      <c r="D189" s="15" t="str">
        <f>IFERROR(__xludf.DUMMYFUNCTION("""COMPUTED_VALUE"""),"9")</f>
        <v>9</v>
      </c>
      <c r="E189" s="15" t="str">
        <f>IFERROR(__xludf.DUMMYFUNCTION("""COMPUTED_VALUE"""),"92")</f>
        <v>92</v>
      </c>
      <c r="F189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189" s="17" t="str">
        <f>IFERROR(__xludf.DUMMYFUNCTION("""COMPUTED_VALUE"""),"https://realtree.com/deer-hunting/articles/busted-5-things-you-don-t-know-about-deer-senses")</f>
        <v>https://realtree.com/deer-hunting/articles/busted-5-things-you-don-t-know-about-deer-senses</v>
      </c>
      <c r="H189" s="17" t="str">
        <f>IFERROR(__xludf.DUMMYFUNCTION("""COMPUTED_VALUE"""),"https://www.wideopenspaces.com/deer-vision-the-science/")</f>
        <v>https://www.wideopenspaces.com/deer-vision-the-science/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 t="str">
        <f>IFERROR(__xludf.DUMMYFUNCTION("""COMPUTED_VALUE"""),"big mule deer")</f>
        <v>big mule deer</v>
      </c>
      <c r="B190" s="15" t="str">
        <f>IFERROR(__xludf.DUMMYFUNCTION("""COMPUTED_VALUE"""),"590")</f>
        <v>590</v>
      </c>
      <c r="C190" s="15" t="str">
        <f>IFERROR(__xludf.DUMMYFUNCTION("""COMPUTED_VALUE"""),"13")</f>
        <v>13</v>
      </c>
      <c r="D190" s="15" t="str">
        <f>IFERROR(__xludf.DUMMYFUNCTION("""COMPUTED_VALUE"""),"2")</f>
        <v>2</v>
      </c>
      <c r="E190" s="15" t="str">
        <f>IFERROR(__xludf.DUMMYFUNCTION("""COMPUTED_VALUE"""),"26")</f>
        <v>26</v>
      </c>
      <c r="F190" s="17" t="str">
        <f>IFERROR(__xludf.DUMMYFUNCTION("""COMPUTED_VALUE"""),"https://www.themeateater.com/watch/6222000778001/s4-e12-big-buck-dreams-mule-deer-special")</f>
        <v>https://www.themeateater.com/watch/6222000778001/s4-e12-big-buck-dreams-mule-deer-special</v>
      </c>
      <c r="G190" s="17" t="str">
        <f>IFERROR(__xludf.DUMMYFUNCTION("""COMPUTED_VALUE"""),"https://realtree.com/big-game-hunting/articles/5-things-to-know-about-big-mule-deer")</f>
        <v>https://realtree.com/big-game-hunting/articles/5-things-to-know-about-big-mule-deer</v>
      </c>
      <c r="H190" s="17" t="str">
        <f>IFERROR(__xludf.DUMMYFUNCTION("""COMPUTED_VALUE"""),"https://www.wideopenspaces.com/biggest-mule-deer-kills-pics/")</f>
        <v>https://www.wideopenspaces.com/biggest-mule-deer-kills-pics/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 t="str">
        <f>IFERROR(__xludf.DUMMYFUNCTION("""COMPUTED_VALUE"""),"deer and deer hunting rut calendar 2022")</f>
        <v>deer and deer hunting rut calendar 2022</v>
      </c>
      <c r="B191" s="15" t="str">
        <f>IFERROR(__xludf.DUMMYFUNCTION("""COMPUTED_VALUE"""),"590")</f>
        <v>590</v>
      </c>
      <c r="C191" s="15" t="str">
        <f>IFERROR(__xludf.DUMMYFUNCTION("""COMPUTED_VALUE"""),"13")</f>
        <v>13</v>
      </c>
      <c r="D191" s="15" t="str">
        <f>IFERROR(__xludf.DUMMYFUNCTION("""COMPUTED_VALUE"""),"47")</f>
        <v>47</v>
      </c>
      <c r="E191" s="15" t="str">
        <f>IFERROR(__xludf.DUMMYFUNCTION("""COMPUTED_VALUE"""),"Not ranking")</f>
        <v>Not ranking</v>
      </c>
      <c r="F191" s="17" t="str">
        <f>IFERROR(__xludf.DUMMYFUNCTION("""COMPUTED_VALUE"""),"https://www.themeateater.com/wired-to-hunt/whitetail-hunting/rut-fresh-report-10-27-2022")</f>
        <v>https://www.themeateater.com/wired-to-hunt/whitetail-hunting/rut-fresh-report-10-27-2022</v>
      </c>
      <c r="G191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191" s="18" t="str">
        <f>IFERROR(__xludf.DUMMYFUNCTION("""COMPUTED_VALUE"""),"Not ranking")</f>
        <v>Not ranking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5" t="str">
        <f>IFERROR(__xludf.DUMMYFUNCTION("""COMPUTED_VALUE"""),"meat cuts of a deer")</f>
        <v>meat cuts of a deer</v>
      </c>
      <c r="B192" s="15" t="str">
        <f>IFERROR(__xludf.DUMMYFUNCTION("""COMPUTED_VALUE"""),"590")</f>
        <v>590</v>
      </c>
      <c r="C192" s="15" t="str">
        <f>IFERROR(__xludf.DUMMYFUNCTION("""COMPUTED_VALUE"""),"13")</f>
        <v>13</v>
      </c>
      <c r="D192" s="15" t="str">
        <f>IFERROR(__xludf.DUMMYFUNCTION("""COMPUTED_VALUE"""),"87")</f>
        <v>87</v>
      </c>
      <c r="E192" s="15" t="str">
        <f>IFERROR(__xludf.DUMMYFUNCTION("""COMPUTED_VALUE"""),"Not ranking")</f>
        <v>Not ranking</v>
      </c>
      <c r="F192" s="17" t="str">
        <f>IFERROR(__xludf.DUMMYFUNCTION("""COMPUTED_VALUE"""),"https://www.themeateater.com/cook/cooking-techniques/5-venison-cuts-you-need-to-know")</f>
        <v>https://www.themeateater.com/cook/cooking-techniques/5-venison-cuts-you-need-to-know</v>
      </c>
      <c r="G192" s="17" t="str">
        <f>IFERROR(__xludf.DUMMYFUNCTION("""COMPUTED_VALUE"""),"https://realtree.com/deer-hunting/articles/12-reasons-why-your-venison-tastes-like-hell")</f>
        <v>https://realtree.com/deer-hunting/articles/12-reasons-why-your-venison-tastes-like-hell</v>
      </c>
      <c r="H192" s="18" t="str">
        <f>IFERROR(__xludf.DUMMYFUNCTION("""COMPUTED_VALUE"""),"Not ranking")</f>
        <v>Not ranking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5" t="str">
        <f>IFERROR(__xludf.DUMMYFUNCTION("""COMPUTED_VALUE"""),"mule deer hunt")</f>
        <v>mule deer hunt</v>
      </c>
      <c r="B193" s="15" t="str">
        <f>IFERROR(__xludf.DUMMYFUNCTION("""COMPUTED_VALUE"""),"590")</f>
        <v>590</v>
      </c>
      <c r="C193" s="15" t="str">
        <f>IFERROR(__xludf.DUMMYFUNCTION("""COMPUTED_VALUE"""),"13")</f>
        <v>13</v>
      </c>
      <c r="D193" s="15" t="str">
        <f>IFERROR(__xludf.DUMMYFUNCTION("""COMPUTED_VALUE"""),"44")</f>
        <v>44</v>
      </c>
      <c r="E193" s="15" t="str">
        <f>IFERROR(__xludf.DUMMYFUNCTION("""COMPUTED_VALUE"""),"Not ranking")</f>
        <v>Not ranking</v>
      </c>
      <c r="F193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193" s="17" t="str">
        <f>IFERROR(__xludf.DUMMYFUNCTION("""COMPUTED_VALUE"""),"https://realtree.com/big-game-hunting/articles/plan-your-public-mule-deer-hunt-now")</f>
        <v>https://realtree.com/big-game-hunting/articles/plan-your-public-mule-deer-hunt-now</v>
      </c>
      <c r="H193" s="18" t="str">
        <f>IFERROR(__xludf.DUMMYFUNCTION("""COMPUTED_VALUE"""),"Not ranking")</f>
        <v>Not ranking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5" t="str">
        <f>IFERROR(__xludf.DUMMYFUNCTION("""COMPUTED_VALUE"""),"mule deer")</f>
        <v>mule deer</v>
      </c>
      <c r="B194" s="15" t="str">
        <f>IFERROR(__xludf.DUMMYFUNCTION("""COMPUTED_VALUE"""),"40500")</f>
        <v>40500</v>
      </c>
      <c r="C194" s="15" t="str">
        <f>IFERROR(__xludf.DUMMYFUNCTION("""COMPUTED_VALUE"""),"14")</f>
        <v>14</v>
      </c>
      <c r="D194" s="15" t="str">
        <f>IFERROR(__xludf.DUMMYFUNCTION("""COMPUTED_VALUE"""),"11")</f>
        <v>11</v>
      </c>
      <c r="E194" s="15" t="str">
        <f>IFERROR(__xludf.DUMMYFUNCTION("""COMPUTED_VALUE"""),"Not ranking")</f>
        <v>Not ranking</v>
      </c>
      <c r="F194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194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194" s="18" t="str">
        <f>IFERROR(__xludf.DUMMYFUNCTION("""COMPUTED_VALUE"""),"Not ranking")</f>
        <v>Not ranking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5" t="str">
        <f>IFERROR(__xludf.DUMMYFUNCTION("""COMPUTED_VALUE"""),"deer calls")</f>
        <v>deer calls</v>
      </c>
      <c r="B195" s="15" t="str">
        <f>IFERROR(__xludf.DUMMYFUNCTION("""COMPUTED_VALUE"""),"5400")</f>
        <v>5400</v>
      </c>
      <c r="C195" s="15" t="str">
        <f>IFERROR(__xludf.DUMMYFUNCTION("""COMPUTED_VALUE"""),"14")</f>
        <v>14</v>
      </c>
      <c r="D195" s="15" t="str">
        <f>IFERROR(__xludf.DUMMYFUNCTION("""COMPUTED_VALUE"""),"Not ranking")</f>
        <v>Not ranking</v>
      </c>
      <c r="E195" s="15" t="str">
        <f>IFERROR(__xludf.DUMMYFUNCTION("""COMPUTED_VALUE"""),"Not ranking")</f>
        <v>Not ranking</v>
      </c>
      <c r="F195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195" s="18" t="str">
        <f>IFERROR(__xludf.DUMMYFUNCTION("""COMPUTED_VALUE"""),"Not ranking")</f>
        <v>Not ranking</v>
      </c>
      <c r="H195" s="18" t="str">
        <f>IFERROR(__xludf.DUMMYFUNCTION("""COMPUTED_VALUE"""),"Not ranking")</f>
        <v>Not ranking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5" t="str">
        <f>IFERROR(__xludf.DUMMYFUNCTION("""COMPUTED_VALUE"""),"deer hide")</f>
        <v>deer hide</v>
      </c>
      <c r="B196" s="15" t="str">
        <f>IFERROR(__xludf.DUMMYFUNCTION("""COMPUTED_VALUE"""),"1900")</f>
        <v>1900</v>
      </c>
      <c r="C196" s="15" t="str">
        <f>IFERROR(__xludf.DUMMYFUNCTION("""COMPUTED_VALUE"""),"14")</f>
        <v>14</v>
      </c>
      <c r="D196" s="15" t="str">
        <f>IFERROR(__xludf.DUMMYFUNCTION("""COMPUTED_VALUE"""),"Not ranking")</f>
        <v>Not ranking</v>
      </c>
      <c r="E196" s="15" t="str">
        <f>IFERROR(__xludf.DUMMYFUNCTION("""COMPUTED_VALUE"""),"76")</f>
        <v>76</v>
      </c>
      <c r="F196" s="17" t="str">
        <f>IFERROR(__xludf.DUMMYFUNCTION("""COMPUTED_VALUE"""),"https://www.themeateater.com/cook/butchering-and-processing/how-to-tan-a-deer-hide")</f>
        <v>https://www.themeateater.com/cook/butchering-and-processing/how-to-tan-a-deer-hide</v>
      </c>
      <c r="G196" s="18" t="str">
        <f>IFERROR(__xludf.DUMMYFUNCTION("""COMPUTED_VALUE"""),"Not ranking")</f>
        <v>Not ranking</v>
      </c>
      <c r="H196" s="17" t="str">
        <f>IFERROR(__xludf.DUMMYFUNCTION("""COMPUTED_VALUE"""),"https://www.wideopenspaces.com/7-steps-tanning-deer-hide-easier-think/")</f>
        <v>https://www.wideopenspaces.com/7-steps-tanning-deer-hide-easier-think/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5" t="str">
        <f>IFERROR(__xludf.DUMMYFUNCTION("""COMPUTED_VALUE"""),"mounted deer")</f>
        <v>mounted deer</v>
      </c>
      <c r="B197" s="15" t="str">
        <f>IFERROR(__xludf.DUMMYFUNCTION("""COMPUTED_VALUE"""),"1900")</f>
        <v>1900</v>
      </c>
      <c r="C197" s="15" t="str">
        <f>IFERROR(__xludf.DUMMYFUNCTION("""COMPUTED_VALUE"""),"14")</f>
        <v>14</v>
      </c>
      <c r="D197" s="15" t="str">
        <f>IFERROR(__xludf.DUMMYFUNCTION("""COMPUTED_VALUE"""),"17")</f>
        <v>17</v>
      </c>
      <c r="E197" s="15" t="str">
        <f>IFERROR(__xludf.DUMMYFUNCTION("""COMPUTED_VALUE"""),"59")</f>
        <v>59</v>
      </c>
      <c r="F197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197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197" s="17" t="str">
        <f>IFERROR(__xludf.DUMMYFUNCTION("""COMPUTED_VALUE"""),"https://www.wideopenspaces.com/whitetail-wednesday-how-much-do-people-pay-for-shoulder-mounts-in-your-area/")</f>
        <v>https://www.wideopenspaces.com/whitetail-wednesday-how-much-do-people-pay-for-shoulder-mounts-in-your-area/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5" t="str">
        <f>IFERROR(__xludf.DUMMYFUNCTION("""COMPUTED_VALUE"""),"deer scrape")</f>
        <v>deer scrape</v>
      </c>
      <c r="B198" s="15" t="str">
        <f>IFERROR(__xludf.DUMMYFUNCTION("""COMPUTED_VALUE"""),"1300")</f>
        <v>1300</v>
      </c>
      <c r="C198" s="15" t="str">
        <f>IFERROR(__xludf.DUMMYFUNCTION("""COMPUTED_VALUE"""),"14")</f>
        <v>14</v>
      </c>
      <c r="D198" s="15" t="str">
        <f>IFERROR(__xludf.DUMMYFUNCTION("""COMPUTED_VALUE"""),"23")</f>
        <v>23</v>
      </c>
      <c r="E198" s="15" t="str">
        <f>IFERROR(__xludf.DUMMYFUNCTION("""COMPUTED_VALUE"""),"27")</f>
        <v>27</v>
      </c>
      <c r="F198" s="17" t="str">
        <f>IFERROR(__xludf.DUMMYFUNCTION("""COMPUTED_VALUE"""),"https://www.themeateater.com/wired-to-hunt/whitetail-hunting/how-to-kill-a-buck-hunting-scrapes")</f>
        <v>https://www.themeateater.com/wired-to-hunt/whitetail-hunting/how-to-kill-a-buck-hunting-scrapes</v>
      </c>
      <c r="G198" s="17" t="str">
        <f>IFERROR(__xludf.DUMMYFUNCTION("""COMPUTED_VALUE"""),"https://realtree.com/brow-tines-and-backstrap/what-to-know-about-scrapes")</f>
        <v>https://realtree.com/brow-tines-and-backstrap/what-to-know-about-scrapes</v>
      </c>
      <c r="H198" s="17" t="str">
        <f>IFERROR(__xludf.DUMMYFUNCTION("""COMPUTED_VALUE"""),"https://www.wideopenspaces.com/the-importance-of-deer-scrapes/")</f>
        <v>https://www.wideopenspaces.com/the-importance-of-deer-scrapes/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5" t="str">
        <f>IFERROR(__xludf.DUMMYFUNCTION("""COMPUTED_VALUE"""),"biggest deer in the world")</f>
        <v>biggest deer in the world</v>
      </c>
      <c r="B199" s="15" t="str">
        <f>IFERROR(__xludf.DUMMYFUNCTION("""COMPUTED_VALUE"""),"1000")</f>
        <v>1000</v>
      </c>
      <c r="C199" s="15" t="str">
        <f>IFERROR(__xludf.DUMMYFUNCTION("""COMPUTED_VALUE"""),"14")</f>
        <v>14</v>
      </c>
      <c r="D199" s="15" t="str">
        <f>IFERROR(__xludf.DUMMYFUNCTION("""COMPUTED_VALUE"""),"19")</f>
        <v>19</v>
      </c>
      <c r="E199" s="15" t="str">
        <f>IFERROR(__xludf.DUMMYFUNCTION("""COMPUTED_VALUE"""),"9")</f>
        <v>9</v>
      </c>
      <c r="F199" s="17" t="str">
        <f>IFERROR(__xludf.DUMMYFUNCTION("""COMPUTED_VALUE"""),"https://www.themeateater.com/hunt/whitetail-deer/this-might-be-the-new-world-record-whitetail")</f>
        <v>https://www.themeateater.com/hunt/whitetail-deer/this-might-be-the-new-world-record-whitetail</v>
      </c>
      <c r="G199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199" s="17" t="str">
        <f>IFERROR(__xludf.DUMMYFUNCTION("""COMPUTED_VALUE"""),"https://www.wideopenspaces.com/5-biggest-whitetail-bucks-ever-found-dead/")</f>
        <v>https://www.wideopenspaces.com/5-biggest-whitetail-bucks-ever-found-dead/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5" t="str">
        <f>IFERROR(__xludf.DUMMYFUNCTION("""COMPUTED_VALUE"""),"colorado mule deer")</f>
        <v>colorado mule deer</v>
      </c>
      <c r="B200" s="15" t="str">
        <f>IFERROR(__xludf.DUMMYFUNCTION("""COMPUTED_VALUE"""),"720")</f>
        <v>720</v>
      </c>
      <c r="C200" s="15" t="str">
        <f>IFERROR(__xludf.DUMMYFUNCTION("""COMPUTED_VALUE"""),"14")</f>
        <v>14</v>
      </c>
      <c r="D200" s="15" t="str">
        <f>IFERROR(__xludf.DUMMYFUNCTION("""COMPUTED_VALUE"""),"Not ranking")</f>
        <v>Not ranking</v>
      </c>
      <c r="E200" s="15" t="str">
        <f>IFERROR(__xludf.DUMMYFUNCTION("""COMPUTED_VALUE"""),"Not ranking")</f>
        <v>Not ranking</v>
      </c>
      <c r="F200" s="17" t="str">
        <f>IFERROR(__xludf.DUMMYFUNCTION("""COMPUTED_VALUE"""),"https://www.themeateater.com/watch/6252076018001/s2-e03-big-beautiful-bucks-colorado-mule-deer")</f>
        <v>https://www.themeateater.com/watch/6252076018001/s2-e03-big-beautiful-bucks-colorado-mule-deer</v>
      </c>
      <c r="G200" s="18" t="str">
        <f>IFERROR(__xludf.DUMMYFUNCTION("""COMPUTED_VALUE"""),"Not ranking")</f>
        <v>Not ranking</v>
      </c>
      <c r="H200" s="18" t="str">
        <f>IFERROR(__xludf.DUMMYFUNCTION("""COMPUTED_VALUE"""),"Not ranking")</f>
        <v>Not ranking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5" t="str">
        <f>IFERROR(__xludf.DUMMYFUNCTION("""COMPUTED_VALUE"""),"deer gland scent")</f>
        <v>deer gland scent</v>
      </c>
      <c r="B201" s="15" t="str">
        <f>IFERROR(__xludf.DUMMYFUNCTION("""COMPUTED_VALUE"""),"720")</f>
        <v>720</v>
      </c>
      <c r="C201" s="15" t="str">
        <f>IFERROR(__xludf.DUMMYFUNCTION("""COMPUTED_VALUE"""),"14")</f>
        <v>14</v>
      </c>
      <c r="D201" s="15" t="str">
        <f>IFERROR(__xludf.DUMMYFUNCTION("""COMPUTED_VALUE"""),"13")</f>
        <v>13</v>
      </c>
      <c r="E201" s="15" t="str">
        <f>IFERROR(__xludf.DUMMYFUNCTION("""COMPUTED_VALUE"""),"Not ranking")</f>
        <v>Not ranking</v>
      </c>
      <c r="F201" s="17" t="str">
        <f>IFERROR(__xludf.DUMMYFUNCTION("""COMPUTED_VALUE"""),"https://www.themeateater.com/wired-to-hunt/whitetail-management/what-you-need-to-know-about-whitetail-buck-glands")</f>
        <v>https://www.themeateater.com/wired-to-hunt/whitetail-management/what-you-need-to-know-about-whitetail-buck-glands</v>
      </c>
      <c r="G201" s="17" t="str">
        <f>IFERROR(__xludf.DUMMYFUNCTION("""COMPUTED_VALUE"""),"https://realtree.com/brow-tines-and-backstrap/why-buck-tarsal-is-the-deadliest-scent-in-the-deer-woods")</f>
        <v>https://realtree.com/brow-tines-and-backstrap/why-buck-tarsal-is-the-deadliest-scent-in-the-deer-woods</v>
      </c>
      <c r="H201" s="18" t="str">
        <f>IFERROR(__xludf.DUMMYFUNCTION("""COMPUTED_VALUE"""),"Not ranking")</f>
        <v>Not ranking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5" t="str">
        <f>IFERROR(__xludf.DUMMYFUNCTION("""COMPUTED_VALUE"""),"best time to hunt deer moon phase 2022")</f>
        <v>best time to hunt deer moon phase 2022</v>
      </c>
      <c r="B202" s="15" t="str">
        <f>IFERROR(__xludf.DUMMYFUNCTION("""COMPUTED_VALUE"""),"590")</f>
        <v>590</v>
      </c>
      <c r="C202" s="15" t="str">
        <f>IFERROR(__xludf.DUMMYFUNCTION("""COMPUTED_VALUE"""),"14")</f>
        <v>14</v>
      </c>
      <c r="D202" s="15" t="str">
        <f>IFERROR(__xludf.DUMMYFUNCTION("""COMPUTED_VALUE"""),"2")</f>
        <v>2</v>
      </c>
      <c r="E202" s="15" t="str">
        <f>IFERROR(__xludf.DUMMYFUNCTION("""COMPUTED_VALUE"""),"Not ranking")</f>
        <v>Not ranking</v>
      </c>
      <c r="F202" s="17" t="str">
        <f>IFERROR(__xludf.DUMMYFUNCTION("""COMPUTED_VALUE"""),"https://www.themeateater.com/wired-to-hunt/whitetail-hunting/the-debate-about-lunar-effects-on-whitetails")</f>
        <v>https://www.themeateater.com/wired-to-hunt/whitetail-hunting/the-debate-about-lunar-effects-on-whitetails</v>
      </c>
      <c r="G202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202" s="18" t="str">
        <f>IFERROR(__xludf.DUMMYFUNCTION("""COMPUTED_VALUE"""),"Not ranking")</f>
        <v>Not ranking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5" t="str">
        <f>IFERROR(__xludf.DUMMYFUNCTION("""COMPUTED_VALUE"""),"marinade deer tenderloin")</f>
        <v>marinade deer tenderloin</v>
      </c>
      <c r="B203" s="15" t="str">
        <f>IFERROR(__xludf.DUMMYFUNCTION("""COMPUTED_VALUE"""),"590")</f>
        <v>590</v>
      </c>
      <c r="C203" s="15" t="str">
        <f>IFERROR(__xludf.DUMMYFUNCTION("""COMPUTED_VALUE"""),"14")</f>
        <v>14</v>
      </c>
      <c r="D203" s="15" t="str">
        <f>IFERROR(__xludf.DUMMYFUNCTION("""COMPUTED_VALUE"""),"23")</f>
        <v>23</v>
      </c>
      <c r="E203" s="15" t="str">
        <f>IFERROR(__xludf.DUMMYFUNCTION("""COMPUTED_VALUE"""),"10")</f>
        <v>10</v>
      </c>
      <c r="F203" s="17" t="str">
        <f>IFERROR(__xludf.DUMMYFUNCTION("""COMPUTED_VALUE"""),"https://www.themeateater.com/cook/recipes/garlic-herb-venison-marinade-recipe")</f>
        <v>https://www.themeateater.com/cook/recipes/garlic-herb-venison-marinade-recipe</v>
      </c>
      <c r="G203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203" s="17" t="str">
        <f>IFERROR(__xludf.DUMMYFUNCTION("""COMPUTED_VALUE"""),"https://www.wideopenspaces.com/top-5-venison-marinades/")</f>
        <v>https://www.wideopenspaces.com/top-5-venison-marinades/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5" t="str">
        <f>IFERROR(__xludf.DUMMYFUNCTION("""COMPUTED_VALUE"""),"smoked deer roast")</f>
        <v>smoked deer roast</v>
      </c>
      <c r="B204" s="15" t="str">
        <f>IFERROR(__xludf.DUMMYFUNCTION("""COMPUTED_VALUE"""),"590")</f>
        <v>590</v>
      </c>
      <c r="C204" s="15" t="str">
        <f>IFERROR(__xludf.DUMMYFUNCTION("""COMPUTED_VALUE"""),"14")</f>
        <v>14</v>
      </c>
      <c r="D204" s="15" t="str">
        <f>IFERROR(__xludf.DUMMYFUNCTION("""COMPUTED_VALUE"""),"25")</f>
        <v>25</v>
      </c>
      <c r="E204" s="15" t="str">
        <f>IFERROR(__xludf.DUMMYFUNCTION("""COMPUTED_VALUE"""),"57")</f>
        <v>57</v>
      </c>
      <c r="F204" s="17" t="str">
        <f>IFERROR(__xludf.DUMMYFUNCTION("""COMPUTED_VALUE"""),"https://www.themeateater.com/cook/recipes/texas-style-barbecue-venison-roast-recipe")</f>
        <v>https://www.themeateater.com/cook/recipes/texas-style-barbecue-venison-roast-recipe</v>
      </c>
      <c r="G204" s="17" t="str">
        <f>IFERROR(__xludf.DUMMYFUNCTION("""COMPUTED_VALUE"""),"https://realtree.com/timber-2-table-wild-game-recipes/smoked-venison-neck-roast")</f>
        <v>https://realtree.com/timber-2-table-wild-game-recipes/smoked-venison-neck-roast</v>
      </c>
      <c r="H204" s="17" t="str">
        <f>IFERROR(__xludf.DUMMYFUNCTION("""COMPUTED_VALUE"""),"https://www.wideopenspaces.com/smoked-venison-recipes/")</f>
        <v>https://www.wideopenspaces.com/smoked-venison-recipes/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5" t="str">
        <f>IFERROR(__xludf.DUMMYFUNCTION("""COMPUTED_VALUE"""),"biggest deer in world")</f>
        <v>biggest deer in world</v>
      </c>
      <c r="B205" s="15" t="str">
        <f>IFERROR(__xludf.DUMMYFUNCTION("""COMPUTED_VALUE"""),"1000")</f>
        <v>1000</v>
      </c>
      <c r="C205" s="15" t="str">
        <f>IFERROR(__xludf.DUMMYFUNCTION("""COMPUTED_VALUE"""),"15")</f>
        <v>15</v>
      </c>
      <c r="D205" s="15" t="str">
        <f>IFERROR(__xludf.DUMMYFUNCTION("""COMPUTED_VALUE"""),"91")</f>
        <v>91</v>
      </c>
      <c r="E205" s="15" t="str">
        <f>IFERROR(__xludf.DUMMYFUNCTION("""COMPUTED_VALUE"""),"12")</f>
        <v>12</v>
      </c>
      <c r="F205" s="17" t="str">
        <f>IFERROR(__xludf.DUMMYFUNCTION("""COMPUTED_VALUE"""),"https://www.themeateater.com/hunt/whitetail-deer/this-might-be-the-new-world-record-whitetail")</f>
        <v>https://www.themeateater.com/hunt/whitetail-deer/this-might-be-the-new-world-record-whitetail</v>
      </c>
      <c r="G205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205" s="17" t="str">
        <f>IFERROR(__xludf.DUMMYFUNCTION("""COMPUTED_VALUE"""),"https://www.wideopenspaces.com/5-biggest-whitetail-bucks-ever-found-dead/")</f>
        <v>https://www.wideopenspaces.com/5-biggest-whitetail-bucks-ever-found-dead/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5" t="str">
        <f>IFERROR(__xludf.DUMMYFUNCTION("""COMPUTED_VALUE"""),"when do deer sleep")</f>
        <v>when do deer sleep</v>
      </c>
      <c r="B206" s="15" t="str">
        <f>IFERROR(__xludf.DUMMYFUNCTION("""COMPUTED_VALUE"""),"720")</f>
        <v>720</v>
      </c>
      <c r="C206" s="15" t="str">
        <f>IFERROR(__xludf.DUMMYFUNCTION("""COMPUTED_VALUE"""),"15")</f>
        <v>15</v>
      </c>
      <c r="D206" s="15" t="str">
        <f>IFERROR(__xludf.DUMMYFUNCTION("""COMPUTED_VALUE"""),"63")</f>
        <v>63</v>
      </c>
      <c r="E206" s="15" t="str">
        <f>IFERROR(__xludf.DUMMYFUNCTION("""COMPUTED_VALUE"""),"22")</f>
        <v>22</v>
      </c>
      <c r="F206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206" s="17" t="str">
        <f>IFERROR(__xludf.DUMMYFUNCTION("""COMPUTED_VALUE"""),"https://realtree.com/brow-tines-and-backstrap/8-bedding-habits-of-mature-deer")</f>
        <v>https://realtree.com/brow-tines-and-backstrap/8-bedding-habits-of-mature-deer</v>
      </c>
      <c r="H206" s="17" t="str">
        <f>IFERROR(__xludf.DUMMYFUNCTION("""COMPUTED_VALUE"""),"https://www.wideopenspaces.com/where-do-deer-sleep/")</f>
        <v>https://www.wideopenspaces.com/where-do-deer-sleep/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5" t="str">
        <f>IFERROR(__xludf.DUMMYFUNCTION("""COMPUTED_VALUE"""),"deer heart location")</f>
        <v>deer heart location</v>
      </c>
      <c r="B207" s="15" t="str">
        <f>IFERROR(__xludf.DUMMYFUNCTION("""COMPUTED_VALUE"""),"590")</f>
        <v>590</v>
      </c>
      <c r="C207" s="15" t="str">
        <f>IFERROR(__xludf.DUMMYFUNCTION("""COMPUTED_VALUE"""),"15")</f>
        <v>15</v>
      </c>
      <c r="D207" s="15" t="str">
        <f>IFERROR(__xludf.DUMMYFUNCTION("""COMPUTED_VALUE"""),"3")</f>
        <v>3</v>
      </c>
      <c r="E207" s="15" t="str">
        <f>IFERROR(__xludf.DUMMYFUNCTION("""COMPUTED_VALUE"""),"4")</f>
        <v>4</v>
      </c>
      <c r="F207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207" s="17" t="str">
        <f>IFERROR(__xludf.DUMMYFUNCTION("""COMPUTED_VALUE"""),"https://realtree.com/deer-hunting/articles/the-best-shot-placement-on-deer")</f>
        <v>https://realtree.com/deer-hunting/articles/the-best-shot-placement-on-deer</v>
      </c>
      <c r="H207" s="17" t="str">
        <f>IFERROR(__xludf.DUMMYFUNCTION("""COMPUTED_VALUE"""),"https://www.wideopenspaces.com/how-to-find-and-aim-for-deer-vitals/")</f>
        <v>https://www.wideopenspaces.com/how-to-find-and-aim-for-deer-vitals/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5" t="str">
        <f>IFERROR(__xludf.DUMMYFUNCTION("""COMPUTED_VALUE"""),"how to make deer summer sausage")</f>
        <v>how to make deer summer sausage</v>
      </c>
      <c r="B208" s="15" t="str">
        <f>IFERROR(__xludf.DUMMYFUNCTION("""COMPUTED_VALUE"""),"590")</f>
        <v>590</v>
      </c>
      <c r="C208" s="15" t="str">
        <f>IFERROR(__xludf.DUMMYFUNCTION("""COMPUTED_VALUE"""),"15")</f>
        <v>15</v>
      </c>
      <c r="D208" s="15" t="str">
        <f>IFERROR(__xludf.DUMMYFUNCTION("""COMPUTED_VALUE"""),"22")</f>
        <v>22</v>
      </c>
      <c r="E208" s="15" t="str">
        <f>IFERROR(__xludf.DUMMYFUNCTION("""COMPUTED_VALUE"""),"55")</f>
        <v>55</v>
      </c>
      <c r="F208" s="17" t="str">
        <f>IFERROR(__xludf.DUMMYFUNCTION("""COMPUTED_VALUE"""),"https://www.themeateater.com/cook/recipes/summer-sausage-recipe")</f>
        <v>https://www.themeateater.com/cook/recipes/summer-sausage-recipe</v>
      </c>
      <c r="G208" s="17" t="str">
        <f>IFERROR(__xludf.DUMMYFUNCTION("""COMPUTED_VALUE"""),"https://realtree.com/timber-2-table-articles/jalape-o-pepper-jack-venison-summer-sausage-part-2")</f>
        <v>https://realtree.com/timber-2-table-articles/jalape-o-pepper-jack-venison-summer-sausage-part-2</v>
      </c>
      <c r="H208" s="17" t="str">
        <f>IFERROR(__xludf.DUMMYFUNCTION("""COMPUTED_VALUE"""),"https://www.wideopenspaces.com/venison-summer-sausage-recipe/")</f>
        <v>https://www.wideopenspaces.com/venison-summer-sausage-recipe/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5" t="str">
        <f>IFERROR(__xludf.DUMMYFUNCTION("""COMPUTED_VALUE"""),"deercalls")</f>
        <v>deercalls</v>
      </c>
      <c r="B209" s="15" t="str">
        <f>IFERROR(__xludf.DUMMYFUNCTION("""COMPUTED_VALUE"""),"4400")</f>
        <v>4400</v>
      </c>
      <c r="C209" s="15" t="str">
        <f>IFERROR(__xludf.DUMMYFUNCTION("""COMPUTED_VALUE"""),"16")</f>
        <v>16</v>
      </c>
      <c r="D209" s="15" t="str">
        <f>IFERROR(__xludf.DUMMYFUNCTION("""COMPUTED_VALUE"""),"Not ranking")</f>
        <v>Not ranking</v>
      </c>
      <c r="E209" s="15" t="str">
        <f>IFERROR(__xludf.DUMMYFUNCTION("""COMPUTED_VALUE"""),"Not ranking")</f>
        <v>Not ranking</v>
      </c>
      <c r="F209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209" s="18" t="str">
        <f>IFERROR(__xludf.DUMMYFUNCTION("""COMPUTED_VALUE"""),"Not ranking")</f>
        <v>Not ranking</v>
      </c>
      <c r="H209" s="18" t="str">
        <f>IFERROR(__xludf.DUMMYFUNCTION("""COMPUTED_VALUE"""),"Not ranking")</f>
        <v>Not ranking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5" t="str">
        <f>IFERROR(__xludf.DUMMYFUNCTION("""COMPUTED_VALUE"""),"european mount deer")</f>
        <v>european mount deer</v>
      </c>
      <c r="B210" s="15" t="str">
        <f>IFERROR(__xludf.DUMMYFUNCTION("""COMPUTED_VALUE"""),"4400")</f>
        <v>4400</v>
      </c>
      <c r="C210" s="15" t="str">
        <f>IFERROR(__xludf.DUMMYFUNCTION("""COMPUTED_VALUE"""),"16")</f>
        <v>16</v>
      </c>
      <c r="D210" s="15" t="str">
        <f>IFERROR(__xludf.DUMMYFUNCTION("""COMPUTED_VALUE"""),"76")</f>
        <v>76</v>
      </c>
      <c r="E210" s="15" t="str">
        <f>IFERROR(__xludf.DUMMYFUNCTION("""COMPUTED_VALUE"""),"25")</f>
        <v>25</v>
      </c>
      <c r="F210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210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210" s="17" t="str">
        <f>IFERROR(__xludf.DUMMYFUNCTION("""COMPUTED_VALUE"""),"https://www.wideopenspaces.com/how-to-do-a-european-mount-in-4-easy-steps/")</f>
        <v>https://www.wideopenspaces.com/how-to-do-a-european-mount-in-4-easy-steps/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5" t="str">
        <f>IFERROR(__xludf.DUMMYFUNCTION("""COMPUTED_VALUE"""),"deer mounts")</f>
        <v>deer mounts</v>
      </c>
      <c r="B211" s="15" t="str">
        <f>IFERROR(__xludf.DUMMYFUNCTION("""COMPUTED_VALUE"""),"3600")</f>
        <v>3600</v>
      </c>
      <c r="C211" s="15" t="str">
        <f>IFERROR(__xludf.DUMMYFUNCTION("""COMPUTED_VALUE"""),"16")</f>
        <v>16</v>
      </c>
      <c r="D211" s="15" t="str">
        <f>IFERROR(__xludf.DUMMYFUNCTION("""COMPUTED_VALUE"""),"8")</f>
        <v>8</v>
      </c>
      <c r="E211" s="15" t="str">
        <f>IFERROR(__xludf.DUMMYFUNCTION("""COMPUTED_VALUE"""),"23")</f>
        <v>23</v>
      </c>
      <c r="F211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211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211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5" t="str">
        <f>IFERROR(__xludf.DUMMYFUNCTION("""COMPUTED_VALUE"""),"best deer hunting rifle")</f>
        <v>best deer hunting rifle</v>
      </c>
      <c r="B212" s="15" t="str">
        <f>IFERROR(__xludf.DUMMYFUNCTION("""COMPUTED_VALUE"""),"1300")</f>
        <v>1300</v>
      </c>
      <c r="C212" s="15" t="str">
        <f>IFERROR(__xludf.DUMMYFUNCTION("""COMPUTED_VALUE"""),"16")</f>
        <v>16</v>
      </c>
      <c r="D212" s="15" t="str">
        <f>IFERROR(__xludf.DUMMYFUNCTION("""COMPUTED_VALUE"""),"23")</f>
        <v>23</v>
      </c>
      <c r="E212" s="15" t="str">
        <f>IFERROR(__xludf.DUMMYFUNCTION("""COMPUTED_VALUE"""),"13")</f>
        <v>13</v>
      </c>
      <c r="F212" s="17" t="str">
        <f>IFERROR(__xludf.DUMMYFUNCTION("""COMPUTED_VALUE"""),"https://www.themeateater.com/hunt/firearm-hunting/5-best-rifles-for-new-hunters")</f>
        <v>https://www.themeateater.com/hunt/firearm-hunting/5-best-rifles-for-new-hunters</v>
      </c>
      <c r="G212" s="17" t="str">
        <f>IFERROR(__xludf.DUMMYFUNCTION("""COMPUTED_VALUE"""),"https://realtree.com/brow-tines-and-backstrap/5-factors-to-consider-when-buying-a-deer-hunting-rifle")</f>
        <v>https://realtree.com/brow-tines-and-backstrap/5-factors-to-consider-when-buying-a-deer-hunting-rifle</v>
      </c>
      <c r="H212" s="17" t="str">
        <f>IFERROR(__xludf.DUMMYFUNCTION("""COMPUTED_VALUE"""),"https://www.wideopenspaces.com/best-deer-hunting-rifles/")</f>
        <v>https://www.wideopenspaces.com/best-deer-hunting-rifles/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5" t="str">
        <f>IFERROR(__xludf.DUMMYFUNCTION("""COMPUTED_VALUE"""),"deer hunt bow")</f>
        <v>deer hunt bow</v>
      </c>
      <c r="B213" s="15" t="str">
        <f>IFERROR(__xludf.DUMMYFUNCTION("""COMPUTED_VALUE"""),"1300")</f>
        <v>1300</v>
      </c>
      <c r="C213" s="15" t="str">
        <f>IFERROR(__xludf.DUMMYFUNCTION("""COMPUTED_VALUE"""),"16")</f>
        <v>16</v>
      </c>
      <c r="D213" s="15" t="str">
        <f>IFERROR(__xludf.DUMMYFUNCTION("""COMPUTED_VALUE"""),"27")</f>
        <v>27</v>
      </c>
      <c r="E213" s="15" t="str">
        <f>IFERROR(__xludf.DUMMYFUNCTION("""COMPUTED_VALUE"""),"70")</f>
        <v>70</v>
      </c>
      <c r="F213" s="17" t="str">
        <f>IFERROR(__xludf.DUMMYFUNCTION("""COMPUTED_VALUE"""),"https://www.themeateater.com/wired-to-hunt/whitetail-hunting-gear/how-to-buy-your-first-deer-hunting-bow")</f>
        <v>https://www.themeateater.com/wired-to-hunt/whitetail-hunting-gear/how-to-buy-your-first-deer-hunting-bow</v>
      </c>
      <c r="G213" s="17" t="str">
        <f>IFERROR(__xludf.DUMMYFUNCTION("""COMPUTED_VALUE"""),"https://realtree.com/brow-tines-and-backstrap/how-to-build-a-self-bow-and-kill-a-deer-with-it")</f>
        <v>https://realtree.com/brow-tines-and-backstrap/how-to-build-a-self-bow-and-kill-a-deer-with-it</v>
      </c>
      <c r="H213" s="17" t="str">
        <f>IFERROR(__xludf.DUMMYFUNCTION("""COMPUTED_VALUE"""),"https://www.wideopenspaces.com/hunting-deer-with-a-bow-past-archery-season/")</f>
        <v>https://www.wideopenspaces.com/hunting-deer-with-a-bow-past-archery-season/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5" t="str">
        <f>IFERROR(__xludf.DUMMYFUNCTION("""COMPUTED_VALUE"""),"deer roast crock pot")</f>
        <v>deer roast crock pot</v>
      </c>
      <c r="B214" s="15" t="str">
        <f>IFERROR(__xludf.DUMMYFUNCTION("""COMPUTED_VALUE"""),"1300")</f>
        <v>1300</v>
      </c>
      <c r="C214" s="15" t="str">
        <f>IFERROR(__xludf.DUMMYFUNCTION("""COMPUTED_VALUE"""),"16")</f>
        <v>16</v>
      </c>
      <c r="D214" s="15" t="str">
        <f>IFERROR(__xludf.DUMMYFUNCTION("""COMPUTED_VALUE"""),"30")</f>
        <v>30</v>
      </c>
      <c r="E214" s="15" t="str">
        <f>IFERROR(__xludf.DUMMYFUNCTION("""COMPUTED_VALUE"""),"42")</f>
        <v>42</v>
      </c>
      <c r="F214" s="17" t="str">
        <f>IFERROR(__xludf.DUMMYFUNCTION("""COMPUTED_VALUE"""),"https://www.themeateater.com/cook/recipes/freestyle-cooking-pickle-juice-venison-pot-roast-recipe")</f>
        <v>https://www.themeateater.com/cook/recipes/freestyle-cooking-pickle-juice-venison-pot-roast-recipe</v>
      </c>
      <c r="G214" s="17" t="str">
        <f>IFERROR(__xludf.DUMMYFUNCTION("""COMPUTED_VALUE"""),"https://realtree.com/timber-2-table-wild-game-recipes/bavarian-style-slow-cooker-venison-and-sauerkraut-pot-roast")</f>
        <v>https://realtree.com/timber-2-table-wild-game-recipes/bavarian-style-slow-cooker-venison-and-sauerkraut-pot-roast</v>
      </c>
      <c r="H214" s="17" t="str">
        <f>IFERROR(__xludf.DUMMYFUNCTION("""COMPUTED_VALUE"""),"https://www.wideopenspaces.com/the-best-crock-pot-venison-pot-roast-recipe-ever/")</f>
        <v>https://www.wideopenspaces.com/the-best-crock-pot-venison-pot-roast-recipe-ever/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5" t="str">
        <f>IFERROR(__xludf.DUMMYFUNCTION("""COMPUTED_VALUE"""),"deer in the woods")</f>
        <v>deer in the woods</v>
      </c>
      <c r="B215" s="15" t="str">
        <f>IFERROR(__xludf.DUMMYFUNCTION("""COMPUTED_VALUE"""),"590")</f>
        <v>590</v>
      </c>
      <c r="C215" s="15" t="str">
        <f>IFERROR(__xludf.DUMMYFUNCTION("""COMPUTED_VALUE"""),"16")</f>
        <v>16</v>
      </c>
      <c r="D215" s="15" t="str">
        <f>IFERROR(__xludf.DUMMYFUNCTION("""COMPUTED_VALUE"""),"50")</f>
        <v>50</v>
      </c>
      <c r="E215" s="15" t="str">
        <f>IFERROR(__xludf.DUMMYFUNCTION("""COMPUTED_VALUE"""),"Not ranking")</f>
        <v>Not ranking</v>
      </c>
      <c r="F215" s="17" t="str">
        <f>IFERROR(__xludf.DUMMYFUNCTION("""COMPUTED_VALUE"""),"https://www.themeateater.com/wired-to-hunt/whitetail-hunting/3-ways-to-get-your-deer-out-of-the-woods")</f>
        <v>https://www.themeateater.com/wired-to-hunt/whitetail-hunting/3-ways-to-get-your-deer-out-of-the-woods</v>
      </c>
      <c r="G215" s="17" t="str">
        <f>IFERROR(__xludf.DUMMYFUNCTION("""COMPUTED_VALUE"""),"https://realtree.com/deer-hunting/articles/don-t-get-killed-in-the-deer-woods")</f>
        <v>https://realtree.com/deer-hunting/articles/don-t-get-killed-in-the-deer-woods</v>
      </c>
      <c r="H215" s="18" t="str">
        <f>IFERROR(__xludf.DUMMYFUNCTION("""COMPUTED_VALUE"""),"Not ranking")</f>
        <v>Not ranking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5" t="str">
        <f>IFERROR(__xludf.DUMMYFUNCTION("""COMPUTED_VALUE"""),"marinated deer tenderloin")</f>
        <v>marinated deer tenderloin</v>
      </c>
      <c r="B216" s="15" t="str">
        <f>IFERROR(__xludf.DUMMYFUNCTION("""COMPUTED_VALUE"""),"590")</f>
        <v>590</v>
      </c>
      <c r="C216" s="15" t="str">
        <f>IFERROR(__xludf.DUMMYFUNCTION("""COMPUTED_VALUE"""),"16")</f>
        <v>16</v>
      </c>
      <c r="D216" s="15" t="str">
        <f>IFERROR(__xludf.DUMMYFUNCTION("""COMPUTED_VALUE"""),"28")</f>
        <v>28</v>
      </c>
      <c r="E216" s="15" t="str">
        <f>IFERROR(__xludf.DUMMYFUNCTION("""COMPUTED_VALUE"""),"12")</f>
        <v>12</v>
      </c>
      <c r="F216" s="17" t="str">
        <f>IFERROR(__xludf.DUMMYFUNCTION("""COMPUTED_VALUE"""),"https://www.themeateater.com/cook/recipes/garlic-herb-venison-marinade-recipe")</f>
        <v>https://www.themeateater.com/cook/recipes/garlic-herb-venison-marinade-recipe</v>
      </c>
      <c r="G216" s="17" t="str">
        <f>IFERROR(__xludf.DUMMYFUNCTION("""COMPUTED_VALUE"""),"https://realtree.com/timber-2-table-wild-game-recipes/miso-marinated-venison-backstrap")</f>
        <v>https://realtree.com/timber-2-table-wild-game-recipes/miso-marinated-venison-backstrap</v>
      </c>
      <c r="H216" s="17" t="str">
        <f>IFERROR(__xludf.DUMMYFUNCTION("""COMPUTED_VALUE"""),"https://www.wideopenspaces.com/top-5-venison-marinades/")</f>
        <v>https://www.wideopenspaces.com/top-5-venison-marinades/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5" t="str">
        <f>IFERROR(__xludf.DUMMYFUNCTION("""COMPUTED_VALUE"""),"deer grunt sound")</f>
        <v>deer grunt sound</v>
      </c>
      <c r="B217" s="15" t="str">
        <f>IFERROR(__xludf.DUMMYFUNCTION("""COMPUTED_VALUE"""),"1600")</f>
        <v>1600</v>
      </c>
      <c r="C217" s="15" t="str">
        <f>IFERROR(__xludf.DUMMYFUNCTION("""COMPUTED_VALUE"""),"17")</f>
        <v>17</v>
      </c>
      <c r="D217" s="15" t="str">
        <f>IFERROR(__xludf.DUMMYFUNCTION("""COMPUTED_VALUE"""),"54")</f>
        <v>54</v>
      </c>
      <c r="E217" s="15" t="str">
        <f>IFERROR(__xludf.DUMMYFUNCTION("""COMPUTED_VALUE"""),"30")</f>
        <v>30</v>
      </c>
      <c r="F217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217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217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5" t="str">
        <f>IFERROR(__xludf.DUMMYFUNCTION("""COMPUTED_VALUE"""),"deer calla")</f>
        <v>deer calla</v>
      </c>
      <c r="B218" s="15" t="str">
        <f>IFERROR(__xludf.DUMMYFUNCTION("""COMPUTED_VALUE"""),"1000")</f>
        <v>1000</v>
      </c>
      <c r="C218" s="15" t="str">
        <f>IFERROR(__xludf.DUMMYFUNCTION("""COMPUTED_VALUE"""),"17")</f>
        <v>17</v>
      </c>
      <c r="D218" s="15" t="str">
        <f>IFERROR(__xludf.DUMMYFUNCTION("""COMPUTED_VALUE"""),"Not ranking")</f>
        <v>Not ranking</v>
      </c>
      <c r="E218" s="15" t="str">
        <f>IFERROR(__xludf.DUMMYFUNCTION("""COMPUTED_VALUE"""),"Not ranking")</f>
        <v>Not ranking</v>
      </c>
      <c r="F218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218" s="18" t="str">
        <f>IFERROR(__xludf.DUMMYFUNCTION("""COMPUTED_VALUE"""),"Not ranking")</f>
        <v>Not ranking</v>
      </c>
      <c r="H218" s="18" t="str">
        <f>IFERROR(__xludf.DUMMYFUNCTION("""COMPUTED_VALUE"""),"Not ranking")</f>
        <v>Not ranking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5" t="str">
        <f>IFERROR(__xludf.DUMMYFUNCTION("""COMPUTED_VALUE"""),"deer bow hunt")</f>
        <v>deer bow hunt</v>
      </c>
      <c r="B219" s="15" t="str">
        <f>IFERROR(__xludf.DUMMYFUNCTION("""COMPUTED_VALUE"""),"880")</f>
        <v>880</v>
      </c>
      <c r="C219" s="15" t="str">
        <f>IFERROR(__xludf.DUMMYFUNCTION("""COMPUTED_VALUE"""),"17")</f>
        <v>17</v>
      </c>
      <c r="D219" s="15" t="str">
        <f>IFERROR(__xludf.DUMMYFUNCTION("""COMPUTED_VALUE"""),"73")</f>
        <v>73</v>
      </c>
      <c r="E219" s="15" t="str">
        <f>IFERROR(__xludf.DUMMYFUNCTION("""COMPUTED_VALUE"""),"Not ranking")</f>
        <v>Not ranking</v>
      </c>
      <c r="F219" s="17" t="str">
        <f>IFERROR(__xludf.DUMMYFUNCTION("""COMPUTED_VALUE"""),"https://www.themeateater.com/wired-to-hunt/whitetail-hunting/how-far-is-too-far-to-shoot-a-deer-with-a-bow")</f>
        <v>https://www.themeateater.com/wired-to-hunt/whitetail-hunting/how-far-is-too-far-to-shoot-a-deer-with-a-bow</v>
      </c>
      <c r="G219" s="17" t="str">
        <f>IFERROR(__xludf.DUMMYFUNCTION("""COMPUTED_VALUE"""),"https://realtree.com/bowhunting/articles/8-tips-for-bowhunting-deer-from-a-ground-blind")</f>
        <v>https://realtree.com/bowhunting/articles/8-tips-for-bowhunting-deer-from-a-ground-blind</v>
      </c>
      <c r="H219" s="18" t="str">
        <f>IFERROR(__xludf.DUMMYFUNCTION("""COMPUTED_VALUE"""),"Not ranking")</f>
        <v>Not ranking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5" t="str">
        <f>IFERROR(__xludf.DUMMYFUNCTION("""COMPUTED_VALUE"""),"deer female")</f>
        <v>deer female</v>
      </c>
      <c r="B220" s="15" t="str">
        <f>IFERROR(__xludf.DUMMYFUNCTION("""COMPUTED_VALUE"""),"880")</f>
        <v>880</v>
      </c>
      <c r="C220" s="15" t="str">
        <f>IFERROR(__xludf.DUMMYFUNCTION("""COMPUTED_VALUE"""),"17")</f>
        <v>17</v>
      </c>
      <c r="D220" s="15" t="str">
        <f>IFERROR(__xludf.DUMMYFUNCTION("""COMPUTED_VALUE"""),"Not ranking")</f>
        <v>Not ranking</v>
      </c>
      <c r="E220" s="15" t="str">
        <f>IFERROR(__xludf.DUMMYFUNCTION("""COMPUTED_VALUE"""),"Not ranking")</f>
        <v>Not ranking</v>
      </c>
      <c r="F220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220" s="18" t="str">
        <f>IFERROR(__xludf.DUMMYFUNCTION("""COMPUTED_VALUE"""),"Not ranking")</f>
        <v>Not ranking</v>
      </c>
      <c r="H220" s="18" t="str">
        <f>IFERROR(__xludf.DUMMYFUNCTION("""COMPUTED_VALUE"""),"Not ranking")</f>
        <v>Not ranking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5" t="str">
        <f>IFERROR(__xludf.DUMMYFUNCTION("""COMPUTED_VALUE"""),"deer steak marinade")</f>
        <v>deer steak marinade</v>
      </c>
      <c r="B221" s="15" t="str">
        <f>IFERROR(__xludf.DUMMYFUNCTION("""COMPUTED_VALUE"""),"880")</f>
        <v>880</v>
      </c>
      <c r="C221" s="15" t="str">
        <f>IFERROR(__xludf.DUMMYFUNCTION("""COMPUTED_VALUE"""),"17")</f>
        <v>17</v>
      </c>
      <c r="D221" s="15" t="str">
        <f>IFERROR(__xludf.DUMMYFUNCTION("""COMPUTED_VALUE"""),"Not ranking")</f>
        <v>Not ranking</v>
      </c>
      <c r="E221" s="15" t="str">
        <f>IFERROR(__xludf.DUMMYFUNCTION("""COMPUTED_VALUE"""),"31")</f>
        <v>31</v>
      </c>
      <c r="F221" s="17" t="str">
        <f>IFERROR(__xludf.DUMMYFUNCTION("""COMPUTED_VALUE"""),"https://www.themeateater.com/cook/recipes/garlic-herb-venison-marinade-recipe")</f>
        <v>https://www.themeateater.com/cook/recipes/garlic-herb-venison-marinade-recipe</v>
      </c>
      <c r="G221" s="18" t="str">
        <f>IFERROR(__xludf.DUMMYFUNCTION("""COMPUTED_VALUE"""),"Not ranking")</f>
        <v>Not ranking</v>
      </c>
      <c r="H221" s="17" t="str">
        <f>IFERROR(__xludf.DUMMYFUNCTION("""COMPUTED_VALUE"""),"https://www.wideopenspaces.com/top-5-venison-marinades/")</f>
        <v>https://www.wideopenspaces.com/top-5-venison-marinades/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5" t="str">
        <f>IFERROR(__xludf.DUMMYFUNCTION("""COMPUTED_VALUE"""),"how to quarter a deer")</f>
        <v>how to quarter a deer</v>
      </c>
      <c r="B222" s="15" t="str">
        <f>IFERROR(__xludf.DUMMYFUNCTION("""COMPUTED_VALUE"""),"880")</f>
        <v>880</v>
      </c>
      <c r="C222" s="15" t="str">
        <f>IFERROR(__xludf.DUMMYFUNCTION("""COMPUTED_VALUE"""),"17")</f>
        <v>17</v>
      </c>
      <c r="D222" s="15" t="str">
        <f>IFERROR(__xludf.DUMMYFUNCTION("""COMPUTED_VALUE"""),"5")</f>
        <v>5</v>
      </c>
      <c r="E222" s="15" t="str">
        <f>IFERROR(__xludf.DUMMYFUNCTION("""COMPUTED_VALUE"""),"32")</f>
        <v>32</v>
      </c>
      <c r="F222" s="17" t="str">
        <f>IFERROR(__xludf.DUMMYFUNCTION("""COMPUTED_VALUE"""),"https://www.themeateater.com/watch/6185157028001/how-to-quarter-and-pack-game-out-of-the-backcountry-conservation-field-notes-with-steven-rinella")</f>
        <v>https://www.themeateater.com/watch/6185157028001/how-to-quarter-and-pack-game-out-of-the-backcountry-conservation-field-notes-with-steven-rinella</v>
      </c>
      <c r="G222" s="17" t="str">
        <f>IFERROR(__xludf.DUMMYFUNCTION("""COMPUTED_VALUE"""),"https://realtree.com/timber-2-table-wild-game-recipes/how-to-quarter-a-deer-in-7-steps")</f>
        <v>https://realtree.com/timber-2-table-wild-game-recipes/how-to-quarter-a-deer-in-7-steps</v>
      </c>
      <c r="H222" s="17" t="str">
        <f>IFERROR(__xludf.DUMMYFUNCTION("""COMPUTED_VALUE"""),"https://www.wideopenspaces.com/quarter-deer-living-room/")</f>
        <v>https://www.wideopenspaces.com/quarter-deer-living-room/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5" t="str">
        <f>IFERROR(__xludf.DUMMYFUNCTION("""COMPUTED_VALUE"""),"deer antler size chart")</f>
        <v>deer antler size chart</v>
      </c>
      <c r="B223" s="15" t="str">
        <f>IFERROR(__xludf.DUMMYFUNCTION("""COMPUTED_VALUE"""),"720")</f>
        <v>720</v>
      </c>
      <c r="C223" s="15" t="str">
        <f>IFERROR(__xludf.DUMMYFUNCTION("""COMPUTED_VALUE"""),"17")</f>
        <v>17</v>
      </c>
      <c r="D223" s="15" t="str">
        <f>IFERROR(__xludf.DUMMYFUNCTION("""COMPUTED_VALUE"""),"88")</f>
        <v>88</v>
      </c>
      <c r="E223" s="15" t="str">
        <f>IFERROR(__xludf.DUMMYFUNCTION("""COMPUTED_VALUE"""),"Not ranking")</f>
        <v>Not ranking</v>
      </c>
      <c r="F223" s="17" t="str">
        <f>IFERROR(__xludf.DUMMYFUNCTION("""COMPUTED_VALUE"""),"https://www.themeateater.com/wired-to-hunt/whitetail-hunting/photos-whitetail-antler-growth-timeline")</f>
        <v>https://www.themeateater.com/wired-to-hunt/whitetail-hunting/photos-whitetail-antler-growth-timeline</v>
      </c>
      <c r="G223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223" s="18" t="str">
        <f>IFERROR(__xludf.DUMMYFUNCTION("""COMPUTED_VALUE"""),"Not ranking")</f>
        <v>Not ranking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5" t="str">
        <f>IFERROR(__xludf.DUMMYFUNCTION("""COMPUTED_VALUE"""),"deer in woods")</f>
        <v>deer in woods</v>
      </c>
      <c r="B224" s="15" t="str">
        <f>IFERROR(__xludf.DUMMYFUNCTION("""COMPUTED_VALUE"""),"720")</f>
        <v>720</v>
      </c>
      <c r="C224" s="15" t="str">
        <f>IFERROR(__xludf.DUMMYFUNCTION("""COMPUTED_VALUE"""),"17")</f>
        <v>17</v>
      </c>
      <c r="D224" s="15" t="str">
        <f>IFERROR(__xludf.DUMMYFUNCTION("""COMPUTED_VALUE"""),"36")</f>
        <v>36</v>
      </c>
      <c r="E224" s="15" t="str">
        <f>IFERROR(__xludf.DUMMYFUNCTION("""COMPUTED_VALUE"""),"49")</f>
        <v>49</v>
      </c>
      <c r="F224" s="17" t="str">
        <f>IFERROR(__xludf.DUMMYFUNCTION("""COMPUTED_VALUE"""),"https://www.themeateater.com/wired-to-hunt/whitetail-hunting/3-ways-to-get-your-deer-out-of-the-woods")</f>
        <v>https://www.themeateater.com/wired-to-hunt/whitetail-hunting/3-ways-to-get-your-deer-out-of-the-woods</v>
      </c>
      <c r="G224" s="17" t="str">
        <f>IFERROR(__xludf.DUMMYFUNCTION("""COMPUTED_VALUE"""),"https://realtree.com/deer-hunting/articles/don-t-get-killed-in-the-deer-woods")</f>
        <v>https://realtree.com/deer-hunting/articles/don-t-get-killed-in-the-deer-woods</v>
      </c>
      <c r="H224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5" t="str">
        <f>IFERROR(__xludf.DUMMYFUNCTION("""COMPUTED_VALUE"""),"high shoulder shot deer")</f>
        <v>high shoulder shot deer</v>
      </c>
      <c r="B225" s="15" t="str">
        <f>IFERROR(__xludf.DUMMYFUNCTION("""COMPUTED_VALUE"""),"720")</f>
        <v>720</v>
      </c>
      <c r="C225" s="15" t="str">
        <f>IFERROR(__xludf.DUMMYFUNCTION("""COMPUTED_VALUE"""),"17")</f>
        <v>17</v>
      </c>
      <c r="D225" s="15" t="str">
        <f>IFERROR(__xludf.DUMMYFUNCTION("""COMPUTED_VALUE"""),"24")</f>
        <v>24</v>
      </c>
      <c r="E225" s="15" t="str">
        <f>IFERROR(__xludf.DUMMYFUNCTION("""COMPUTED_VALUE"""),"9")</f>
        <v>9</v>
      </c>
      <c r="F225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225" s="17" t="str">
        <f>IFERROR(__xludf.DUMMYFUNCTION("""COMPUTED_VALUE"""),"https://realtree.com/deer-hunting/articles/the-best-shot-placement-on-deer")</f>
        <v>https://realtree.com/deer-hunting/articles/the-best-shot-placement-on-deer</v>
      </c>
      <c r="H225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5" t="str">
        <f>IFERROR(__xludf.DUMMYFUNCTION("""COMPUTED_VALUE"""),"scoring a deer")</f>
        <v>scoring a deer</v>
      </c>
      <c r="B226" s="15" t="str">
        <f>IFERROR(__xludf.DUMMYFUNCTION("""COMPUTED_VALUE"""),"720")</f>
        <v>720</v>
      </c>
      <c r="C226" s="15" t="str">
        <f>IFERROR(__xludf.DUMMYFUNCTION("""COMPUTED_VALUE"""),"17")</f>
        <v>17</v>
      </c>
      <c r="D226" s="15" t="str">
        <f>IFERROR(__xludf.DUMMYFUNCTION("""COMPUTED_VALUE"""),"28")</f>
        <v>28</v>
      </c>
      <c r="E226" s="15" t="str">
        <f>IFERROR(__xludf.DUMMYFUNCTION("""COMPUTED_VALUE"""),"21")</f>
        <v>21</v>
      </c>
      <c r="F226" s="17" t="str">
        <f>IFERROR(__xludf.DUMMYFUNCTION("""COMPUTED_VALUE"""),"https://www.themeateater.com/watch/6259336077001/how-to-score-a-whitetail-deer")</f>
        <v>https://www.themeateater.com/watch/6259336077001/how-to-score-a-whitetail-deer</v>
      </c>
      <c r="G226" s="17" t="str">
        <f>IFERROR(__xludf.DUMMYFUNCTION("""COMPUTED_VALUE"""),"https://realtree.com/all/articles/scoring-your-whitetail-trophy")</f>
        <v>https://realtree.com/all/articles/scoring-your-whitetail-trophy</v>
      </c>
      <c r="H226" s="17" t="str">
        <f>IFERROR(__xludf.DUMMYFUNCTION("""COMPUTED_VALUE"""),"https://www.wideopenspaces.com/how-to-score-a-deer-measuring-your-trophy-step-by-step/")</f>
        <v>https://www.wideopenspaces.com/how-to-score-a-deer-measuring-your-trophy-step-by-step/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5" t="str">
        <f>IFERROR(__xludf.DUMMYFUNCTION("""COMPUTED_VALUE"""),"deer color")</f>
        <v>deer color</v>
      </c>
      <c r="B227" s="15" t="str">
        <f>IFERROR(__xludf.DUMMYFUNCTION("""COMPUTED_VALUE"""),"590")</f>
        <v>590</v>
      </c>
      <c r="C227" s="15" t="str">
        <f>IFERROR(__xludf.DUMMYFUNCTION("""COMPUTED_VALUE"""),"17")</f>
        <v>17</v>
      </c>
      <c r="D227" s="15" t="str">
        <f>IFERROR(__xludf.DUMMYFUNCTION("""COMPUTED_VALUE"""),"Not ranking")</f>
        <v>Not ranking</v>
      </c>
      <c r="E227" s="15" t="str">
        <f>IFERROR(__xludf.DUMMYFUNCTION("""COMPUTED_VALUE"""),"58")</f>
        <v>58</v>
      </c>
      <c r="F227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227" s="18" t="str">
        <f>IFERROR(__xludf.DUMMYFUNCTION("""COMPUTED_VALUE"""),"Not ranking")</f>
        <v>Not ranking</v>
      </c>
      <c r="H227" s="17" t="str">
        <f>IFERROR(__xludf.DUMMYFUNCTION("""COMPUTED_VALUE"""),"https://www.wideopenspaces.com/whitetailwednesday-the-rarest-deer-color-phase-of-all-melanistic/")</f>
        <v>https://www.wideopenspaces.com/whitetailwednesday-the-rarest-deer-color-phase-of-all-melanistic/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5" t="str">
        <f>IFERROR(__xludf.DUMMYFUNCTION("""COMPUTED_VALUE"""),"when does deer sleep")</f>
        <v>when does deer sleep</v>
      </c>
      <c r="B228" s="15" t="str">
        <f>IFERROR(__xludf.DUMMYFUNCTION("""COMPUTED_VALUE"""),"590")</f>
        <v>590</v>
      </c>
      <c r="C228" s="15" t="str">
        <f>IFERROR(__xludf.DUMMYFUNCTION("""COMPUTED_VALUE"""),"17")</f>
        <v>17</v>
      </c>
      <c r="D228" s="15" t="str">
        <f>IFERROR(__xludf.DUMMYFUNCTION("""COMPUTED_VALUE"""),"54")</f>
        <v>54</v>
      </c>
      <c r="E228" s="15" t="str">
        <f>IFERROR(__xludf.DUMMYFUNCTION("""COMPUTED_VALUE"""),"30")</f>
        <v>30</v>
      </c>
      <c r="F228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228" s="17" t="str">
        <f>IFERROR(__xludf.DUMMYFUNCTION("""COMPUTED_VALUE"""),"https://realtree.com/brow-tines-and-backstrap/8-bedding-habits-of-mature-deer")</f>
        <v>https://realtree.com/brow-tines-and-backstrap/8-bedding-habits-of-mature-deer</v>
      </c>
      <c r="H228" s="17" t="str">
        <f>IFERROR(__xludf.DUMMYFUNCTION("""COMPUTED_VALUE"""),"https://www.wideopenspaces.com/where-do-deer-sleep/")</f>
        <v>https://www.wideopenspaces.com/where-do-deer-sleep/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5" t="str">
        <f>IFERROR(__xludf.DUMMYFUNCTION("""COMPUTED_VALUE"""),"deer call sounds")</f>
        <v>deer call sounds</v>
      </c>
      <c r="B229" s="15" t="str">
        <f>IFERROR(__xludf.DUMMYFUNCTION("""COMPUTED_VALUE"""),"2400")</f>
        <v>2400</v>
      </c>
      <c r="C229" s="15" t="str">
        <f>IFERROR(__xludf.DUMMYFUNCTION("""COMPUTED_VALUE"""),"18")</f>
        <v>18</v>
      </c>
      <c r="D229" s="15" t="str">
        <f>IFERROR(__xludf.DUMMYFUNCTION("""COMPUTED_VALUE"""),"68")</f>
        <v>68</v>
      </c>
      <c r="E229" s="15" t="str">
        <f>IFERROR(__xludf.DUMMYFUNCTION("""COMPUTED_VALUE"""),"25")</f>
        <v>25</v>
      </c>
      <c r="F229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229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229" s="17" t="str">
        <f>IFERROR(__xludf.DUMMYFUNCTION("""COMPUTED_VALUE"""),"https://www.wideopenspaces.com/best-buck-calls/")</f>
        <v>https://www.wideopenspaces.com/best-buck-calls/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5" t="str">
        <f>IFERROR(__xludf.DUMMYFUNCTION("""COMPUTED_VALUE"""),"deer hunter bow")</f>
        <v>deer hunter bow</v>
      </c>
      <c r="B230" s="15" t="str">
        <f>IFERROR(__xludf.DUMMYFUNCTION("""COMPUTED_VALUE"""),"1300")</f>
        <v>1300</v>
      </c>
      <c r="C230" s="15" t="str">
        <f>IFERROR(__xludf.DUMMYFUNCTION("""COMPUTED_VALUE"""),"18")</f>
        <v>18</v>
      </c>
      <c r="D230" s="15" t="str">
        <f>IFERROR(__xludf.DUMMYFUNCTION("""COMPUTED_VALUE"""),"Not ranking")</f>
        <v>Not ranking</v>
      </c>
      <c r="E230" s="15" t="str">
        <f>IFERROR(__xludf.DUMMYFUNCTION("""COMPUTED_VALUE"""),"Not ranking")</f>
        <v>Not ranking</v>
      </c>
      <c r="F230" s="17" t="str">
        <f>IFERROR(__xludf.DUMMYFUNCTION("""COMPUTED_VALUE"""),"https://www.themeateater.com/wired-to-hunt/whitetail-hunting-gear/how-to-buy-your-first-deer-hunting-bow")</f>
        <v>https://www.themeateater.com/wired-to-hunt/whitetail-hunting-gear/how-to-buy-your-first-deer-hunting-bow</v>
      </c>
      <c r="G230" s="18" t="str">
        <f>IFERROR(__xludf.DUMMYFUNCTION("""COMPUTED_VALUE"""),"Not ranking")</f>
        <v>Not ranking</v>
      </c>
      <c r="H230" s="18" t="str">
        <f>IFERROR(__xludf.DUMMYFUNCTION("""COMPUTED_VALUE"""),"Not ranking")</f>
        <v>Not ranking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5" t="str">
        <f>IFERROR(__xludf.DUMMYFUNCTION("""COMPUTED_VALUE"""),"aging deer")</f>
        <v>aging deer</v>
      </c>
      <c r="B231" s="15" t="str">
        <f>IFERROR(__xludf.DUMMYFUNCTION("""COMPUTED_VALUE"""),"1000")</f>
        <v>1000</v>
      </c>
      <c r="C231" s="15" t="str">
        <f>IFERROR(__xludf.DUMMYFUNCTION("""COMPUTED_VALUE"""),"18")</f>
        <v>18</v>
      </c>
      <c r="D231" s="15" t="str">
        <f>IFERROR(__xludf.DUMMYFUNCTION("""COMPUTED_VALUE"""),"61")</f>
        <v>61</v>
      </c>
      <c r="E231" s="15" t="str">
        <f>IFERROR(__xludf.DUMMYFUNCTION("""COMPUTED_VALUE"""),"Not ranking")</f>
        <v>Not ranking</v>
      </c>
      <c r="F231" s="17" t="str">
        <f>IFERROR(__xludf.DUMMYFUNCTION("""COMPUTED_VALUE"""),"https://www.themeateater.com/wired-to-hunt/whitetail-management/how-to-age-a-whitetail-buck-on-the-hoof")</f>
        <v>https://www.themeateater.com/wired-to-hunt/whitetail-management/how-to-age-a-whitetail-buck-on-the-hoof</v>
      </c>
      <c r="G231" s="17" t="str">
        <f>IFERROR(__xludf.DUMMYFUNCTION("""COMPUTED_VALUE"""),"https://realtree.com/midwest-whitetail/articles/how-to-age-deer-after-tagging-them")</f>
        <v>https://realtree.com/midwest-whitetail/articles/how-to-age-deer-after-tagging-them</v>
      </c>
      <c r="H231" s="18" t="str">
        <f>IFERROR(__xludf.DUMMYFUNCTION("""COMPUTED_VALUE"""),"Not ranking")</f>
        <v>Not ranking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5" t="str">
        <f>IFERROR(__xludf.DUMMYFUNCTION("""COMPUTED_VALUE"""),"best days to deer hunt 2022")</f>
        <v>best days to deer hunt 2022</v>
      </c>
      <c r="B232" s="15" t="str">
        <f>IFERROR(__xludf.DUMMYFUNCTION("""COMPUTED_VALUE"""),"1000")</f>
        <v>1000</v>
      </c>
      <c r="C232" s="15" t="str">
        <f>IFERROR(__xludf.DUMMYFUNCTION("""COMPUTED_VALUE"""),"18")</f>
        <v>18</v>
      </c>
      <c r="D232" s="15" t="str">
        <f>IFERROR(__xludf.DUMMYFUNCTION("""COMPUTED_VALUE"""),"3")</f>
        <v>3</v>
      </c>
      <c r="E232" s="15" t="str">
        <f>IFERROR(__xludf.DUMMYFUNCTION("""COMPUTED_VALUE"""),"24")</f>
        <v>24</v>
      </c>
      <c r="F232" s="17" t="str">
        <f>IFERROR(__xludf.DUMMYFUNCTION("""COMPUTED_VALUE"""),"https://www.themeateater.com/wired-to-hunt/whitetail-hunting/the-best-days-for-all-day-rut-hunts")</f>
        <v>https://www.themeateater.com/wired-to-hunt/whitetail-hunting/the-best-days-for-all-day-rut-hunts</v>
      </c>
      <c r="G232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232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5" t="str">
        <f>IFERROR(__xludf.DUMMYFUNCTION("""COMPUTED_VALUE"""),"deer rifles")</f>
        <v>deer rifles</v>
      </c>
      <c r="B233" s="15" t="str">
        <f>IFERROR(__xludf.DUMMYFUNCTION("""COMPUTED_VALUE"""),"880")</f>
        <v>880</v>
      </c>
      <c r="C233" s="15" t="str">
        <f>IFERROR(__xludf.DUMMYFUNCTION("""COMPUTED_VALUE"""),"18")</f>
        <v>18</v>
      </c>
      <c r="D233" s="15" t="str">
        <f>IFERROR(__xludf.DUMMYFUNCTION("""COMPUTED_VALUE"""),"24")</f>
        <v>24</v>
      </c>
      <c r="E233" s="15" t="str">
        <f>IFERROR(__xludf.DUMMYFUNCTION("""COMPUTED_VALUE"""),"27")</f>
        <v>27</v>
      </c>
      <c r="F233" s="17" t="str">
        <f>IFERROR(__xludf.DUMMYFUNCTION("""COMPUTED_VALUE"""),"https://www.themeateater.com/hunt/firearm-hunting/5-best-rifles-for-new-hunters")</f>
        <v>https://www.themeateater.com/hunt/firearm-hunting/5-best-rifles-for-new-hunters</v>
      </c>
      <c r="G233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233" s="17" t="str">
        <f>IFERROR(__xludf.DUMMYFUNCTION("""COMPUTED_VALUE"""),"https://www.wideopenspaces.com/5-awesome-deer-rifles-500/")</f>
        <v>https://www.wideopenspaces.com/5-awesome-deer-rifles-500/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5" t="str">
        <f>IFERROR(__xludf.DUMMYFUNCTION("""COMPUTED_VALUE"""),"best deer skinning knife")</f>
        <v>best deer skinning knife</v>
      </c>
      <c r="B234" s="15" t="str">
        <f>IFERROR(__xludf.DUMMYFUNCTION("""COMPUTED_VALUE"""),"720")</f>
        <v>720</v>
      </c>
      <c r="C234" s="15" t="str">
        <f>IFERROR(__xludf.DUMMYFUNCTION("""COMPUTED_VALUE"""),"18")</f>
        <v>18</v>
      </c>
      <c r="D234" s="15" t="str">
        <f>IFERROR(__xludf.DUMMYFUNCTION("""COMPUTED_VALUE"""),"32")</f>
        <v>32</v>
      </c>
      <c r="E234" s="15" t="str">
        <f>IFERROR(__xludf.DUMMYFUNCTION("""COMPUTED_VALUE"""),"Not ranking")</f>
        <v>Not ranking</v>
      </c>
      <c r="F234" s="17" t="str">
        <f>IFERROR(__xludf.DUMMYFUNCTION("""COMPUTED_VALUE"""),"https://www.themeateater.com/gear/general/best-hunting-knives")</f>
        <v>https://www.themeateater.com/gear/general/best-hunting-knives</v>
      </c>
      <c r="G234" s="17" t="str">
        <f>IFERROR(__xludf.DUMMYFUNCTION("""COMPUTED_VALUE"""),"https://realtree.com/brow-tines-and-backstrap/choose-the-best-knife-for-deer-hunting")</f>
        <v>https://realtree.com/brow-tines-and-backstrap/choose-the-best-knife-for-deer-hunting</v>
      </c>
      <c r="H234" s="18" t="str">
        <f>IFERROR(__xludf.DUMMYFUNCTION("""COMPUTED_VALUE"""),"Not ranking")</f>
        <v>Not ranking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5" t="str">
        <f>IFERROR(__xludf.DUMMYFUNCTION("""COMPUTED_VALUE"""),"cooking deer meat")</f>
        <v>cooking deer meat</v>
      </c>
      <c r="B235" s="15" t="str">
        <f>IFERROR(__xludf.DUMMYFUNCTION("""COMPUTED_VALUE"""),"720")</f>
        <v>720</v>
      </c>
      <c r="C235" s="15" t="str">
        <f>IFERROR(__xludf.DUMMYFUNCTION("""COMPUTED_VALUE"""),"18")</f>
        <v>18</v>
      </c>
      <c r="D235" s="15" t="str">
        <f>IFERROR(__xludf.DUMMYFUNCTION("""COMPUTED_VALUE"""),"Not ranking")</f>
        <v>Not ranking</v>
      </c>
      <c r="E235" s="15" t="str">
        <f>IFERROR(__xludf.DUMMYFUNCTION("""COMPUTED_VALUE"""),"Not ranking")</f>
        <v>Not ranking</v>
      </c>
      <c r="F235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235" s="18" t="str">
        <f>IFERROR(__xludf.DUMMYFUNCTION("""COMPUTED_VALUE"""),"Not ranking")</f>
        <v>Not ranking</v>
      </c>
      <c r="H235" s="18" t="str">
        <f>IFERROR(__xludf.DUMMYFUNCTION("""COMPUTED_VALUE"""),"Not ranking")</f>
        <v>Not ranking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5" t="str">
        <f>IFERROR(__xludf.DUMMYFUNCTION("""COMPUTED_VALUE"""),"deer foot print")</f>
        <v>deer foot print</v>
      </c>
      <c r="B236" s="15" t="str">
        <f>IFERROR(__xludf.DUMMYFUNCTION("""COMPUTED_VALUE"""),"720")</f>
        <v>720</v>
      </c>
      <c r="C236" s="15" t="str">
        <f>IFERROR(__xludf.DUMMYFUNCTION("""COMPUTED_VALUE"""),"18")</f>
        <v>18</v>
      </c>
      <c r="D236" s="15" t="str">
        <f>IFERROR(__xludf.DUMMYFUNCTION("""COMPUTED_VALUE"""),"Not ranking")</f>
        <v>Not ranking</v>
      </c>
      <c r="E236" s="15" t="str">
        <f>IFERROR(__xludf.DUMMYFUNCTION("""COMPUTED_VALUE"""),"72")</f>
        <v>72</v>
      </c>
      <c r="F236" s="17" t="str">
        <f>IFERROR(__xludf.DUMMYFUNCTION("""COMPUTED_VALUE"""),"https://www.themeateater.com/wired-to-hunt/whitetail-scouting/what-you-need-to-know-about-deer-tracks")</f>
        <v>https://www.themeateater.com/wired-to-hunt/whitetail-scouting/what-you-need-to-know-about-deer-tracks</v>
      </c>
      <c r="G236" s="18" t="str">
        <f>IFERROR(__xludf.DUMMYFUNCTION("""COMPUTED_VALUE"""),"Not ranking")</f>
        <v>Not ranking</v>
      </c>
      <c r="H236" s="17" t="str">
        <f>IFERROR(__xludf.DUMMYFUNCTION("""COMPUTED_VALUE"""),"https://www.wideopenspaces.com/deer-tracks-identification/")</f>
        <v>https://www.wideopenspaces.com/deer-tracks-identification/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5" t="str">
        <f>IFERROR(__xludf.DUMMYFUNCTION("""COMPUTED_VALUE"""),"deer rub")</f>
        <v>deer rub</v>
      </c>
      <c r="B237" s="15" t="str">
        <f>IFERROR(__xludf.DUMMYFUNCTION("""COMPUTED_VALUE"""),"720")</f>
        <v>720</v>
      </c>
      <c r="C237" s="15" t="str">
        <f>IFERROR(__xludf.DUMMYFUNCTION("""COMPUTED_VALUE"""),"18")</f>
        <v>18</v>
      </c>
      <c r="D237" s="15" t="str">
        <f>IFERROR(__xludf.DUMMYFUNCTION("""COMPUTED_VALUE"""),"13")</f>
        <v>13</v>
      </c>
      <c r="E237" s="15" t="str">
        <f>IFERROR(__xludf.DUMMYFUNCTION("""COMPUTED_VALUE"""),"75")</f>
        <v>75</v>
      </c>
      <c r="F237" s="17" t="str">
        <f>IFERROR(__xludf.DUMMYFUNCTION("""COMPUTED_VALUE"""),"https://www.themeateater.com/wired-to-hunt/whitetail-scouting/do-rub-lines-matter-during-the-whitetail-rut")</f>
        <v>https://www.themeateater.com/wired-to-hunt/whitetail-scouting/do-rub-lines-matter-during-the-whitetail-rut</v>
      </c>
      <c r="G237" s="17" t="str">
        <f>IFERROR(__xludf.DUMMYFUNCTION("""COMPUTED_VALUE"""),"https://realtree.com/brow-tines-and-backstrap/4-types-of-buck-rubs-you-need-to-know")</f>
        <v>https://realtree.com/brow-tines-and-backstrap/4-types-of-buck-rubs-you-need-to-know</v>
      </c>
      <c r="H237" s="17" t="str">
        <f>IFERROR(__xludf.DUMMYFUNCTION("""COMPUTED_VALUE"""),"https://www.wideopenspaces.com/buck-rubs/")</f>
        <v>https://www.wideopenspaces.com/buck-rubs/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5" t="str">
        <f>IFERROR(__xludf.DUMMYFUNCTION("""COMPUTED_VALUE"""),"euro mount deer")</f>
        <v>euro mount deer</v>
      </c>
      <c r="B238" s="15" t="str">
        <f>IFERROR(__xludf.DUMMYFUNCTION("""COMPUTED_VALUE"""),"4400")</f>
        <v>4400</v>
      </c>
      <c r="C238" s="15" t="str">
        <f>IFERROR(__xludf.DUMMYFUNCTION("""COMPUTED_VALUE"""),"19")</f>
        <v>19</v>
      </c>
      <c r="D238" s="15" t="str">
        <f>IFERROR(__xludf.DUMMYFUNCTION("""COMPUTED_VALUE"""),"Not ranking")</f>
        <v>Not ranking</v>
      </c>
      <c r="E238" s="15" t="str">
        <f>IFERROR(__xludf.DUMMYFUNCTION("""COMPUTED_VALUE"""),"40")</f>
        <v>40</v>
      </c>
      <c r="F238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238" s="18" t="str">
        <f>IFERROR(__xludf.DUMMYFUNCTION("""COMPUTED_VALUE"""),"Not ranking")</f>
        <v>Not ranking</v>
      </c>
      <c r="H238" s="17" t="str">
        <f>IFERROR(__xludf.DUMMYFUNCTION("""COMPUTED_VALUE"""),"https://www.wideopenspaces.com/how-to-clean-a-deer-skull/")</f>
        <v>https://www.wideopenspaces.com/how-to-clean-a-deer-skull/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5" t="str">
        <f>IFERROR(__xludf.DUMMYFUNCTION("""COMPUTED_VALUE"""),"can deer see orange")</f>
        <v>can deer see orange</v>
      </c>
      <c r="B239" s="15" t="str">
        <f>IFERROR(__xludf.DUMMYFUNCTION("""COMPUTED_VALUE"""),"1600")</f>
        <v>1600</v>
      </c>
      <c r="C239" s="15" t="str">
        <f>IFERROR(__xludf.DUMMYFUNCTION("""COMPUTED_VALUE"""),"19")</f>
        <v>19</v>
      </c>
      <c r="D239" s="15" t="str">
        <f>IFERROR(__xludf.DUMMYFUNCTION("""COMPUTED_VALUE"""),"74")</f>
        <v>74</v>
      </c>
      <c r="E239" s="15" t="str">
        <f>IFERROR(__xludf.DUMMYFUNCTION("""COMPUTED_VALUE"""),"84")</f>
        <v>84</v>
      </c>
      <c r="F239" s="17" t="str">
        <f>IFERROR(__xludf.DUMMYFUNCTION("""COMPUTED_VALUE"""),"https://www.themeateater.com/wired-to-hunt/whitetail-hunting/deer-vision-how-whitetails-see-color-light-and-movement")</f>
        <v>https://www.themeateater.com/wired-to-hunt/whitetail-hunting/deer-vision-how-whitetails-see-color-light-and-movement</v>
      </c>
      <c r="G239" s="17" t="str">
        <f>IFERROR(__xludf.DUMMYFUNCTION("""COMPUTED_VALUE"""),"https://realtree.com/all/articles/what-deer-really-see")</f>
        <v>https://realtree.com/all/articles/what-deer-really-see</v>
      </c>
      <c r="H239" s="17" t="str">
        <f>IFERROR(__xludf.DUMMYFUNCTION("""COMPUTED_VALUE"""),"https://www.wideopenspaces.com/deer-vision-the-science/")</f>
        <v>https://www.wideopenspaces.com/deer-vision-the-science/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5" t="str">
        <f>IFERROR(__xludf.DUMMYFUNCTION("""COMPUTED_VALUE"""),"whitetail deer age chart")</f>
        <v>whitetail deer age chart</v>
      </c>
      <c r="B240" s="15" t="str">
        <f>IFERROR(__xludf.DUMMYFUNCTION("""COMPUTED_VALUE"""),"1000")</f>
        <v>1000</v>
      </c>
      <c r="C240" s="15" t="str">
        <f>IFERROR(__xludf.DUMMYFUNCTION("""COMPUTED_VALUE"""),"19")</f>
        <v>19</v>
      </c>
      <c r="D240" s="15" t="str">
        <f>IFERROR(__xludf.DUMMYFUNCTION("""COMPUTED_VALUE"""),"31")</f>
        <v>31</v>
      </c>
      <c r="E240" s="15" t="str">
        <f>IFERROR(__xludf.DUMMYFUNCTION("""COMPUTED_VALUE"""),"65")</f>
        <v>65</v>
      </c>
      <c r="F240" s="17" t="str">
        <f>IFERROR(__xludf.DUMMYFUNCTION("""COMPUTED_VALUE"""),"https://www.themeateater.com/wired-to-hunt/whitetail-management/how-to-age-a-whitetail-buck-on-the-hoof")</f>
        <v>https://www.themeateater.com/wired-to-hunt/whitetail-management/how-to-age-a-whitetail-buck-on-the-hoof</v>
      </c>
      <c r="G240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240" s="17" t="str">
        <f>IFERROR(__xludf.DUMMYFUNCTION("""COMPUTED_VALUE"""),"https://www.wideopenspaces.com/tell-age-deer-pics/")</f>
        <v>https://www.wideopenspaces.com/tell-age-deer-pics/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5" t="str">
        <f>IFERROR(__xludf.DUMMYFUNCTION("""COMPUTED_VALUE"""),"how to make deer sausage")</f>
        <v>how to make deer sausage</v>
      </c>
      <c r="B241" s="15" t="str">
        <f>IFERROR(__xludf.DUMMYFUNCTION("""COMPUTED_VALUE"""),"880")</f>
        <v>880</v>
      </c>
      <c r="C241" s="15" t="str">
        <f>IFERROR(__xludf.DUMMYFUNCTION("""COMPUTED_VALUE"""),"19")</f>
        <v>19</v>
      </c>
      <c r="D241" s="15" t="str">
        <f>IFERROR(__xludf.DUMMYFUNCTION("""COMPUTED_VALUE"""),"15")</f>
        <v>15</v>
      </c>
      <c r="E241" s="15" t="str">
        <f>IFERROR(__xludf.DUMMYFUNCTION("""COMPUTED_VALUE"""),"63")</f>
        <v>63</v>
      </c>
      <c r="F241" s="17" t="str">
        <f>IFERROR(__xludf.DUMMYFUNCTION("""COMPUTED_VALUE"""),"https://www.themeateater.com/cook/recipes/the-only-venison-breakfast-sausage-recipe-you-need")</f>
        <v>https://www.themeateater.com/cook/recipes/the-only-venison-breakfast-sausage-recipe-you-need</v>
      </c>
      <c r="G241" s="17" t="str">
        <f>IFERROR(__xludf.DUMMYFUNCTION("""COMPUTED_VALUE"""),"https://realtree.com/timber-2-table-wild-game-recipes/venison-and-pork-sweet-italian-sausage-links-recipe")</f>
        <v>https://realtree.com/timber-2-table-wild-game-recipes/venison-and-pork-sweet-italian-sausage-links-recipe</v>
      </c>
      <c r="H241" s="17" t="str">
        <f>IFERROR(__xludf.DUMMYFUNCTION("""COMPUTED_VALUE"""),"https://www.wideopenspaces.com/an-easy-and-tasty-way-to-make-venison-sausage/")</f>
        <v>https://www.wideopenspaces.com/an-easy-and-tasty-way-to-make-venison-sausage/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5" t="str">
        <f>IFERROR(__xludf.DUMMYFUNCTION("""COMPUTED_VALUE"""),"deer rifle calibers")</f>
        <v>deer rifle calibers</v>
      </c>
      <c r="B242" s="15" t="str">
        <f>IFERROR(__xludf.DUMMYFUNCTION("""COMPUTED_VALUE"""),"720")</f>
        <v>720</v>
      </c>
      <c r="C242" s="15" t="str">
        <f>IFERROR(__xludf.DUMMYFUNCTION("""COMPUTED_VALUE"""),"19")</f>
        <v>19</v>
      </c>
      <c r="D242" s="15" t="str">
        <f>IFERROR(__xludf.DUMMYFUNCTION("""COMPUTED_VALUE"""),"48")</f>
        <v>48</v>
      </c>
      <c r="E242" s="15" t="str">
        <f>IFERROR(__xludf.DUMMYFUNCTION("""COMPUTED_VALUE"""),"39")</f>
        <v>39</v>
      </c>
      <c r="F242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242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242" s="17" t="str">
        <f>IFERROR(__xludf.DUMMYFUNCTION("""COMPUTED_VALUE"""),"https://www.wideopenspaces.com/new-deer-hunting-calibers/")</f>
        <v>https://www.wideopenspaces.com/new-deer-hunting-calibers/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5" t="str">
        <f>IFERROR(__xludf.DUMMYFUNCTION("""COMPUTED_VALUE"""),"what is female deer called")</f>
        <v>what is female deer called</v>
      </c>
      <c r="B243" s="15" t="str">
        <f>IFERROR(__xludf.DUMMYFUNCTION("""COMPUTED_VALUE"""),"720")</f>
        <v>720</v>
      </c>
      <c r="C243" s="15" t="str">
        <f>IFERROR(__xludf.DUMMYFUNCTION("""COMPUTED_VALUE"""),"19")</f>
        <v>19</v>
      </c>
      <c r="D243" s="15" t="str">
        <f>IFERROR(__xludf.DUMMYFUNCTION("""COMPUTED_VALUE"""),"Not ranking")</f>
        <v>Not ranking</v>
      </c>
      <c r="E243" s="15" t="str">
        <f>IFERROR(__xludf.DUMMYFUNCTION("""COMPUTED_VALUE"""),"Not ranking")</f>
        <v>Not ranking</v>
      </c>
      <c r="F243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243" s="18" t="str">
        <f>IFERROR(__xludf.DUMMYFUNCTION("""COMPUTED_VALUE"""),"Not ranking")</f>
        <v>Not ranking</v>
      </c>
      <c r="H243" s="18" t="str">
        <f>IFERROR(__xludf.DUMMYFUNCTION("""COMPUTED_VALUE"""),"Not ranking")</f>
        <v>Not ranking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5" t="str">
        <f>IFERROR(__xludf.DUMMYFUNCTION("""COMPUTED_VALUE"""),"deer meat cutting")</f>
        <v>deer meat cutting</v>
      </c>
      <c r="B244" s="15" t="str">
        <f>IFERROR(__xludf.DUMMYFUNCTION("""COMPUTED_VALUE"""),"590")</f>
        <v>590</v>
      </c>
      <c r="C244" s="15" t="str">
        <f>IFERROR(__xludf.DUMMYFUNCTION("""COMPUTED_VALUE"""),"19")</f>
        <v>19</v>
      </c>
      <c r="D244" s="15" t="str">
        <f>IFERROR(__xludf.DUMMYFUNCTION("""COMPUTED_VALUE"""),"93")</f>
        <v>93</v>
      </c>
      <c r="E244" s="15" t="str">
        <f>IFERROR(__xludf.DUMMYFUNCTION("""COMPUTED_VALUE"""),"47")</f>
        <v>47</v>
      </c>
      <c r="F244" s="17" t="str">
        <f>IFERROR(__xludf.DUMMYFUNCTION("""COMPUTED_VALUE"""),"https://www.themeateater.com/watch/6171359676001/how-to-cut-venison-steaks-with-ryan-callaghan")</f>
        <v>https://www.themeateater.com/watch/6171359676001/how-to-cut-venison-steaks-with-ryan-callaghan</v>
      </c>
      <c r="G244" s="17" t="str">
        <f>IFERROR(__xludf.DUMMYFUNCTION("""COMPUTED_VALUE"""),"https://realtree.com/timber-2-table-articles/5-reasons-to-butcher-your-own-deer-this-season")</f>
        <v>https://realtree.com/timber-2-table-articles/5-reasons-to-butcher-your-own-deer-this-season</v>
      </c>
      <c r="H244" s="17" t="str">
        <f>IFERROR(__xludf.DUMMYFUNCTION("""COMPUTED_VALUE"""),"https://www.wideopenspaces.com/check-illustrated-deer-meat-guide/")</f>
        <v>https://www.wideopenspaces.com/check-illustrated-deer-meat-guide/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5" t="str">
        <f>IFERROR(__xludf.DUMMYFUNCTION("""COMPUTED_VALUE"""),"predators of a deer")</f>
        <v>predators of a deer</v>
      </c>
      <c r="B245" s="15" t="str">
        <f>IFERROR(__xludf.DUMMYFUNCTION("""COMPUTED_VALUE"""),"590")</f>
        <v>590</v>
      </c>
      <c r="C245" s="15" t="str">
        <f>IFERROR(__xludf.DUMMYFUNCTION("""COMPUTED_VALUE"""),"19")</f>
        <v>19</v>
      </c>
      <c r="D245" s="15" t="str">
        <f>IFERROR(__xludf.DUMMYFUNCTION("""COMPUTED_VALUE"""),"Not ranking")</f>
        <v>Not ranking</v>
      </c>
      <c r="E245" s="15" t="str">
        <f>IFERROR(__xludf.DUMMYFUNCTION("""COMPUTED_VALUE"""),"Not ranking")</f>
        <v>Not ranking</v>
      </c>
      <c r="F245" s="17" t="str">
        <f>IFERROR(__xludf.DUMMYFUNCTION("""COMPUTED_VALUE"""),"https://www.themeateater.com/wired-to-hunt/whitetail-management/the-predator-that-deer-fear-most")</f>
        <v>https://www.themeateater.com/wired-to-hunt/whitetail-management/the-predator-that-deer-fear-most</v>
      </c>
      <c r="G245" s="18" t="str">
        <f>IFERROR(__xludf.DUMMYFUNCTION("""COMPUTED_VALUE"""),"Not ranking")</f>
        <v>Not ranking</v>
      </c>
      <c r="H245" s="18" t="str">
        <f>IFERROR(__xludf.DUMMYFUNCTION("""COMPUTED_VALUE"""),"Not ranking")</f>
        <v>Not ranking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5" t="str">
        <f>IFERROR(__xludf.DUMMYFUNCTION("""COMPUTED_VALUE"""),"deer decoy")</f>
        <v>deer decoy</v>
      </c>
      <c r="B246" s="15" t="str">
        <f>IFERROR(__xludf.DUMMYFUNCTION("""COMPUTED_VALUE"""),"3600")</f>
        <v>3600</v>
      </c>
      <c r="C246" s="15" t="str">
        <f>IFERROR(__xludf.DUMMYFUNCTION("""COMPUTED_VALUE"""),"20")</f>
        <v>20</v>
      </c>
      <c r="D246" s="15" t="str">
        <f>IFERROR(__xludf.DUMMYFUNCTION("""COMPUTED_VALUE"""),"92")</f>
        <v>92</v>
      </c>
      <c r="E246" s="15" t="str">
        <f>IFERROR(__xludf.DUMMYFUNCTION("""COMPUTED_VALUE"""),"25")</f>
        <v>25</v>
      </c>
      <c r="F246" s="17" t="str">
        <f>IFERROR(__xludf.DUMMYFUNCTION("""COMPUTED_VALUE"""),"https://www.themeateater.com/wired-to-hunt/whitetail-hunting/how-to-use-a-doe-decoy-during-the-rut")</f>
        <v>https://www.themeateater.com/wired-to-hunt/whitetail-hunting/how-to-use-a-doe-decoy-during-the-rut</v>
      </c>
      <c r="G246" s="17" t="str">
        <f>IFERROR(__xludf.DUMMYFUNCTION("""COMPUTED_VALUE"""),"https://realtree.com/deer-hunting/articles/how-to-decoy-a-buck")</f>
        <v>https://realtree.com/deer-hunting/articles/how-to-decoy-a-buck</v>
      </c>
      <c r="H246" s="17" t="str">
        <f>IFERROR(__xludf.DUMMYFUNCTION("""COMPUTED_VALUE"""),"https://www.wideopenspaces.com/deer-decoys-top-options/")</f>
        <v>https://www.wideopenspaces.com/deer-decoys-top-options/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5" t="str">
        <f>IFERROR(__xludf.DUMMYFUNCTION("""COMPUTED_VALUE"""),"aging deer by teeth")</f>
        <v>aging deer by teeth</v>
      </c>
      <c r="B247" s="15" t="str">
        <f>IFERROR(__xludf.DUMMYFUNCTION("""COMPUTED_VALUE"""),"1300")</f>
        <v>1300</v>
      </c>
      <c r="C247" s="15" t="str">
        <f>IFERROR(__xludf.DUMMYFUNCTION("""COMPUTED_VALUE"""),"20")</f>
        <v>20</v>
      </c>
      <c r="D247" s="15" t="str">
        <f>IFERROR(__xludf.DUMMYFUNCTION("""COMPUTED_VALUE"""),"83")</f>
        <v>83</v>
      </c>
      <c r="E247" s="15" t="str">
        <f>IFERROR(__xludf.DUMMYFUNCTION("""COMPUTED_VALUE"""),"30")</f>
        <v>30</v>
      </c>
      <c r="F247" s="17" t="str">
        <f>IFERROR(__xludf.DUMMYFUNCTION("""COMPUTED_VALUE"""),"https://www.themeateater.com/wired-to-hunt/whitetail-management/the-big-fat-cementum-aging-tooth-test-how-accurate-is-it-really")</f>
        <v>https://www.themeateater.com/wired-to-hunt/whitetail-management/the-big-fat-cementum-aging-tooth-test-how-accurate-is-it-really</v>
      </c>
      <c r="G247" s="17" t="str">
        <f>IFERROR(__xludf.DUMMYFUNCTION("""COMPUTED_VALUE"""),"https://realtree.com/deer-hunting/articles/really-how-old-is-that-buck")</f>
        <v>https://realtree.com/deer-hunting/articles/really-how-old-is-that-buck</v>
      </c>
      <c r="H247" s="17" t="str">
        <f>IFERROR(__xludf.DUMMYFUNCTION("""COMPUTED_VALUE"""),"https://www.wideopenspaces.com/tell-age-deer-pics/")</f>
        <v>https://www.wideopenspaces.com/tell-age-deer-pics/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5" t="str">
        <f>IFERROR(__xludf.DUMMYFUNCTION("""COMPUTED_VALUE"""),"a deer")</f>
        <v>a deer</v>
      </c>
      <c r="B248" s="15" t="str">
        <f>IFERROR(__xludf.DUMMYFUNCTION("""COMPUTED_VALUE"""),"1000")</f>
        <v>1000</v>
      </c>
      <c r="C248" s="15" t="str">
        <f>IFERROR(__xludf.DUMMYFUNCTION("""COMPUTED_VALUE"""),"20")</f>
        <v>20</v>
      </c>
      <c r="D248" s="15" t="str">
        <f>IFERROR(__xludf.DUMMYFUNCTION("""COMPUTED_VALUE"""),"53")</f>
        <v>53</v>
      </c>
      <c r="E248" s="15" t="str">
        <f>IFERROR(__xludf.DUMMYFUNCTION("""COMPUTED_VALUE"""),"Not ranking")</f>
        <v>Not ranking</v>
      </c>
      <c r="F248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248" s="17" t="str">
        <f>IFERROR(__xludf.DUMMYFUNCTION("""COMPUTED_VALUE"""),"https://realtree.com/timber-2-table-wild-game-recipes/how-to-skin-a-deer-in-6-steps")</f>
        <v>https://realtree.com/timber-2-table-wild-game-recipes/how-to-skin-a-deer-in-6-steps</v>
      </c>
      <c r="H248" s="18" t="str">
        <f>IFERROR(__xludf.DUMMYFUNCTION("""COMPUTED_VALUE"""),"Not ranking")</f>
        <v>Not ranking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5" t="str">
        <f>IFERROR(__xludf.DUMMYFUNCTION("""COMPUTED_VALUE"""),"deer decoys")</f>
        <v>deer decoys</v>
      </c>
      <c r="B249" s="15" t="str">
        <f>IFERROR(__xludf.DUMMYFUNCTION("""COMPUTED_VALUE"""),"1000")</f>
        <v>1000</v>
      </c>
      <c r="C249" s="15" t="str">
        <f>IFERROR(__xludf.DUMMYFUNCTION("""COMPUTED_VALUE"""),"20")</f>
        <v>20</v>
      </c>
      <c r="D249" s="15" t="str">
        <f>IFERROR(__xludf.DUMMYFUNCTION("""COMPUTED_VALUE"""),"19")</f>
        <v>19</v>
      </c>
      <c r="E249" s="15" t="str">
        <f>IFERROR(__xludf.DUMMYFUNCTION("""COMPUTED_VALUE"""),"45")</f>
        <v>45</v>
      </c>
      <c r="F249" s="17" t="str">
        <f>IFERROR(__xludf.DUMMYFUNCTION("""COMPUTED_VALUE"""),"https://www.themeateater.com/wired-to-hunt/whitetail-hunting/how-to-use-a-doe-decoy-during-the-rut")</f>
        <v>https://www.themeateater.com/wired-to-hunt/whitetail-hunting/how-to-use-a-doe-decoy-during-the-rut</v>
      </c>
      <c r="G249" s="17" t="str">
        <f>IFERROR(__xludf.DUMMYFUNCTION("""COMPUTED_VALUE"""),"https://realtree.com/deer-hunting/articles/10-pro-tips-for-deer-hunting-with-decoys")</f>
        <v>https://realtree.com/deer-hunting/articles/10-pro-tips-for-deer-hunting-with-decoys</v>
      </c>
      <c r="H249" s="17" t="str">
        <f>IFERROR(__xludf.DUMMYFUNCTION("""COMPUTED_VALUE"""),"https://www.wideopenspaces.com/do-deer-decoys-work-these-are-a-few-situations-where-they-do-and-some-where-they-dont/")</f>
        <v>https://www.wideopenspaces.com/do-deer-decoys-work-these-are-a-few-situations-where-they-do-and-some-where-they-dont/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5" t="str">
        <f>IFERROR(__xludf.DUMMYFUNCTION("""COMPUTED_VALUE"""),"deer shoulder mounts")</f>
        <v>deer shoulder mounts</v>
      </c>
      <c r="B250" s="15" t="str">
        <f>IFERROR(__xludf.DUMMYFUNCTION("""COMPUTED_VALUE"""),"720")</f>
        <v>720</v>
      </c>
      <c r="C250" s="15" t="str">
        <f>IFERROR(__xludf.DUMMYFUNCTION("""COMPUTED_VALUE"""),"20")</f>
        <v>20</v>
      </c>
      <c r="D250" s="15" t="str">
        <f>IFERROR(__xludf.DUMMYFUNCTION("""COMPUTED_VALUE"""),"55")</f>
        <v>55</v>
      </c>
      <c r="E250" s="15" t="str">
        <f>IFERROR(__xludf.DUMMYFUNCTION("""COMPUTED_VALUE"""),"32")</f>
        <v>32</v>
      </c>
      <c r="F250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250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250" s="17" t="str">
        <f>IFERROR(__xludf.DUMMYFUNCTION("""COMPUTED_VALUE"""),"https://www.wideopenspaces.com/whitetail-wednesday-how-much-do-people-pay-for-shoulder-mounts-in-your-area/")</f>
        <v>https://www.wideopenspaces.com/whitetail-wednesday-how-much-do-people-pay-for-shoulder-mounts-in-your-area/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5" t="str">
        <f>IFERROR(__xludf.DUMMYFUNCTION("""COMPUTED_VALUE"""),"what is a female deer called")</f>
        <v>what is a female deer called</v>
      </c>
      <c r="B251" s="15" t="str">
        <f>IFERROR(__xludf.DUMMYFUNCTION("""COMPUTED_VALUE"""),"720")</f>
        <v>720</v>
      </c>
      <c r="C251" s="15" t="str">
        <f>IFERROR(__xludf.DUMMYFUNCTION("""COMPUTED_VALUE"""),"20")</f>
        <v>20</v>
      </c>
      <c r="D251" s="15" t="str">
        <f>IFERROR(__xludf.DUMMYFUNCTION("""COMPUTED_VALUE"""),"Not ranking")</f>
        <v>Not ranking</v>
      </c>
      <c r="E251" s="15" t="str">
        <f>IFERROR(__xludf.DUMMYFUNCTION("""COMPUTED_VALUE"""),"Not ranking")</f>
        <v>Not ranking</v>
      </c>
      <c r="F251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251" s="18" t="str">
        <f>IFERROR(__xludf.DUMMYFUNCTION("""COMPUTED_VALUE"""),"Not ranking")</f>
        <v>Not ranking</v>
      </c>
      <c r="H251" s="18" t="str">
        <f>IFERROR(__xludf.DUMMYFUNCTION("""COMPUTED_VALUE"""),"Not ranking")</f>
        <v>Not ranking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5" t="str">
        <f>IFERROR(__xludf.DUMMYFUNCTION("""COMPUTED_VALUE"""),"deer hunting calibers")</f>
        <v>deer hunting calibers</v>
      </c>
      <c r="B252" s="15" t="str">
        <f>IFERROR(__xludf.DUMMYFUNCTION("""COMPUTED_VALUE"""),"590")</f>
        <v>590</v>
      </c>
      <c r="C252" s="15" t="str">
        <f>IFERROR(__xludf.DUMMYFUNCTION("""COMPUTED_VALUE"""),"20")</f>
        <v>20</v>
      </c>
      <c r="D252" s="15" t="str">
        <f>IFERROR(__xludf.DUMMYFUNCTION("""COMPUTED_VALUE"""),"40")</f>
        <v>40</v>
      </c>
      <c r="E252" s="15" t="str">
        <f>IFERROR(__xludf.DUMMYFUNCTION("""COMPUTED_VALUE"""),"42")</f>
        <v>42</v>
      </c>
      <c r="F252" s="17" t="str">
        <f>IFERROR(__xludf.DUMMYFUNCTION("""COMPUTED_VALUE"""),"https://www.themeateater.com/wired-to-hunt/whitetail-hunting-gear/5-best-whitetail-cartridges")</f>
        <v>https://www.themeateater.com/wired-to-hunt/whitetail-hunting-gear/5-best-whitetail-cartridges</v>
      </c>
      <c r="G252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252" s="17" t="str">
        <f>IFERROR(__xludf.DUMMYFUNCTION("""COMPUTED_VALUE"""),"https://www.wideopenspaces.com/new-deer-hunting-calibers/")</f>
        <v>https://www.wideopenspaces.com/new-deer-hunting-calibers/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5" t="str">
        <f>IFERROR(__xludf.DUMMYFUNCTION("""COMPUTED_VALUE"""),"how to cook deer sausage")</f>
        <v>how to cook deer sausage</v>
      </c>
      <c r="B253" s="15" t="str">
        <f>IFERROR(__xludf.DUMMYFUNCTION("""COMPUTED_VALUE"""),"590")</f>
        <v>590</v>
      </c>
      <c r="C253" s="15" t="str">
        <f>IFERROR(__xludf.DUMMYFUNCTION("""COMPUTED_VALUE"""),"20")</f>
        <v>20</v>
      </c>
      <c r="D253" s="15" t="str">
        <f>IFERROR(__xludf.DUMMYFUNCTION("""COMPUTED_VALUE"""),"64")</f>
        <v>64</v>
      </c>
      <c r="E253" s="15" t="str">
        <f>IFERROR(__xludf.DUMMYFUNCTION("""COMPUTED_VALUE"""),"Not ranking")</f>
        <v>Not ranking</v>
      </c>
      <c r="F253" s="17" t="str">
        <f>IFERROR(__xludf.DUMMYFUNCTION("""COMPUTED_VALUE"""),"https://www.themeateater.com/cook/recipes/the-only-venison-breakfast-sausage-recipe-you-need")</f>
        <v>https://www.themeateater.com/cook/recipes/the-only-venison-breakfast-sausage-recipe-you-need</v>
      </c>
      <c r="G253" s="17" t="str">
        <f>IFERROR(__xludf.DUMMYFUNCTION("""COMPUTED_VALUE"""),"https://realtree.com/timber-2-table-wild-game-recipes/easy-deer-camp-red-beans-and-rice-with-venison-and-sausage")</f>
        <v>https://realtree.com/timber-2-table-wild-game-recipes/easy-deer-camp-red-beans-and-rice-with-venison-and-sausage</v>
      </c>
      <c r="H253" s="18" t="str">
        <f>IFERROR(__xludf.DUMMYFUNCTION("""COMPUTED_VALUE"""),"Not ranking")</f>
        <v>Not ranking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5" t="str">
        <f>IFERROR(__xludf.DUMMYFUNCTION("""COMPUTED_VALUE"""),"deer recipes")</f>
        <v>deer recipes</v>
      </c>
      <c r="B254" s="15" t="str">
        <f>IFERROR(__xludf.DUMMYFUNCTION("""COMPUTED_VALUE"""),"1600")</f>
        <v>1600</v>
      </c>
      <c r="C254" s="15" t="str">
        <f>IFERROR(__xludf.DUMMYFUNCTION("""COMPUTED_VALUE"""),"21")</f>
        <v>21</v>
      </c>
      <c r="D254" s="15" t="str">
        <f>IFERROR(__xludf.DUMMYFUNCTION("""COMPUTED_VALUE"""),"20")</f>
        <v>20</v>
      </c>
      <c r="E254" s="15" t="str">
        <f>IFERROR(__xludf.DUMMYFUNCTION("""COMPUTED_VALUE"""),"Not ranking")</f>
        <v>Not ranking</v>
      </c>
      <c r="F254" s="17" t="str">
        <f>IFERROR(__xludf.DUMMYFUNCTION("""COMPUTED_VALUE"""),"https://www.themeateater.com/recipes/ingredients/venison")</f>
        <v>https://www.themeateater.com/recipes/ingredients/venison</v>
      </c>
      <c r="G254" s="17" t="str">
        <f>IFERROR(__xludf.DUMMYFUNCTION("""COMPUTED_VALUE"""),"https://realtree.com/timber-2-table-wild-game-recipes/venison-recipes")</f>
        <v>https://realtree.com/timber-2-table-wild-game-recipes/venison-recipes</v>
      </c>
      <c r="H254" s="18" t="str">
        <f>IFERROR(__xludf.DUMMYFUNCTION("""COMPUTED_VALUE"""),"Not ranking")</f>
        <v>Not ranking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5" t="str">
        <f>IFERROR(__xludf.DUMMYFUNCTION("""COMPUTED_VALUE"""),"deer movement")</f>
        <v>deer movement</v>
      </c>
      <c r="B255" s="15" t="str">
        <f>IFERROR(__xludf.DUMMYFUNCTION("""COMPUTED_VALUE"""),"1000")</f>
        <v>1000</v>
      </c>
      <c r="C255" s="15" t="str">
        <f>IFERROR(__xludf.DUMMYFUNCTION("""COMPUTED_VALUE"""),"21")</f>
        <v>21</v>
      </c>
      <c r="D255" s="15" t="str">
        <f>IFERROR(__xludf.DUMMYFUNCTION("""COMPUTED_VALUE"""),"51")</f>
        <v>51</v>
      </c>
      <c r="E255" s="15" t="str">
        <f>IFERROR(__xludf.DUMMYFUNCTION("""COMPUTED_VALUE"""),"42")</f>
        <v>42</v>
      </c>
      <c r="F255" s="17" t="str">
        <f>IFERROR(__xludf.DUMMYFUNCTION("""COMPUTED_VALUE"""),"https://www.themeateater.com/wired-to-hunt/whitetail-hunting/how-weather-impacts-late-season-deer-movement")</f>
        <v>https://www.themeateater.com/wired-to-hunt/whitetail-hunting/how-weather-impacts-late-season-deer-movement</v>
      </c>
      <c r="G255" s="17" t="str">
        <f>IFERROR(__xludf.DUMMYFUNCTION("""COMPUTED_VALUE"""),"https://realtree.com/deer-hunting/articles/10-best-times-to-deer-hunt")</f>
        <v>https://realtree.com/deer-hunting/articles/10-best-times-to-deer-hunt</v>
      </c>
      <c r="H255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5" t="str">
        <f>IFERROR(__xludf.DUMMYFUNCTION("""COMPUTED_VALUE"""),"deer hoof print")</f>
        <v>deer hoof print</v>
      </c>
      <c r="B256" s="15" t="str">
        <f>IFERROR(__xludf.DUMMYFUNCTION("""COMPUTED_VALUE"""),"720")</f>
        <v>720</v>
      </c>
      <c r="C256" s="15" t="str">
        <f>IFERROR(__xludf.DUMMYFUNCTION("""COMPUTED_VALUE"""),"21")</f>
        <v>21</v>
      </c>
      <c r="D256" s="15" t="str">
        <f>IFERROR(__xludf.DUMMYFUNCTION("""COMPUTED_VALUE"""),"Not ranking")</f>
        <v>Not ranking</v>
      </c>
      <c r="E256" s="15" t="str">
        <f>IFERROR(__xludf.DUMMYFUNCTION("""COMPUTED_VALUE"""),"Not ranking")</f>
        <v>Not ranking</v>
      </c>
      <c r="F256" s="17" t="str">
        <f>IFERROR(__xludf.DUMMYFUNCTION("""COMPUTED_VALUE"""),"https://www.themeateater.com/wired-to-hunt/whitetail-scouting/what-you-need-to-know-about-deer-tracks")</f>
        <v>https://www.themeateater.com/wired-to-hunt/whitetail-scouting/what-you-need-to-know-about-deer-tracks</v>
      </c>
      <c r="G256" s="18" t="str">
        <f>IFERROR(__xludf.DUMMYFUNCTION("""COMPUTED_VALUE"""),"Not ranking")</f>
        <v>Not ranking</v>
      </c>
      <c r="H256" s="18" t="str">
        <f>IFERROR(__xludf.DUMMYFUNCTION("""COMPUTED_VALUE"""),"Not ranking")</f>
        <v>Not ranking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5" t="str">
        <f>IFERROR(__xludf.DUMMYFUNCTION("""COMPUTED_VALUE"""),"deer hunting clothes")</f>
        <v>deer hunting clothes</v>
      </c>
      <c r="B257" s="15" t="str">
        <f>IFERROR(__xludf.DUMMYFUNCTION("""COMPUTED_VALUE"""),"720")</f>
        <v>720</v>
      </c>
      <c r="C257" s="15" t="str">
        <f>IFERROR(__xludf.DUMMYFUNCTION("""COMPUTED_VALUE"""),"21")</f>
        <v>21</v>
      </c>
      <c r="D257" s="15" t="str">
        <f>IFERROR(__xludf.DUMMYFUNCTION("""COMPUTED_VALUE"""),"82")</f>
        <v>82</v>
      </c>
      <c r="E257" s="15" t="str">
        <f>IFERROR(__xludf.DUMMYFUNCTION("""COMPUTED_VALUE"""),"Not ranking")</f>
        <v>Not ranking</v>
      </c>
      <c r="F257" s="17" t="str">
        <f>IFERROR(__xludf.DUMMYFUNCTION("""COMPUTED_VALUE"""),"https://www.themeateater.com/gear/gear-hunt/the-best-material-for-hunting-clothes")</f>
        <v>https://www.themeateater.com/gear/gear-hunt/the-best-material-for-hunting-clothes</v>
      </c>
      <c r="G257" s="17" t="str">
        <f>IFERROR(__xludf.DUMMYFUNCTION("""COMPUTED_VALUE"""),"https://realtree.com/realtree-edge")</f>
        <v>https://realtree.com/realtree-edge</v>
      </c>
      <c r="H257" s="18" t="str">
        <f>IFERROR(__xludf.DUMMYFUNCTION("""COMPUTED_VALUE"""),"Not ranking")</f>
        <v>Not ranking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5" t="str">
        <f>IFERROR(__xludf.DUMMYFUNCTION("""COMPUTED_VALUE"""),"fighting deer")</f>
        <v>fighting deer</v>
      </c>
      <c r="B258" s="15" t="str">
        <f>IFERROR(__xludf.DUMMYFUNCTION("""COMPUTED_VALUE"""),"720")</f>
        <v>720</v>
      </c>
      <c r="C258" s="15" t="str">
        <f>IFERROR(__xludf.DUMMYFUNCTION("""COMPUTED_VALUE"""),"21")</f>
        <v>21</v>
      </c>
      <c r="D258" s="15" t="str">
        <f>IFERROR(__xludf.DUMMYFUNCTION("""COMPUTED_VALUE"""),"Not ranking")</f>
        <v>Not ranking</v>
      </c>
      <c r="E258" s="15" t="str">
        <f>IFERROR(__xludf.DUMMYFUNCTION("""COMPUTED_VALUE"""),"Not ranking")</f>
        <v>Not ranking</v>
      </c>
      <c r="F258" s="17" t="str">
        <f>IFERROR(__xludf.DUMMYFUNCTION("""COMPUTED_VALUE"""),"https://www.themeateater.com/hunt/whitetail-deer/video-whitetail-buck-fights-angus-bull")</f>
        <v>https://www.themeateater.com/hunt/whitetail-deer/video-whitetail-buck-fights-angus-bull</v>
      </c>
      <c r="G258" s="18" t="str">
        <f>IFERROR(__xludf.DUMMYFUNCTION("""COMPUTED_VALUE"""),"Not ranking")</f>
        <v>Not ranking</v>
      </c>
      <c r="H258" s="18" t="str">
        <f>IFERROR(__xludf.DUMMYFUNCTION("""COMPUTED_VALUE"""),"Not ranking")</f>
        <v>Not ranking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5" t="str">
        <f>IFERROR(__xludf.DUMMYFUNCTION("""COMPUTED_VALUE"""),"mule deer vs elk")</f>
        <v>mule deer vs elk</v>
      </c>
      <c r="B259" s="15" t="str">
        <f>IFERROR(__xludf.DUMMYFUNCTION("""COMPUTED_VALUE"""),"590")</f>
        <v>590</v>
      </c>
      <c r="C259" s="15" t="str">
        <f>IFERROR(__xludf.DUMMYFUNCTION("""COMPUTED_VALUE"""),"21")</f>
        <v>21</v>
      </c>
      <c r="D259" s="15" t="str">
        <f>IFERROR(__xludf.DUMMYFUNCTION("""COMPUTED_VALUE"""),"34")</f>
        <v>34</v>
      </c>
      <c r="E259" s="15" t="str">
        <f>IFERROR(__xludf.DUMMYFUNCTION("""COMPUTED_VALUE"""),"Not ranking")</f>
        <v>Not ranking</v>
      </c>
      <c r="F259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259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259" s="18" t="str">
        <f>IFERROR(__xludf.DUMMYFUNCTION("""COMPUTED_VALUE"""),"Not ranking")</f>
        <v>Not ranking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5" t="str">
        <f>IFERROR(__xludf.DUMMYFUNCTION("""COMPUTED_VALUE"""),"colorado mule deer hunting")</f>
        <v>colorado mule deer hunting</v>
      </c>
      <c r="B260" s="15" t="str">
        <f>IFERROR(__xludf.DUMMYFUNCTION("""COMPUTED_VALUE"""),"1300")</f>
        <v>1300</v>
      </c>
      <c r="C260" s="15" t="str">
        <f>IFERROR(__xludf.DUMMYFUNCTION("""COMPUTED_VALUE"""),"22")</f>
        <v>22</v>
      </c>
      <c r="D260" s="15" t="str">
        <f>IFERROR(__xludf.DUMMYFUNCTION("""COMPUTED_VALUE"""),"Not ranking")</f>
        <v>Not ranking</v>
      </c>
      <c r="E260" s="15" t="str">
        <f>IFERROR(__xludf.DUMMYFUNCTION("""COMPUTED_VALUE"""),"Not ranking")</f>
        <v>Not ranking</v>
      </c>
      <c r="F260" s="17" t="str">
        <f>IFERROR(__xludf.DUMMYFUNCTION("""COMPUTED_VALUE"""),"https://www.themeateater.com/watch/6252076018001/s2-e03-big-beautiful-bucks-colorado-mule-deer")</f>
        <v>https://www.themeateater.com/watch/6252076018001/s2-e03-big-beautiful-bucks-colorado-mule-deer</v>
      </c>
      <c r="G260" s="18" t="str">
        <f>IFERROR(__xludf.DUMMYFUNCTION("""COMPUTED_VALUE"""),"Not ranking")</f>
        <v>Not ranking</v>
      </c>
      <c r="H260" s="18" t="str">
        <f>IFERROR(__xludf.DUMMYFUNCTION("""COMPUTED_VALUE"""),"Not ranking")</f>
        <v>Not ranking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5" t="str">
        <f>IFERROR(__xludf.DUMMYFUNCTION("""COMPUTED_VALUE"""),"wisconsin deer hunting hours")</f>
        <v>wisconsin deer hunting hours</v>
      </c>
      <c r="B261" s="15" t="str">
        <f>IFERROR(__xludf.DUMMYFUNCTION("""COMPUTED_VALUE"""),"1300")</f>
        <v>1300</v>
      </c>
      <c r="C261" s="15" t="str">
        <f>IFERROR(__xludf.DUMMYFUNCTION("""COMPUTED_VALUE"""),"22")</f>
        <v>22</v>
      </c>
      <c r="D261" s="15" t="str">
        <f>IFERROR(__xludf.DUMMYFUNCTION("""COMPUTED_VALUE"""),"Not ranking")</f>
        <v>Not ranking</v>
      </c>
      <c r="E261" s="15" t="str">
        <f>IFERROR(__xludf.DUMMYFUNCTION("""COMPUTED_VALUE"""),"41")</f>
        <v>41</v>
      </c>
      <c r="F261" s="17" t="str">
        <f>IFERROR(__xludf.DUMMYFUNCTION("""COMPUTED_VALUE"""),"https://www.themeateater.com/hunt/whitetail-deer/americas-worst-deer-hunting-law-could-change-next-week")</f>
        <v>https://www.themeateater.com/hunt/whitetail-deer/americas-worst-deer-hunting-law-could-change-next-week</v>
      </c>
      <c r="G261" s="18" t="str">
        <f>IFERROR(__xludf.DUMMYFUNCTION("""COMPUTED_VALUE"""),"Not ranking")</f>
        <v>Not ranking</v>
      </c>
      <c r="H261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5" t="str">
        <f>IFERROR(__xludf.DUMMYFUNCTION("""COMPUTED_VALUE"""),"deer movement forecast")</f>
        <v>deer movement forecast</v>
      </c>
      <c r="B262" s="15" t="str">
        <f>IFERROR(__xludf.DUMMYFUNCTION("""COMPUTED_VALUE"""),"720")</f>
        <v>720</v>
      </c>
      <c r="C262" s="15" t="str">
        <f>IFERROR(__xludf.DUMMYFUNCTION("""COMPUTED_VALUE"""),"22")</f>
        <v>22</v>
      </c>
      <c r="D262" s="15" t="str">
        <f>IFERROR(__xludf.DUMMYFUNCTION("""COMPUTED_VALUE"""),"5")</f>
        <v>5</v>
      </c>
      <c r="E262" s="15" t="str">
        <f>IFERROR(__xludf.DUMMYFUNCTION("""COMPUTED_VALUE"""),"74")</f>
        <v>74</v>
      </c>
      <c r="F262" s="17" t="str">
        <f>IFERROR(__xludf.DUMMYFUNCTION("""COMPUTED_VALUE"""),"https://www.themeateater.com/watch/6280954363001/s1-e25-does-wind-actually-impact-deer-movement")</f>
        <v>https://www.themeateater.com/watch/6280954363001/s1-e25-does-wind-actually-impact-deer-movement</v>
      </c>
      <c r="G262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262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5" t="str">
        <f>IFERROR(__xludf.DUMMYFUNCTION("""COMPUTED_VALUE"""),"how much meat in a deer")</f>
        <v>how much meat in a deer</v>
      </c>
      <c r="B263" s="15" t="str">
        <f>IFERROR(__xludf.DUMMYFUNCTION("""COMPUTED_VALUE"""),"720")</f>
        <v>720</v>
      </c>
      <c r="C263" s="15" t="str">
        <f>IFERROR(__xludf.DUMMYFUNCTION("""COMPUTED_VALUE"""),"22")</f>
        <v>22</v>
      </c>
      <c r="D263" s="15" t="str">
        <f>IFERROR(__xludf.DUMMYFUNCTION("""COMPUTED_VALUE"""),"40")</f>
        <v>40</v>
      </c>
      <c r="E263" s="15" t="str">
        <f>IFERROR(__xludf.DUMMYFUNCTION("""COMPUTED_VALUE"""),"Not ranking")</f>
        <v>Not ranking</v>
      </c>
      <c r="F263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263" s="17" t="str">
        <f>IFERROR(__xludf.DUMMYFUNCTION("""COMPUTED_VALUE"""),"https://realtree.com/timber-2-table-articles/meat-hunter-s-rules-for-shooting-the-right-deer")</f>
        <v>https://realtree.com/timber-2-table-articles/meat-hunter-s-rules-for-shooting-the-right-deer</v>
      </c>
      <c r="H263" s="18" t="str">
        <f>IFERROR(__xludf.DUMMYFUNCTION("""COMPUTED_VALUE"""),"Not ranking")</f>
        <v>Not ranking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5" t="str">
        <f>IFERROR(__xludf.DUMMYFUNCTION("""COMPUTED_VALUE"""),"nebraska mule deer hunting")</f>
        <v>nebraska mule deer hunting</v>
      </c>
      <c r="B264" s="15" t="str">
        <f>IFERROR(__xludf.DUMMYFUNCTION("""COMPUTED_VALUE"""),"720")</f>
        <v>720</v>
      </c>
      <c r="C264" s="15" t="str">
        <f>IFERROR(__xludf.DUMMYFUNCTION("""COMPUTED_VALUE"""),"22")</f>
        <v>22</v>
      </c>
      <c r="D264" s="15" t="str">
        <f>IFERROR(__xludf.DUMMYFUNCTION("""COMPUTED_VALUE"""),"Not ranking")</f>
        <v>Not ranking</v>
      </c>
      <c r="E264" s="15" t="str">
        <f>IFERROR(__xludf.DUMMYFUNCTION("""COMPUTED_VALUE"""),"62")</f>
        <v>62</v>
      </c>
      <c r="F264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264" s="18" t="str">
        <f>IFERROR(__xludf.DUMMYFUNCTION("""COMPUTED_VALUE"""),"Not ranking")</f>
        <v>Not ranking</v>
      </c>
      <c r="H264" s="17" t="str">
        <f>IFERROR(__xludf.DUMMYFUNCTION("""COMPUTED_VALUE"""),"https://www.wideopenspaces.com/best-mule-deer-hunting-states/")</f>
        <v>https://www.wideopenspaces.com/best-mule-deer-hunting-states/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5" t="str">
        <f>IFERROR(__xludf.DUMMYFUNCTION("""COMPUTED_VALUE"""),"what does deer poop look like")</f>
        <v>what does deer poop look like</v>
      </c>
      <c r="B265" s="15" t="str">
        <f>IFERROR(__xludf.DUMMYFUNCTION("""COMPUTED_VALUE"""),"3600")</f>
        <v>3600</v>
      </c>
      <c r="C265" s="15" t="str">
        <f>IFERROR(__xludf.DUMMYFUNCTION("""COMPUTED_VALUE"""),"23")</f>
        <v>23</v>
      </c>
      <c r="D265" s="15" t="str">
        <f>IFERROR(__xludf.DUMMYFUNCTION("""COMPUTED_VALUE"""),"8")</f>
        <v>8</v>
      </c>
      <c r="E265" s="15" t="str">
        <f>IFERROR(__xludf.DUMMYFUNCTION("""COMPUTED_VALUE"""),"9")</f>
        <v>9</v>
      </c>
      <c r="F265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265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265" s="17" t="str">
        <f>IFERROR(__xludf.DUMMYFUNCTION("""COMPUTED_VALUE"""),"https://www.wideopenspaces.com/deer-poop-identification/")</f>
        <v>https://www.wideopenspaces.com/deer-poop-identification/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5" t="str">
        <f>IFERROR(__xludf.DUMMYFUNCTION("""COMPUTED_VALUE"""),"deer bucks")</f>
        <v>deer bucks</v>
      </c>
      <c r="B266" s="15" t="str">
        <f>IFERROR(__xludf.DUMMYFUNCTION("""COMPUTED_VALUE"""),"1000")</f>
        <v>1000</v>
      </c>
      <c r="C266" s="15" t="str">
        <f>IFERROR(__xludf.DUMMYFUNCTION("""COMPUTED_VALUE"""),"23")</f>
        <v>23</v>
      </c>
      <c r="D266" s="15" t="str">
        <f>IFERROR(__xludf.DUMMYFUNCTION("""COMPUTED_VALUE"""),"21")</f>
        <v>21</v>
      </c>
      <c r="E266" s="15" t="str">
        <f>IFERROR(__xludf.DUMMYFUNCTION("""COMPUTED_VALUE"""),"Not ranking")</f>
        <v>Not ranking</v>
      </c>
      <c r="F266" s="17" t="str">
        <f>IFERROR(__xludf.DUMMYFUNCTION("""COMPUTED_VALUE"""),"https://www.themeateater.com/hunt/big-game/why-are-bucks-always-last-in-line")</f>
        <v>https://www.themeateater.com/hunt/big-game/why-are-bucks-always-last-in-line</v>
      </c>
      <c r="G266" s="17" t="str">
        <f>IFERROR(__xludf.DUMMYFUNCTION("""COMPUTED_VALUE"""),"https://realtree.com/brow-tines-and-backstrap/4-things-to-know-about-whitetail-buck-bachelor-groups")</f>
        <v>https://realtree.com/brow-tines-and-backstrap/4-things-to-know-about-whitetail-buck-bachelor-groups</v>
      </c>
      <c r="H266" s="18" t="str">
        <f>IFERROR(__xludf.DUMMYFUNCTION("""COMPUTED_VALUE"""),"Not ranking")</f>
        <v>Not ranking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5" t="str">
        <f>IFERROR(__xludf.DUMMYFUNCTION("""COMPUTED_VALUE"""),"best deer jerky recipe")</f>
        <v>best deer jerky recipe</v>
      </c>
      <c r="B267" s="15" t="str">
        <f>IFERROR(__xludf.DUMMYFUNCTION("""COMPUTED_VALUE"""),"720")</f>
        <v>720</v>
      </c>
      <c r="C267" s="15" t="str">
        <f>IFERROR(__xludf.DUMMYFUNCTION("""COMPUTED_VALUE"""),"23")</f>
        <v>23</v>
      </c>
      <c r="D267" s="15" t="str">
        <f>IFERROR(__xludf.DUMMYFUNCTION("""COMPUTED_VALUE"""),"36")</f>
        <v>36</v>
      </c>
      <c r="E267" s="15" t="str">
        <f>IFERROR(__xludf.DUMMYFUNCTION("""COMPUTED_VALUE"""),"8")</f>
        <v>8</v>
      </c>
      <c r="F267" s="17" t="str">
        <f>IFERROR(__xludf.DUMMYFUNCTION("""COMPUTED_VALUE"""),"https://www.themeateater.com/cook/recipes/smoked-venison-jerky-recipe")</f>
        <v>https://www.themeateater.com/cook/recipes/smoked-venison-jerky-recipe</v>
      </c>
      <c r="G267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267" s="17" t="str">
        <f>IFERROR(__xludf.DUMMYFUNCTION("""COMPUTED_VALUE"""),"https://www.wideopenspaces.com/venison-jerky-recipes/")</f>
        <v>https://www.wideopenspaces.com/venison-jerky-recipes/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5" t="str">
        <f>IFERROR(__xludf.DUMMYFUNCTION("""COMPUTED_VALUE"""),"homemade deer blinds")</f>
        <v>homemade deer blinds</v>
      </c>
      <c r="B268" s="15" t="str">
        <f>IFERROR(__xludf.DUMMYFUNCTION("""COMPUTED_VALUE"""),"720")</f>
        <v>720</v>
      </c>
      <c r="C268" s="15" t="str">
        <f>IFERROR(__xludf.DUMMYFUNCTION("""COMPUTED_VALUE"""),"23")</f>
        <v>23</v>
      </c>
      <c r="D268" s="15" t="str">
        <f>IFERROR(__xludf.DUMMYFUNCTION("""COMPUTED_VALUE"""),"Not ranking")</f>
        <v>Not ranking</v>
      </c>
      <c r="E268" s="15" t="str">
        <f>IFERROR(__xludf.DUMMYFUNCTION("""COMPUTED_VALUE"""),"21")</f>
        <v>21</v>
      </c>
      <c r="F268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268" s="18" t="str">
        <f>IFERROR(__xludf.DUMMYFUNCTION("""COMPUTED_VALUE"""),"Not ranking")</f>
        <v>Not ranking</v>
      </c>
      <c r="H268" s="17" t="str">
        <f>IFERROR(__xludf.DUMMYFUNCTION("""COMPUTED_VALUE"""),"https://www.wideopenspaces.com/8-homemade-hunting-blinds-pics/")</f>
        <v>https://www.wideopenspaces.com/8-homemade-hunting-blinds-pics/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5" t="str">
        <f>IFERROR(__xludf.DUMMYFUNCTION("""COMPUTED_VALUE"""),"ground blinds for deer hunting")</f>
        <v>ground blinds for deer hunting</v>
      </c>
      <c r="B269" s="15" t="str">
        <f>IFERROR(__xludf.DUMMYFUNCTION("""COMPUTED_VALUE"""),"590")</f>
        <v>590</v>
      </c>
      <c r="C269" s="15" t="str">
        <f>IFERROR(__xludf.DUMMYFUNCTION("""COMPUTED_VALUE"""),"23")</f>
        <v>23</v>
      </c>
      <c r="D269" s="15" t="str">
        <f>IFERROR(__xludf.DUMMYFUNCTION("""COMPUTED_VALUE"""),"Not ranking")</f>
        <v>Not ranking</v>
      </c>
      <c r="E269" s="15" t="str">
        <f>IFERROR(__xludf.DUMMYFUNCTION("""COMPUTED_VALUE"""),"49")</f>
        <v>49</v>
      </c>
      <c r="F269" s="17" t="str">
        <f>IFERROR(__xludf.DUMMYFUNCTION("""COMPUTED_VALUE"""),"https://www.themeateater.com/wired-to-hunt/whitetail-scouting/how-to-set-up-a-ground-blind-that-wont-spook-deer")</f>
        <v>https://www.themeateater.com/wired-to-hunt/whitetail-scouting/how-to-set-up-a-ground-blind-that-wont-spook-deer</v>
      </c>
      <c r="G269" s="18" t="str">
        <f>IFERROR(__xludf.DUMMYFUNCTION("""COMPUTED_VALUE"""),"Not ranking")</f>
        <v>Not ranking</v>
      </c>
      <c r="H269" s="17" t="str">
        <f>IFERROR(__xludf.DUMMYFUNCTION("""COMPUTED_VALUE"""),"https://www.wideopenspaces.com/treestand-vs-groundblind-when-and-where-you-should-use-either-one/")</f>
        <v>https://www.wideopenspaces.com/treestand-vs-groundblind-when-and-where-you-should-use-either-one/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5" t="str">
        <f>IFERROR(__xludf.DUMMYFUNCTION("""COMPUTED_VALUE"""),"how long is deer meat good in the freezer")</f>
        <v>how long is deer meat good in the freezer</v>
      </c>
      <c r="B270" s="15" t="str">
        <f>IFERROR(__xludf.DUMMYFUNCTION("""COMPUTED_VALUE"""),"590")</f>
        <v>590</v>
      </c>
      <c r="C270" s="15" t="str">
        <f>IFERROR(__xludf.DUMMYFUNCTION("""COMPUTED_VALUE"""),"23")</f>
        <v>23</v>
      </c>
      <c r="D270" s="15" t="str">
        <f>IFERROR(__xludf.DUMMYFUNCTION("""COMPUTED_VALUE"""),"24")</f>
        <v>24</v>
      </c>
      <c r="E270" s="15" t="str">
        <f>IFERROR(__xludf.DUMMYFUNCTION("""COMPUTED_VALUE"""),"96")</f>
        <v>96</v>
      </c>
      <c r="F270" s="17" t="str">
        <f>IFERROR(__xludf.DUMMYFUNCTION("""COMPUTED_VALUE"""),"https://www.themeateater.com/cook/butchering-and-processing/best-practices-for-freezing-meat")</f>
        <v>https://www.themeateater.com/cook/butchering-and-processing/best-practices-for-freezing-meat</v>
      </c>
      <c r="G270" s="17" t="str">
        <f>IFERROR(__xludf.DUMMYFUNCTION("""COMPUTED_VALUE"""),"https://realtree.com/timber-2-table-articles/is-that-venison-freezer-burned")</f>
        <v>https://realtree.com/timber-2-table-articles/is-that-venison-freezer-burned</v>
      </c>
      <c r="H270" s="17" t="str">
        <f>IFERROR(__xludf.DUMMYFUNCTION("""COMPUTED_VALUE"""),"https://www.wideopenspaces.com/vacuum-sealing-venison/")</f>
        <v>https://www.wideopenspaces.com/vacuum-sealing-venison/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5" t="str">
        <f>IFERROR(__xludf.DUMMYFUNCTION("""COMPUTED_VALUE"""),"mule deer vs blacktail deer")</f>
        <v>mule deer vs blacktail deer</v>
      </c>
      <c r="B271" s="15" t="str">
        <f>IFERROR(__xludf.DUMMYFUNCTION("""COMPUTED_VALUE"""),"590")</f>
        <v>590</v>
      </c>
      <c r="C271" s="15" t="str">
        <f>IFERROR(__xludf.DUMMYFUNCTION("""COMPUTED_VALUE"""),"23")</f>
        <v>23</v>
      </c>
      <c r="D271" s="15" t="str">
        <f>IFERROR(__xludf.DUMMYFUNCTION("""COMPUTED_VALUE"""),"46")</f>
        <v>46</v>
      </c>
      <c r="E271" s="15" t="str">
        <f>IFERROR(__xludf.DUMMYFUNCTION("""COMPUTED_VALUE"""),"Not ranking")</f>
        <v>Not ranking</v>
      </c>
      <c r="F271" s="17" t="str">
        <f>IFERROR(__xludf.DUMMYFUNCTION("""COMPUTED_VALUE"""),"https://www.themeateater.com/watch/6175627104001/steven-rinella-explains-how-the-mule-deer-species-evolved")</f>
        <v>https://www.themeateater.com/watch/6175627104001/steven-rinella-explains-how-the-mule-deer-species-evolved</v>
      </c>
      <c r="G271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271" s="18" t="str">
        <f>IFERROR(__xludf.DUMMYFUNCTION("""COMPUTED_VALUE"""),"Not ranking")</f>
        <v>Not ranking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5" t="str">
        <f>IFERROR(__xludf.DUMMYFUNCTION("""COMPUTED_VALUE"""),"deer food")</f>
        <v>deer food</v>
      </c>
      <c r="B272" s="15" t="str">
        <f>IFERROR(__xludf.DUMMYFUNCTION("""COMPUTED_VALUE"""),"3600")</f>
        <v>3600</v>
      </c>
      <c r="C272" s="15" t="str">
        <f>IFERROR(__xludf.DUMMYFUNCTION("""COMPUTED_VALUE"""),"24")</f>
        <v>24</v>
      </c>
      <c r="D272" s="15" t="str">
        <f>IFERROR(__xludf.DUMMYFUNCTION("""COMPUTED_VALUE"""),"71")</f>
        <v>71</v>
      </c>
      <c r="E272" s="15" t="str">
        <f>IFERROR(__xludf.DUMMYFUNCTION("""COMPUTED_VALUE"""),"Not ranking")</f>
        <v>Not ranking</v>
      </c>
      <c r="F272" s="17" t="str">
        <f>IFERROR(__xludf.DUMMYFUNCTION("""COMPUTED_VALUE"""),"https://www.themeateater.com/wired-to-hunt/whitetail-scouting/4-natural-food-sources-every-public-land-deer-hunter-should-know")</f>
        <v>https://www.themeateater.com/wired-to-hunt/whitetail-scouting/4-natural-food-sources-every-public-land-deer-hunter-should-know</v>
      </c>
      <c r="G272" s="17" t="str">
        <f>IFERROR(__xludf.DUMMYFUNCTION("""COMPUTED_VALUE"""),"https://realtree.com/all/articles/early-eats-mean-big-bucks")</f>
        <v>https://realtree.com/all/articles/early-eats-mean-big-bucks</v>
      </c>
      <c r="H272" s="18" t="str">
        <f>IFERROR(__xludf.DUMMYFUNCTION("""COMPUTED_VALUE"""),"Not ranking")</f>
        <v>Not ranking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5" t="str">
        <f>IFERROR(__xludf.DUMMYFUNCTION("""COMPUTED_VALUE"""),"deer rut")</f>
        <v>deer rut</v>
      </c>
      <c r="B273" s="15" t="str">
        <f>IFERROR(__xludf.DUMMYFUNCTION("""COMPUTED_VALUE"""),"1900")</f>
        <v>1900</v>
      </c>
      <c r="C273" s="15" t="str">
        <f>IFERROR(__xludf.DUMMYFUNCTION("""COMPUTED_VALUE"""),"24")</f>
        <v>24</v>
      </c>
      <c r="D273" s="15" t="str">
        <f>IFERROR(__xludf.DUMMYFUNCTION("""COMPUTED_VALUE"""),"11")</f>
        <v>11</v>
      </c>
      <c r="E273" s="15" t="str">
        <f>IFERROR(__xludf.DUMMYFUNCTION("""COMPUTED_VALUE"""),"Not ranking")</f>
        <v>Not ranking</v>
      </c>
      <c r="F273" s="17" t="str">
        <f>IFERROR(__xludf.DUMMYFUNCTION("""COMPUTED_VALUE"""),"https://www.themeateater.com/wired-to-hunt/whitetail-hunting/how-the-whitetail-rut-differs-in-the-big-woods")</f>
        <v>https://www.themeateater.com/wired-to-hunt/whitetail-hunting/how-the-whitetail-rut-differs-in-the-big-woods</v>
      </c>
      <c r="G273" s="17" t="str">
        <f>IFERROR(__xludf.DUMMYFUNCTION("""COMPUTED_VALUE"""),"https://realtree.com/brow-tines-and-backstrap/10-facts-about-the-whitetail-rut")</f>
        <v>https://realtree.com/brow-tines-and-backstrap/10-facts-about-the-whitetail-rut</v>
      </c>
      <c r="H273" s="18" t="str">
        <f>IFERROR(__xludf.DUMMYFUNCTION("""COMPUTED_VALUE"""),"Not ranking")</f>
        <v>Not ranking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5" t="str">
        <f>IFERROR(__xludf.DUMMYFUNCTION("""COMPUTED_VALUE"""),"best time to hunt deer")</f>
        <v>best time to hunt deer</v>
      </c>
      <c r="B274" s="15" t="str">
        <f>IFERROR(__xludf.DUMMYFUNCTION("""COMPUTED_VALUE"""),"1600")</f>
        <v>1600</v>
      </c>
      <c r="C274" s="15" t="str">
        <f>IFERROR(__xludf.DUMMYFUNCTION("""COMPUTED_VALUE"""),"24")</f>
        <v>24</v>
      </c>
      <c r="D274" s="15" t="str">
        <f>IFERROR(__xludf.DUMMYFUNCTION("""COMPUTED_VALUE"""),"1")</f>
        <v>1</v>
      </c>
      <c r="E274" s="15" t="str">
        <f>IFERROR(__xludf.DUMMYFUNCTION("""COMPUTED_VALUE"""),"4")</f>
        <v>4</v>
      </c>
      <c r="F274" s="17" t="str">
        <f>IFERROR(__xludf.DUMMYFUNCTION("""COMPUTED_VALUE"""),"https://www.themeateater.com/wired-to-hunt/whitetail-hunting/do-mornings-or-evenings-make-better-rut-hunts")</f>
        <v>https://www.themeateater.com/wired-to-hunt/whitetail-hunting/do-mornings-or-evenings-make-better-rut-hunts</v>
      </c>
      <c r="G274" s="17" t="str">
        <f>IFERROR(__xludf.DUMMYFUNCTION("""COMPUTED_VALUE"""),"https://realtree.com/deer-hunting/articles/10-best-times-to-deer-hunt")</f>
        <v>https://realtree.com/deer-hunting/articles/10-best-times-to-deer-hunt</v>
      </c>
      <c r="H274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5" t="str">
        <f>IFERROR(__xludf.DUMMYFUNCTION("""COMPUTED_VALUE"""),"deer footprints")</f>
        <v>deer footprints</v>
      </c>
      <c r="B275" s="15" t="str">
        <f>IFERROR(__xludf.DUMMYFUNCTION("""COMPUTED_VALUE"""),"1300")</f>
        <v>1300</v>
      </c>
      <c r="C275" s="15" t="str">
        <f>IFERROR(__xludf.DUMMYFUNCTION("""COMPUTED_VALUE"""),"24")</f>
        <v>24</v>
      </c>
      <c r="D275" s="15" t="str">
        <f>IFERROR(__xludf.DUMMYFUNCTION("""COMPUTED_VALUE"""),"Not ranking")</f>
        <v>Not ranking</v>
      </c>
      <c r="E275" s="15" t="str">
        <f>IFERROR(__xludf.DUMMYFUNCTION("""COMPUTED_VALUE"""),"40")</f>
        <v>40</v>
      </c>
      <c r="F275" s="17" t="str">
        <f>IFERROR(__xludf.DUMMYFUNCTION("""COMPUTED_VALUE"""),"https://www.themeateater.com/wired-to-hunt/whitetail-scouting/what-you-need-to-know-about-deer-tracks")</f>
        <v>https://www.themeateater.com/wired-to-hunt/whitetail-scouting/what-you-need-to-know-about-deer-tracks</v>
      </c>
      <c r="G275" s="18" t="str">
        <f>IFERROR(__xludf.DUMMYFUNCTION("""COMPUTED_VALUE"""),"Not ranking")</f>
        <v>Not ranking</v>
      </c>
      <c r="H275" s="17" t="str">
        <f>IFERROR(__xludf.DUMMYFUNCTION("""COMPUTED_VALUE"""),"https://www.wideopenspaces.com/deer-tracks-identification/")</f>
        <v>https://www.wideopenspaces.com/deer-tracks-identification/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5" t="str">
        <f>IFERROR(__xludf.DUMMYFUNCTION("""COMPUTED_VALUE"""),"processing a deer")</f>
        <v>processing a deer</v>
      </c>
      <c r="B276" s="15" t="str">
        <f>IFERROR(__xludf.DUMMYFUNCTION("""COMPUTED_VALUE"""),"1000")</f>
        <v>1000</v>
      </c>
      <c r="C276" s="15" t="str">
        <f>IFERROR(__xludf.DUMMYFUNCTION("""COMPUTED_VALUE"""),"24")</f>
        <v>24</v>
      </c>
      <c r="D276" s="15" t="str">
        <f>IFERROR(__xludf.DUMMYFUNCTION("""COMPUTED_VALUE"""),"Not ranking")</f>
        <v>Not ranking</v>
      </c>
      <c r="E276" s="15" t="str">
        <f>IFERROR(__xludf.DUMMYFUNCTION("""COMPUTED_VALUE"""),"47")</f>
        <v>47</v>
      </c>
      <c r="F276" s="17" t="str">
        <f>IFERROR(__xludf.DUMMYFUNCTION("""COMPUTED_VALUE"""),"https://www.themeateater.com/watch/6258237862001/s6-e06-cooking-special-butchering-a-whole-deer")</f>
        <v>https://www.themeateater.com/watch/6258237862001/s6-e06-cooking-special-butchering-a-whole-deer</v>
      </c>
      <c r="G276" s="18" t="str">
        <f>IFERROR(__xludf.DUMMYFUNCTION("""COMPUTED_VALUE"""),"Not ranking")</f>
        <v>Not ranking</v>
      </c>
      <c r="H276" s="17" t="str">
        <f>IFERROR(__xludf.DUMMYFUNCTION("""COMPUTED_VALUE"""),"https://www.wideopenspaces.com/you-actually-dont-have-to-know-how-to-butcher-a-deer-completely/")</f>
        <v>https://www.wideopenspaces.com/you-actually-dont-have-to-know-how-to-butcher-a-deer-completely/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5" t="str">
        <f>IFERROR(__xludf.DUMMYFUNCTION("""COMPUTED_VALUE"""),"mule deer foundation")</f>
        <v>mule deer foundation</v>
      </c>
      <c r="B277" s="15" t="str">
        <f>IFERROR(__xludf.DUMMYFUNCTION("""COMPUTED_VALUE"""),"880")</f>
        <v>880</v>
      </c>
      <c r="C277" s="15" t="str">
        <f>IFERROR(__xludf.DUMMYFUNCTION("""COMPUTED_VALUE"""),"24")</f>
        <v>24</v>
      </c>
      <c r="D277" s="15" t="str">
        <f>IFERROR(__xludf.DUMMYFUNCTION("""COMPUTED_VALUE"""),"Not ranking")</f>
        <v>Not ranking</v>
      </c>
      <c r="E277" s="15" t="str">
        <f>IFERROR(__xludf.DUMMYFUNCTION("""COMPUTED_VALUE"""),"Not ranking")</f>
        <v>Not ranking</v>
      </c>
      <c r="F277" s="17" t="str">
        <f>IFERROR(__xludf.DUMMYFUNCTION("""COMPUTED_VALUE"""),"https://store.themeateater.com/products/mule-deer-foundation-donation.html?lang=en_US")</f>
        <v>https://store.themeateater.com/products/mule-deer-foundation-donation.html?lang=en_US</v>
      </c>
      <c r="G277" s="18" t="str">
        <f>IFERROR(__xludf.DUMMYFUNCTION("""COMPUTED_VALUE"""),"Not ranking")</f>
        <v>Not ranking</v>
      </c>
      <c r="H277" s="18" t="str">
        <f>IFERROR(__xludf.DUMMYFUNCTION("""COMPUTED_VALUE"""),"Not ranking")</f>
        <v>Not ranking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5" t="str">
        <f>IFERROR(__xludf.DUMMYFUNCTION("""COMPUTED_VALUE"""),"when are deer most active")</f>
        <v>when are deer most active</v>
      </c>
      <c r="B278" s="15" t="str">
        <f>IFERROR(__xludf.DUMMYFUNCTION("""COMPUTED_VALUE"""),"880")</f>
        <v>880</v>
      </c>
      <c r="C278" s="15" t="str">
        <f>IFERROR(__xludf.DUMMYFUNCTION("""COMPUTED_VALUE"""),"24")</f>
        <v>24</v>
      </c>
      <c r="D278" s="15" t="str">
        <f>IFERROR(__xludf.DUMMYFUNCTION("""COMPUTED_VALUE"""),"11")</f>
        <v>11</v>
      </c>
      <c r="E278" s="15" t="str">
        <f>IFERROR(__xludf.DUMMYFUNCTION("""COMPUTED_VALUE"""),"10")</f>
        <v>10</v>
      </c>
      <c r="F278" s="17" t="str">
        <f>IFERROR(__xludf.DUMMYFUNCTION("""COMPUTED_VALUE"""),"https://www.themeateater.com/wired-to-hunt/whitetail-hunting/does-temperature-affect-deer-movement")</f>
        <v>https://www.themeateater.com/wired-to-hunt/whitetail-hunting/does-temperature-affect-deer-movement</v>
      </c>
      <c r="G278" s="17" t="str">
        <f>IFERROR(__xludf.DUMMYFUNCTION("""COMPUTED_VALUE"""),"https://realtree.com/deer-hunting/articles/10-best-times-to-deer-hunt")</f>
        <v>https://realtree.com/deer-hunting/articles/10-best-times-to-deer-hunt</v>
      </c>
      <c r="H278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5" t="str">
        <f>IFERROR(__xludf.DUMMYFUNCTION("""COMPUTED_VALUE"""),"deer in the rut")</f>
        <v>deer in the rut</v>
      </c>
      <c r="B279" s="15" t="str">
        <f>IFERROR(__xludf.DUMMYFUNCTION("""COMPUTED_VALUE"""),"720")</f>
        <v>720</v>
      </c>
      <c r="C279" s="15" t="str">
        <f>IFERROR(__xludf.DUMMYFUNCTION("""COMPUTED_VALUE"""),"24")</f>
        <v>24</v>
      </c>
      <c r="D279" s="15" t="str">
        <f>IFERROR(__xludf.DUMMYFUNCTION("""COMPUTED_VALUE"""),"12")</f>
        <v>12</v>
      </c>
      <c r="E279" s="15" t="str">
        <f>IFERROR(__xludf.DUMMYFUNCTION("""COMPUTED_VALUE"""),"Not ranking")</f>
        <v>Not ranking</v>
      </c>
      <c r="F279" s="17" t="str">
        <f>IFERROR(__xludf.DUMMYFUNCTION("""COMPUTED_VALUE"""),"https://www.themeateater.com/wired-to-hunt/whitetail-hunting/how-to-hunt-the-whitetail-rut-in-big-woods")</f>
        <v>https://www.themeateater.com/wired-to-hunt/whitetail-hunting/how-to-hunt-the-whitetail-rut-in-big-woods</v>
      </c>
      <c r="G279" s="17" t="str">
        <f>IFERROR(__xludf.DUMMYFUNCTION("""COMPUTED_VALUE"""),"https://realtree.com/deer-hunting/articles/5-rut-buck-behaviors-you-should-recognize")</f>
        <v>https://realtree.com/deer-hunting/articles/5-rut-buck-behaviors-you-should-recognize</v>
      </c>
      <c r="H279" s="18" t="str">
        <f>IFERROR(__xludf.DUMMYFUNCTION("""COMPUTED_VALUE"""),"Not ranking")</f>
        <v>Not ranking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5" t="str">
        <f>IFERROR(__xludf.DUMMYFUNCTION("""COMPUTED_VALUE"""),"deer neck shot placement")</f>
        <v>deer neck shot placement</v>
      </c>
      <c r="B280" s="15" t="str">
        <f>IFERROR(__xludf.DUMMYFUNCTION("""COMPUTED_VALUE"""),"1300")</f>
        <v>1300</v>
      </c>
      <c r="C280" s="15" t="str">
        <f>IFERROR(__xludf.DUMMYFUNCTION("""COMPUTED_VALUE"""),"25")</f>
        <v>25</v>
      </c>
      <c r="D280" s="15" t="str">
        <f>IFERROR(__xludf.DUMMYFUNCTION("""COMPUTED_VALUE"""),"15")</f>
        <v>15</v>
      </c>
      <c r="E280" s="15" t="str">
        <f>IFERROR(__xludf.DUMMYFUNCTION("""COMPUTED_VALUE"""),"6")</f>
        <v>6</v>
      </c>
      <c r="F280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280" s="17" t="str">
        <f>IFERROR(__xludf.DUMMYFUNCTION("""COMPUTED_VALUE"""),"https://realtree.com/deer-hunting/articles/the-best-shot-placement-on-deer")</f>
        <v>https://realtree.com/deer-hunting/articles/the-best-shot-placement-on-deer</v>
      </c>
      <c r="H280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5" t="str">
        <f>IFERROR(__xludf.DUMMYFUNCTION("""COMPUTED_VALUE"""),"how to cape a deer")</f>
        <v>how to cape a deer</v>
      </c>
      <c r="B281" s="15" t="str">
        <f>IFERROR(__xludf.DUMMYFUNCTION("""COMPUTED_VALUE"""),"720")</f>
        <v>720</v>
      </c>
      <c r="C281" s="15" t="str">
        <f>IFERROR(__xludf.DUMMYFUNCTION("""COMPUTED_VALUE"""),"25")</f>
        <v>25</v>
      </c>
      <c r="D281" s="15" t="str">
        <f>IFERROR(__xludf.DUMMYFUNCTION("""COMPUTED_VALUE"""),"12")</f>
        <v>12</v>
      </c>
      <c r="E281" s="15" t="str">
        <f>IFERROR(__xludf.DUMMYFUNCTION("""COMPUTED_VALUE"""),"Not ranking")</f>
        <v>Not ranking</v>
      </c>
      <c r="F281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281" s="17" t="str">
        <f>IFERROR(__xludf.DUMMYFUNCTION("""COMPUTED_VALUE"""),"https://realtree.com/timber-2-table-wild-game-recipes/how-to-cape-a-deer")</f>
        <v>https://realtree.com/timber-2-table-wild-game-recipes/how-to-cape-a-deer</v>
      </c>
      <c r="H281" s="18" t="str">
        <f>IFERROR(__xludf.DUMMYFUNCTION("""COMPUTED_VALUE"""),"Not ranking")</f>
        <v>Not ranking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5" t="str">
        <f>IFERROR(__xludf.DUMMYFUNCTION("""COMPUTED_VALUE"""),"high shoulder shot on deer")</f>
        <v>high shoulder shot on deer</v>
      </c>
      <c r="B282" s="15" t="str">
        <f>IFERROR(__xludf.DUMMYFUNCTION("""COMPUTED_VALUE"""),"590")</f>
        <v>590</v>
      </c>
      <c r="C282" s="15" t="str">
        <f>IFERROR(__xludf.DUMMYFUNCTION("""COMPUTED_VALUE"""),"25")</f>
        <v>25</v>
      </c>
      <c r="D282" s="15" t="str">
        <f>IFERROR(__xludf.DUMMYFUNCTION("""COMPUTED_VALUE"""),"26")</f>
        <v>26</v>
      </c>
      <c r="E282" s="15" t="str">
        <f>IFERROR(__xludf.DUMMYFUNCTION("""COMPUTED_VALUE"""),"10")</f>
        <v>10</v>
      </c>
      <c r="F282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282" s="17" t="str">
        <f>IFERROR(__xludf.DUMMYFUNCTION("""COMPUTED_VALUE"""),"https://realtree.com/deer-hunting/articles/the-best-shot-placement-on-deer")</f>
        <v>https://realtree.com/deer-hunting/articles/the-best-shot-placement-on-deer</v>
      </c>
      <c r="H282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5" t="str">
        <f>IFERROR(__xludf.DUMMYFUNCTION("""COMPUTED_VALUE"""),"deer bacon")</f>
        <v>deer bacon</v>
      </c>
      <c r="B283" s="15" t="str">
        <f>IFERROR(__xludf.DUMMYFUNCTION("""COMPUTED_VALUE"""),"880")</f>
        <v>880</v>
      </c>
      <c r="C283" s="15" t="str">
        <f>IFERROR(__xludf.DUMMYFUNCTION("""COMPUTED_VALUE"""),"26")</f>
        <v>26</v>
      </c>
      <c r="D283" s="15" t="str">
        <f>IFERROR(__xludf.DUMMYFUNCTION("""COMPUTED_VALUE"""),"5")</f>
        <v>5</v>
      </c>
      <c r="E283" s="15" t="str">
        <f>IFERROR(__xludf.DUMMYFUNCTION("""COMPUTED_VALUE"""),"Not ranking")</f>
        <v>Not ranking</v>
      </c>
      <c r="F283" s="17" t="str">
        <f>IFERROR(__xludf.DUMMYFUNCTION("""COMPUTED_VALUE"""),"https://www.themeateater.com/cook/recipes/venison-bacon-bits-recipe")</f>
        <v>https://www.themeateater.com/cook/recipes/venison-bacon-bits-recipe</v>
      </c>
      <c r="G283" s="17" t="str">
        <f>IFERROR(__xludf.DUMMYFUNCTION("""COMPUTED_VALUE"""),"https://realtree.com/timber-2-table-articles/how-to-make-bacon-from-ground-deer-meat")</f>
        <v>https://realtree.com/timber-2-table-articles/how-to-make-bacon-from-ground-deer-meat</v>
      </c>
      <c r="H283" s="18" t="str">
        <f>IFERROR(__xludf.DUMMYFUNCTION("""COMPUTED_VALUE"""),"Not ranking")</f>
        <v>Not ranking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5" t="str">
        <f>IFERROR(__xludf.DUMMYFUNCTION("""COMPUTED_VALUE"""),"deer loin recipe")</f>
        <v>deer loin recipe</v>
      </c>
      <c r="B284" s="15" t="str">
        <f>IFERROR(__xludf.DUMMYFUNCTION("""COMPUTED_VALUE"""),"590")</f>
        <v>590</v>
      </c>
      <c r="C284" s="15" t="str">
        <f>IFERROR(__xludf.DUMMYFUNCTION("""COMPUTED_VALUE"""),"26")</f>
        <v>26</v>
      </c>
      <c r="D284" s="15" t="str">
        <f>IFERROR(__xludf.DUMMYFUNCTION("""COMPUTED_VALUE"""),"25")</f>
        <v>25</v>
      </c>
      <c r="E284" s="15" t="str">
        <f>IFERROR(__xludf.DUMMYFUNCTION("""COMPUTED_VALUE"""),"16")</f>
        <v>16</v>
      </c>
      <c r="F284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284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284" s="17" t="str">
        <f>IFERROR(__xludf.DUMMYFUNCTION("""COMPUTED_VALUE"""),"https://www.wideopenspaces.com/top-6-venison-tenderloin-recipes/")</f>
        <v>https://www.wideopenspaces.com/top-6-venison-tenderloin-recipes/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5" t="str">
        <f>IFERROR(__xludf.DUMMYFUNCTION("""COMPUTED_VALUE"""),"the rut for deer")</f>
        <v>the rut for deer</v>
      </c>
      <c r="B285" s="15" t="str">
        <f>IFERROR(__xludf.DUMMYFUNCTION("""COMPUTED_VALUE"""),"590")</f>
        <v>590</v>
      </c>
      <c r="C285" s="15" t="str">
        <f>IFERROR(__xludf.DUMMYFUNCTION("""COMPUTED_VALUE"""),"26")</f>
        <v>26</v>
      </c>
      <c r="D285" s="15" t="str">
        <f>IFERROR(__xludf.DUMMYFUNCTION("""COMPUTED_VALUE"""),"8")</f>
        <v>8</v>
      </c>
      <c r="E285" s="15" t="str">
        <f>IFERROR(__xludf.DUMMYFUNCTION("""COMPUTED_VALUE"""),"Not ranking")</f>
        <v>Not ranking</v>
      </c>
      <c r="F285" s="17" t="str">
        <f>IFERROR(__xludf.DUMMYFUNCTION("""COMPUTED_VALUE"""),"https://www.themeateater.com/wired-to-hunt/whitetail-hunting/how-to-hunt-the-whitetail-rut-in-big-woods")</f>
        <v>https://www.themeateater.com/wired-to-hunt/whitetail-hunting/how-to-hunt-the-whitetail-rut-in-big-woods</v>
      </c>
      <c r="G285" s="17" t="str">
        <f>IFERROR(__xludf.DUMMYFUNCTION("""COMPUTED_VALUE"""),"https://realtree.com/deer-hunting/articles/how-to-hunt-the-phases-of-the-rut")</f>
        <v>https://realtree.com/deer-hunting/articles/how-to-hunt-the-phases-of-the-rut</v>
      </c>
      <c r="H285" s="18" t="str">
        <f>IFERROR(__xludf.DUMMYFUNCTION("""COMPUTED_VALUE"""),"Not ranking")</f>
        <v>Not ranking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5" t="str">
        <f>IFERROR(__xludf.DUMMYFUNCTION("""COMPUTED_VALUE"""),"deer meat recipes")</f>
        <v>deer meat recipes</v>
      </c>
      <c r="B286" s="15" t="str">
        <f>IFERROR(__xludf.DUMMYFUNCTION("""COMPUTED_VALUE"""),"3600")</f>
        <v>3600</v>
      </c>
      <c r="C286" s="15" t="str">
        <f>IFERROR(__xludf.DUMMYFUNCTION("""COMPUTED_VALUE"""),"27")</f>
        <v>27</v>
      </c>
      <c r="D286" s="15" t="str">
        <f>IFERROR(__xludf.DUMMYFUNCTION("""COMPUTED_VALUE"""),"56")</f>
        <v>56</v>
      </c>
      <c r="E286" s="15" t="str">
        <f>IFERROR(__xludf.DUMMYFUNCTION("""COMPUTED_VALUE"""),"Not ranking")</f>
        <v>Not ranking</v>
      </c>
      <c r="F286" s="17" t="str">
        <f>IFERROR(__xludf.DUMMYFUNCTION("""COMPUTED_VALUE"""),"https://www.themeateater.com/recipes/ingredients/venison")</f>
        <v>https://www.themeateater.com/recipes/ingredients/venison</v>
      </c>
      <c r="G286" s="17" t="str">
        <f>IFERROR(__xludf.DUMMYFUNCTION("""COMPUTED_VALUE"""),"https://realtree.com/timber-2-table-wild-game-recipes/venison-recipes")</f>
        <v>https://realtree.com/timber-2-table-wild-game-recipes/venison-recipes</v>
      </c>
      <c r="H286" s="18" t="str">
        <f>IFERROR(__xludf.DUMMYFUNCTION("""COMPUTED_VALUE"""),"Not ranking")</f>
        <v>Not ranking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5" t="str">
        <f>IFERROR(__xludf.DUMMYFUNCTION("""COMPUTED_VALUE"""),"deer tenderloin recipes")</f>
        <v>deer tenderloin recipes</v>
      </c>
      <c r="B287" s="15" t="str">
        <f>IFERROR(__xludf.DUMMYFUNCTION("""COMPUTED_VALUE"""),"1900")</f>
        <v>1900</v>
      </c>
      <c r="C287" s="15" t="str">
        <f>IFERROR(__xludf.DUMMYFUNCTION("""COMPUTED_VALUE"""),"27")</f>
        <v>27</v>
      </c>
      <c r="D287" s="15" t="str">
        <f>IFERROR(__xludf.DUMMYFUNCTION("""COMPUTED_VALUE"""),"25")</f>
        <v>25</v>
      </c>
      <c r="E287" s="15" t="str">
        <f>IFERROR(__xludf.DUMMYFUNCTION("""COMPUTED_VALUE"""),"11")</f>
        <v>11</v>
      </c>
      <c r="F287" s="17" t="str">
        <f>IFERROR(__xludf.DUMMYFUNCTION("""COMPUTED_VALUE"""),"https://www.themeateater.com/recipes/cuts/loin")</f>
        <v>https://www.themeateater.com/recipes/cuts/loin</v>
      </c>
      <c r="G287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287" s="17" t="str">
        <f>IFERROR(__xludf.DUMMYFUNCTION("""COMPUTED_VALUE"""),"https://www.wideopenspaces.com/top-6-venison-tenderloin-recipes/")</f>
        <v>https://www.wideopenspaces.com/top-6-venison-tenderloin-recipes/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5" t="str">
        <f>IFERROR(__xludf.DUMMYFUNCTION("""COMPUTED_VALUE"""),"seeds for deer food plots")</f>
        <v>seeds for deer food plots</v>
      </c>
      <c r="B288" s="15" t="str">
        <f>IFERROR(__xludf.DUMMYFUNCTION("""COMPUTED_VALUE"""),"1300")</f>
        <v>1300</v>
      </c>
      <c r="C288" s="15" t="str">
        <f>IFERROR(__xludf.DUMMYFUNCTION("""COMPUTED_VALUE"""),"27")</f>
        <v>27</v>
      </c>
      <c r="D288" s="15" t="str">
        <f>IFERROR(__xludf.DUMMYFUNCTION("""COMPUTED_VALUE"""),"39")</f>
        <v>39</v>
      </c>
      <c r="E288" s="15" t="str">
        <f>IFERROR(__xludf.DUMMYFUNCTION("""COMPUTED_VALUE"""),"Not ranking")</f>
        <v>Not ranking</v>
      </c>
      <c r="F288" s="17" t="str">
        <f>IFERROR(__xludf.DUMMYFUNCTION("""COMPUTED_VALUE"""),"https://www.themeateater.com/wired-to-hunt/whitetail-management/how-to-plant-a-food-plot-on-a-budget")</f>
        <v>https://www.themeateater.com/wired-to-hunt/whitetail-management/how-to-plant-a-food-plot-on-a-budget</v>
      </c>
      <c r="G288" s="17" t="str">
        <f>IFERROR(__xludf.DUMMYFUNCTION("""COMPUTED_VALUE"""),"https://realtree.com/food-plots-and-land-management/articles/mess-hall-mixtures-5-food-plot-combos-for-full-season")</f>
        <v>https://realtree.com/food-plots-and-land-management/articles/mess-hall-mixtures-5-food-plot-combos-for-full-season</v>
      </c>
      <c r="H288" s="18" t="str">
        <f>IFERROR(__xludf.DUMMYFUNCTION("""COMPUTED_VALUE"""),"Not ranking")</f>
        <v>Not ranking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5" t="str">
        <f>IFERROR(__xludf.DUMMYFUNCTION("""COMPUTED_VALUE"""),"deer gun")</f>
        <v>deer gun</v>
      </c>
      <c r="B289" s="15" t="str">
        <f>IFERROR(__xludf.DUMMYFUNCTION("""COMPUTED_VALUE"""),"1000")</f>
        <v>1000</v>
      </c>
      <c r="C289" s="15" t="str">
        <f>IFERROR(__xludf.DUMMYFUNCTION("""COMPUTED_VALUE"""),"27")</f>
        <v>27</v>
      </c>
      <c r="D289" s="15" t="str">
        <f>IFERROR(__xludf.DUMMYFUNCTION("""COMPUTED_VALUE"""),"18")</f>
        <v>18</v>
      </c>
      <c r="E289" s="15" t="str">
        <f>IFERROR(__xludf.DUMMYFUNCTION("""COMPUTED_VALUE"""),"Not ranking")</f>
        <v>Not ranking</v>
      </c>
      <c r="F289" s="17" t="str">
        <f>IFERROR(__xludf.DUMMYFUNCTION("""COMPUTED_VALUE"""),"https://www.themeateater.com/hunt/firearm-hunting/is-your-deer-gun-overkill")</f>
        <v>https://www.themeateater.com/hunt/firearm-hunting/is-your-deer-gun-overkill</v>
      </c>
      <c r="G289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289" s="18" t="str">
        <f>IFERROR(__xludf.DUMMYFUNCTION("""COMPUTED_VALUE"""),"Not ranking")</f>
        <v>Not ranking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5" t="str">
        <f>IFERROR(__xludf.DUMMYFUNCTION("""COMPUTED_VALUE"""),"mule deer antlers")</f>
        <v>mule deer antlers</v>
      </c>
      <c r="B290" s="15" t="str">
        <f>IFERROR(__xludf.DUMMYFUNCTION("""COMPUTED_VALUE"""),"720")</f>
        <v>720</v>
      </c>
      <c r="C290" s="15" t="str">
        <f>IFERROR(__xludf.DUMMYFUNCTION("""COMPUTED_VALUE"""),"27")</f>
        <v>27</v>
      </c>
      <c r="D290" s="15" t="str">
        <f>IFERROR(__xludf.DUMMYFUNCTION("""COMPUTED_VALUE"""),"Not ranking")</f>
        <v>Not ranking</v>
      </c>
      <c r="E290" s="15" t="str">
        <f>IFERROR(__xludf.DUMMYFUNCTION("""COMPUTED_VALUE"""),"Not ranking")</f>
        <v>Not ranking</v>
      </c>
      <c r="F290" s="17" t="str">
        <f>IFERROR(__xludf.DUMMYFUNCTION("""COMPUTED_VALUE"""),"https://www.themeateater.com/watch/6290992279001/how-to-score-a-mule-deer-buck")</f>
        <v>https://www.themeateater.com/watch/6290992279001/how-to-score-a-mule-deer-buck</v>
      </c>
      <c r="G290" s="18" t="str">
        <f>IFERROR(__xludf.DUMMYFUNCTION("""COMPUTED_VALUE"""),"Not ranking")</f>
        <v>Not ranking</v>
      </c>
      <c r="H290" s="18" t="str">
        <f>IFERROR(__xludf.DUMMYFUNCTION("""COMPUTED_VALUE"""),"Not ranking")</f>
        <v>Not ranking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5" t="str">
        <f>IFERROR(__xludf.DUMMYFUNCTION("""COMPUTED_VALUE"""),"doe deer female deer")</f>
        <v>doe deer female deer</v>
      </c>
      <c r="B291" s="15" t="str">
        <f>IFERROR(__xludf.DUMMYFUNCTION("""COMPUTED_VALUE"""),"590")</f>
        <v>590</v>
      </c>
      <c r="C291" s="15" t="str">
        <f>IFERROR(__xludf.DUMMYFUNCTION("""COMPUTED_VALUE"""),"27")</f>
        <v>27</v>
      </c>
      <c r="D291" s="15" t="str">
        <f>IFERROR(__xludf.DUMMYFUNCTION("""COMPUTED_VALUE"""),"Not ranking")</f>
        <v>Not ranking</v>
      </c>
      <c r="E291" s="15" t="str">
        <f>IFERROR(__xludf.DUMMYFUNCTION("""COMPUTED_VALUE"""),"Not ranking")</f>
        <v>Not ranking</v>
      </c>
      <c r="F291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291" s="18" t="str">
        <f>IFERROR(__xludf.DUMMYFUNCTION("""COMPUTED_VALUE"""),"Not ranking")</f>
        <v>Not ranking</v>
      </c>
      <c r="H291" s="18" t="str">
        <f>IFERROR(__xludf.DUMMYFUNCTION("""COMPUTED_VALUE"""),"Not ranking")</f>
        <v>Not ranking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5" t="str">
        <f>IFERROR(__xludf.DUMMYFUNCTION("""COMPUTED_VALUE"""),"deer nocturnal")</f>
        <v>deer nocturnal</v>
      </c>
      <c r="B292" s="15" t="str">
        <f>IFERROR(__xludf.DUMMYFUNCTION("""COMPUTED_VALUE"""),"2400")</f>
        <v>2400</v>
      </c>
      <c r="C292" s="15" t="str">
        <f>IFERROR(__xludf.DUMMYFUNCTION("""COMPUTED_VALUE"""),"28")</f>
        <v>28</v>
      </c>
      <c r="D292" s="15" t="str">
        <f>IFERROR(__xludf.DUMMYFUNCTION("""COMPUTED_VALUE"""),"12")</f>
        <v>12</v>
      </c>
      <c r="E292" s="15" t="str">
        <f>IFERROR(__xludf.DUMMYFUNCTION("""COMPUTED_VALUE"""),"7")</f>
        <v>7</v>
      </c>
      <c r="F292" s="17" t="str">
        <f>IFERROR(__xludf.DUMMYFUNCTION("""COMPUTED_VALUE"""),"https://www.themeateater.com/wired-to-hunt/whitetail-hunting/how-to-kill-a-nocturnal-buck")</f>
        <v>https://www.themeateater.com/wired-to-hunt/whitetail-hunting/how-to-kill-a-nocturnal-buck</v>
      </c>
      <c r="G292" s="17" t="str">
        <f>IFERROR(__xludf.DUMMYFUNCTION("""COMPUTED_VALUE"""),"https://realtree.com/deer-hunting/articles/the-myth-of-the-nocturnal-buck")</f>
        <v>https://realtree.com/deer-hunting/articles/the-myth-of-the-nocturnal-buck</v>
      </c>
      <c r="H292" s="17" t="str">
        <f>IFERROR(__xludf.DUMMYFUNCTION("""COMPUTED_VALUE"""),"https://www.wideopenspaces.com/are-deer-nocturnal/")</f>
        <v>https://www.wideopenspaces.com/are-deer-nocturnal/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5" t="str">
        <f>IFERROR(__xludf.DUMMYFUNCTION("""COMPUTED_VALUE"""),"deerblind")</f>
        <v>deerblind</v>
      </c>
      <c r="B293" s="15" t="str">
        <f>IFERROR(__xludf.DUMMYFUNCTION("""COMPUTED_VALUE"""),"1300")</f>
        <v>1300</v>
      </c>
      <c r="C293" s="15" t="str">
        <f>IFERROR(__xludf.DUMMYFUNCTION("""COMPUTED_VALUE"""),"28")</f>
        <v>28</v>
      </c>
      <c r="D293" s="15" t="str">
        <f>IFERROR(__xludf.DUMMYFUNCTION("""COMPUTED_VALUE"""),"Not ranking")</f>
        <v>Not ranking</v>
      </c>
      <c r="E293" s="15" t="str">
        <f>IFERROR(__xludf.DUMMYFUNCTION("""COMPUTED_VALUE"""),"37")</f>
        <v>37</v>
      </c>
      <c r="F293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293" s="18" t="str">
        <f>IFERROR(__xludf.DUMMYFUNCTION("""COMPUTED_VALUE"""),"Not ranking")</f>
        <v>Not ranking</v>
      </c>
      <c r="H293" s="17" t="str">
        <f>IFERROR(__xludf.DUMMYFUNCTION("""COMPUTED_VALUE"""),"https://www.wideopenspaces.com/deer-hunting-blind-spacious/")</f>
        <v>https://www.wideopenspaces.com/deer-hunting-blind-spacious/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5" t="str">
        <f>IFERROR(__xludf.DUMMYFUNCTION("""COMPUTED_VALUE"""),"deer tongue")</f>
        <v>deer tongue</v>
      </c>
      <c r="B294" s="15" t="str">
        <f>IFERROR(__xludf.DUMMYFUNCTION("""COMPUTED_VALUE"""),"1000")</f>
        <v>1000</v>
      </c>
      <c r="C294" s="15" t="str">
        <f>IFERROR(__xludf.DUMMYFUNCTION("""COMPUTED_VALUE"""),"28")</f>
        <v>28</v>
      </c>
      <c r="D294" s="15" t="str">
        <f>IFERROR(__xludf.DUMMYFUNCTION("""COMPUTED_VALUE"""),"Not ranking")</f>
        <v>Not ranking</v>
      </c>
      <c r="E294" s="15" t="str">
        <f>IFERROR(__xludf.DUMMYFUNCTION("""COMPUTED_VALUE"""),"Not ranking")</f>
        <v>Not ranking</v>
      </c>
      <c r="F294" s="17" t="str">
        <f>IFERROR(__xludf.DUMMYFUNCTION("""COMPUTED_VALUE"""),"https://www.themeateater.com/cook/recipes/pan-fried-venison-tongue-recipe")</f>
        <v>https://www.themeateater.com/cook/recipes/pan-fried-venison-tongue-recipe</v>
      </c>
      <c r="G294" s="18" t="str">
        <f>IFERROR(__xludf.DUMMYFUNCTION("""COMPUTED_VALUE"""),"Not ranking")</f>
        <v>Not ranking</v>
      </c>
      <c r="H294" s="18" t="str">
        <f>IFERROR(__xludf.DUMMYFUNCTION("""COMPUTED_VALUE"""),"Not ranking")</f>
        <v>Not ranking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5" t="str">
        <f>IFERROR(__xludf.DUMMYFUNCTION("""COMPUTED_VALUE"""),"rifle deer hunting")</f>
        <v>rifle deer hunting</v>
      </c>
      <c r="B295" s="15" t="str">
        <f>IFERROR(__xludf.DUMMYFUNCTION("""COMPUTED_VALUE"""),"1000")</f>
        <v>1000</v>
      </c>
      <c r="C295" s="15" t="str">
        <f>IFERROR(__xludf.DUMMYFUNCTION("""COMPUTED_VALUE"""),"28")</f>
        <v>28</v>
      </c>
      <c r="D295" s="15" t="str">
        <f>IFERROR(__xludf.DUMMYFUNCTION("""COMPUTED_VALUE"""),"8")</f>
        <v>8</v>
      </c>
      <c r="E295" s="15" t="str">
        <f>IFERROR(__xludf.DUMMYFUNCTION("""COMPUTED_VALUE"""),"Not ranking")</f>
        <v>Not ranking</v>
      </c>
      <c r="F295" s="17" t="str">
        <f>IFERROR(__xludf.DUMMYFUNCTION("""COMPUTED_VALUE"""),"https://www.themeateater.com/hunt/firearm-hunting/should-your-next-deer-rifle-be-an-ar-15")</f>
        <v>https://www.themeateater.com/hunt/firearm-hunting/should-your-next-deer-rifle-be-an-ar-15</v>
      </c>
      <c r="G295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295" s="18" t="str">
        <f>IFERROR(__xludf.DUMMYFUNCTION("""COMPUTED_VALUE"""),"Not ranking")</f>
        <v>Not ranking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5" t="str">
        <f>IFERROR(__xludf.DUMMYFUNCTION("""COMPUTED_VALUE"""),"what does a deer sound like")</f>
        <v>what does a deer sound like</v>
      </c>
      <c r="B296" s="15" t="str">
        <f>IFERROR(__xludf.DUMMYFUNCTION("""COMPUTED_VALUE"""),"880")</f>
        <v>880</v>
      </c>
      <c r="C296" s="15" t="str">
        <f>IFERROR(__xludf.DUMMYFUNCTION("""COMPUTED_VALUE"""),"28")</f>
        <v>28</v>
      </c>
      <c r="D296" s="15" t="str">
        <f>IFERROR(__xludf.DUMMYFUNCTION("""COMPUTED_VALUE"""),"24")</f>
        <v>24</v>
      </c>
      <c r="E296" s="15" t="str">
        <f>IFERROR(__xludf.DUMMYFUNCTION("""COMPUTED_VALUE"""),"4")</f>
        <v>4</v>
      </c>
      <c r="F296" s="17" t="str">
        <f>IFERROR(__xludf.DUMMYFUNCTION("""COMPUTED_VALUE"""),"https://www.themeateater.com/hunt/whitetail-deer/video-rutting-buck-makes-crazy-vocalizations")</f>
        <v>https://www.themeateater.com/hunt/whitetail-deer/video-rutting-buck-makes-crazy-vocalizations</v>
      </c>
      <c r="G296" s="17" t="str">
        <f>IFERROR(__xludf.DUMMYFUNCTION("""COMPUTED_VALUE"""),"https://realtree.com/deer-hunting/articles/can-you-talk-deer")</f>
        <v>https://realtree.com/deer-hunting/articles/can-you-talk-deer</v>
      </c>
      <c r="H296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5" t="str">
        <f>IFERROR(__xludf.DUMMYFUNCTION("""COMPUTED_VALUE"""),"deer hunting rifles")</f>
        <v>deer hunting rifles</v>
      </c>
      <c r="B297" s="15" t="str">
        <f>IFERROR(__xludf.DUMMYFUNCTION("""COMPUTED_VALUE"""),"720")</f>
        <v>720</v>
      </c>
      <c r="C297" s="15" t="str">
        <f>IFERROR(__xludf.DUMMYFUNCTION("""COMPUTED_VALUE"""),"28")</f>
        <v>28</v>
      </c>
      <c r="D297" s="15" t="str">
        <f>IFERROR(__xludf.DUMMYFUNCTION("""COMPUTED_VALUE"""),"24")</f>
        <v>24</v>
      </c>
      <c r="E297" s="15" t="str">
        <f>IFERROR(__xludf.DUMMYFUNCTION("""COMPUTED_VALUE"""),"21")</f>
        <v>21</v>
      </c>
      <c r="F297" s="17" t="str">
        <f>IFERROR(__xludf.DUMMYFUNCTION("""COMPUTED_VALUE"""),"https://www.themeateater.com/hunt/firearm-hunting/5-best-rifles-for-new-hunters")</f>
        <v>https://www.themeateater.com/hunt/firearm-hunting/5-best-rifles-for-new-hunters</v>
      </c>
      <c r="G297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297" s="17" t="str">
        <f>IFERROR(__xludf.DUMMYFUNCTION("""COMPUTED_VALUE"""),"https://www.wideopenspaces.com/best-deer-hunting-rifles/")</f>
        <v>https://www.wideopenspaces.com/best-deer-hunting-rifles/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5" t="str">
        <f>IFERROR(__xludf.DUMMYFUNCTION("""COMPUTED_VALUE"""),"deer video")</f>
        <v>deer video</v>
      </c>
      <c r="B298" s="15" t="str">
        <f>IFERROR(__xludf.DUMMYFUNCTION("""COMPUTED_VALUE"""),"720")</f>
        <v>720</v>
      </c>
      <c r="C298" s="15" t="str">
        <f>IFERROR(__xludf.DUMMYFUNCTION("""COMPUTED_VALUE"""),"28")</f>
        <v>28</v>
      </c>
      <c r="D298" s="15" t="str">
        <f>IFERROR(__xludf.DUMMYFUNCTION("""COMPUTED_VALUE"""),"Not ranking")</f>
        <v>Not ranking</v>
      </c>
      <c r="E298" s="15" t="str">
        <f>IFERROR(__xludf.DUMMYFUNCTION("""COMPUTED_VALUE"""),"Not ranking")</f>
        <v>Not ranking</v>
      </c>
      <c r="F298" s="17" t="str">
        <f>IFERROR(__xludf.DUMMYFUNCTION("""COMPUTED_VALUE"""),"https://www.themeateater.com/watch/6209664304001/how-to-shock-pouch-a-deer-with-clay-newcomb")</f>
        <v>https://www.themeateater.com/watch/6209664304001/how-to-shock-pouch-a-deer-with-clay-newcomb</v>
      </c>
      <c r="G298" s="18" t="str">
        <f>IFERROR(__xludf.DUMMYFUNCTION("""COMPUTED_VALUE"""),"Not ranking")</f>
        <v>Not ranking</v>
      </c>
      <c r="H298" s="18" t="str">
        <f>IFERROR(__xludf.DUMMYFUNCTION("""COMPUTED_VALUE"""),"Not ranking")</f>
        <v>Not ranking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5" t="str">
        <f>IFERROR(__xludf.DUMMYFUNCTION("""COMPUTED_VALUE"""),"deer prints in snow")</f>
        <v>deer prints in snow</v>
      </c>
      <c r="B299" s="15" t="str">
        <f>IFERROR(__xludf.DUMMYFUNCTION("""COMPUTED_VALUE"""),"590")</f>
        <v>590</v>
      </c>
      <c r="C299" s="15" t="str">
        <f>IFERROR(__xludf.DUMMYFUNCTION("""COMPUTED_VALUE"""),"28")</f>
        <v>28</v>
      </c>
      <c r="D299" s="15" t="str">
        <f>IFERROR(__xludf.DUMMYFUNCTION("""COMPUTED_VALUE"""),"Not ranking")</f>
        <v>Not ranking</v>
      </c>
      <c r="E299" s="15" t="str">
        <f>IFERROR(__xludf.DUMMYFUNCTION("""COMPUTED_VALUE"""),"Not ranking")</f>
        <v>Not ranking</v>
      </c>
      <c r="F299" s="17" t="str">
        <f>IFERROR(__xludf.DUMMYFUNCTION("""COMPUTED_VALUE"""),"https://www.themeateater.com/wired-to-hunt/whitetail-scouting/how-to-identify-a-big-buck-track-in-snow")</f>
        <v>https://www.themeateater.com/wired-to-hunt/whitetail-scouting/how-to-identify-a-big-buck-track-in-snow</v>
      </c>
      <c r="G299" s="18" t="str">
        <f>IFERROR(__xludf.DUMMYFUNCTION("""COMPUTED_VALUE"""),"Not ranking")</f>
        <v>Not ranking</v>
      </c>
      <c r="H299" s="18" t="str">
        <f>IFERROR(__xludf.DUMMYFUNCTION("""COMPUTED_VALUE"""),"Not ranking")</f>
        <v>Not ranking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5" t="str">
        <f>IFERROR(__xludf.DUMMYFUNCTION("""COMPUTED_VALUE"""),"heart on deer")</f>
        <v>heart on deer</v>
      </c>
      <c r="B300" s="15" t="str">
        <f>IFERROR(__xludf.DUMMYFUNCTION("""COMPUTED_VALUE"""),"1900")</f>
        <v>1900</v>
      </c>
      <c r="C300" s="15" t="str">
        <f>IFERROR(__xludf.DUMMYFUNCTION("""COMPUTED_VALUE"""),"29")</f>
        <v>29</v>
      </c>
      <c r="D300" s="15" t="str">
        <f>IFERROR(__xludf.DUMMYFUNCTION("""COMPUTED_VALUE"""),"8")</f>
        <v>8</v>
      </c>
      <c r="E300" s="15" t="str">
        <f>IFERROR(__xludf.DUMMYFUNCTION("""COMPUTED_VALUE"""),"9")</f>
        <v>9</v>
      </c>
      <c r="F300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300" s="17" t="str">
        <f>IFERROR(__xludf.DUMMYFUNCTION("""COMPUTED_VALUE"""),"https://realtree.com/deer-hunting/articles/the-best-shot-placement-on-deer")</f>
        <v>https://realtree.com/deer-hunting/articles/the-best-shot-placement-on-deer</v>
      </c>
      <c r="H300" s="17" t="str">
        <f>IFERROR(__xludf.DUMMYFUNCTION("""COMPUTED_VALUE"""),"https://www.wideopenspaces.com/how-to-find-and-aim-for-deer-vitals/")</f>
        <v>https://www.wideopenspaces.com/how-to-find-and-aim-for-deer-vitals/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5" t="str">
        <f>IFERROR(__xludf.DUMMYFUNCTION("""COMPUTED_VALUE"""),"how to cook deer meat")</f>
        <v>how to cook deer meat</v>
      </c>
      <c r="B301" s="15" t="str">
        <f>IFERROR(__xludf.DUMMYFUNCTION("""COMPUTED_VALUE"""),"1300")</f>
        <v>1300</v>
      </c>
      <c r="C301" s="15" t="str">
        <f>IFERROR(__xludf.DUMMYFUNCTION("""COMPUTED_VALUE"""),"29")</f>
        <v>29</v>
      </c>
      <c r="D301" s="15" t="str">
        <f>IFERROR(__xludf.DUMMYFUNCTION("""COMPUTED_VALUE"""),"Not ranking")</f>
        <v>Not ranking</v>
      </c>
      <c r="E301" s="15" t="str">
        <f>IFERROR(__xludf.DUMMYFUNCTION("""COMPUTED_VALUE"""),"Not ranking")</f>
        <v>Not ranking</v>
      </c>
      <c r="F301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301" s="18" t="str">
        <f>IFERROR(__xludf.DUMMYFUNCTION("""COMPUTED_VALUE"""),"Not ranking")</f>
        <v>Not ranking</v>
      </c>
      <c r="H301" s="18" t="str">
        <f>IFERROR(__xludf.DUMMYFUNCTION("""COMPUTED_VALUE"""),"Not ranking")</f>
        <v>Not ranking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5" t="str">
        <f>IFERROR(__xludf.DUMMYFUNCTION("""COMPUTED_VALUE"""),"food plots for deer")</f>
        <v>food plots for deer</v>
      </c>
      <c r="B302" s="15" t="str">
        <f>IFERROR(__xludf.DUMMYFUNCTION("""COMPUTED_VALUE"""),"1000")</f>
        <v>1000</v>
      </c>
      <c r="C302" s="15" t="str">
        <f>IFERROR(__xludf.DUMMYFUNCTION("""COMPUTED_VALUE"""),"29")</f>
        <v>29</v>
      </c>
      <c r="D302" s="15" t="str">
        <f>IFERROR(__xludf.DUMMYFUNCTION("""COMPUTED_VALUE"""),"30")</f>
        <v>30</v>
      </c>
      <c r="E302" s="15" t="str">
        <f>IFERROR(__xludf.DUMMYFUNCTION("""COMPUTED_VALUE"""),"Not ranking")</f>
        <v>Not ranking</v>
      </c>
      <c r="F302" s="17" t="str">
        <f>IFERROR(__xludf.DUMMYFUNCTION("""COMPUTED_VALUE"""),"https://www.themeateater.com/wired-to-hunt/whitetail-management/how-to-plant-a-food-plot-on-a-budget")</f>
        <v>https://www.themeateater.com/wired-to-hunt/whitetail-management/how-to-plant-a-food-plot-on-a-budget</v>
      </c>
      <c r="G302" s="17" t="str">
        <f>IFERROR(__xludf.DUMMYFUNCTION("""COMPUTED_VALUE"""),"https://realtree.com/food-plots-and-land-management/galleries/how-to-plant-a-micro-kill-plot-for-deer")</f>
        <v>https://realtree.com/food-plots-and-land-management/galleries/how-to-plant-a-micro-kill-plot-for-deer</v>
      </c>
      <c r="H302" s="18" t="str">
        <f>IFERROR(__xludf.DUMMYFUNCTION("""COMPUTED_VALUE"""),"Not ranking")</f>
        <v>Not ranking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5" t="str">
        <f>IFERROR(__xludf.DUMMYFUNCTION("""COMPUTED_VALUE"""),"deer loin recipes")</f>
        <v>deer loin recipes</v>
      </c>
      <c r="B303" s="15" t="str">
        <f>IFERROR(__xludf.DUMMYFUNCTION("""COMPUTED_VALUE"""),"880")</f>
        <v>880</v>
      </c>
      <c r="C303" s="15" t="str">
        <f>IFERROR(__xludf.DUMMYFUNCTION("""COMPUTED_VALUE"""),"29")</f>
        <v>29</v>
      </c>
      <c r="D303" s="15" t="str">
        <f>IFERROR(__xludf.DUMMYFUNCTION("""COMPUTED_VALUE"""),"27")</f>
        <v>27</v>
      </c>
      <c r="E303" s="15" t="str">
        <f>IFERROR(__xludf.DUMMYFUNCTION("""COMPUTED_VALUE"""),"9")</f>
        <v>9</v>
      </c>
      <c r="F303" s="17" t="str">
        <f>IFERROR(__xludf.DUMMYFUNCTION("""COMPUTED_VALUE"""),"https://www.themeateater.com/wild-and-whole/wild-recipes/butter-basted-venison-steaks-recipe")</f>
        <v>https://www.themeateater.com/wild-and-whole/wild-recipes/butter-basted-venison-steaks-recipe</v>
      </c>
      <c r="G303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303" s="17" t="str">
        <f>IFERROR(__xludf.DUMMYFUNCTION("""COMPUTED_VALUE"""),"https://www.wideopenspaces.com/top-6-venison-tenderloin-recipes/")</f>
        <v>https://www.wideopenspaces.com/top-6-venison-tenderloin-recipes/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5" t="str">
        <f>IFERROR(__xludf.DUMMYFUNCTION("""COMPUTED_VALUE"""),"how much meat on a deer")</f>
        <v>how much meat on a deer</v>
      </c>
      <c r="B304" s="15" t="str">
        <f>IFERROR(__xludf.DUMMYFUNCTION("""COMPUTED_VALUE"""),"720")</f>
        <v>720</v>
      </c>
      <c r="C304" s="15" t="str">
        <f>IFERROR(__xludf.DUMMYFUNCTION("""COMPUTED_VALUE"""),"29")</f>
        <v>29</v>
      </c>
      <c r="D304" s="15" t="str">
        <f>IFERROR(__xludf.DUMMYFUNCTION("""COMPUTED_VALUE"""),"35")</f>
        <v>35</v>
      </c>
      <c r="E304" s="15" t="str">
        <f>IFERROR(__xludf.DUMMYFUNCTION("""COMPUTED_VALUE"""),"21")</f>
        <v>21</v>
      </c>
      <c r="F304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304" s="17" t="str">
        <f>IFERROR(__xludf.DUMMYFUNCTION("""COMPUTED_VALUE"""),"https://realtree.com/timber-2-table-articles/meat-hunter-s-rules-for-shooting-the-right-deer")</f>
        <v>https://realtree.com/timber-2-table-articles/meat-hunter-s-rules-for-shooting-the-right-deer</v>
      </c>
      <c r="H304" s="17" t="str">
        <f>IFERROR(__xludf.DUMMYFUNCTION("""COMPUTED_VALUE"""),"https://www.wideopenspaces.com/heres-a-video-showing-how-much-meat-you-should-expect-from-a-whitetail-deer/")</f>
        <v>https://www.wideopenspaces.com/heres-a-video-showing-how-much-meat-you-should-expect-from-a-whitetail-deer/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5" t="str">
        <f>IFERROR(__xludf.DUMMYFUNCTION("""COMPUTED_VALUE"""),"columbian black tail deer")</f>
        <v>columbian black tail deer</v>
      </c>
      <c r="B305" s="15" t="str">
        <f>IFERROR(__xludf.DUMMYFUNCTION("""COMPUTED_VALUE"""),"590")</f>
        <v>590</v>
      </c>
      <c r="C305" s="15" t="str">
        <f>IFERROR(__xludf.DUMMYFUNCTION("""COMPUTED_VALUE"""),"29")</f>
        <v>29</v>
      </c>
      <c r="D305" s="15" t="str">
        <f>IFERROR(__xludf.DUMMYFUNCTION("""COMPUTED_VALUE"""),"Not ranking")</f>
        <v>Not ranking</v>
      </c>
      <c r="E305" s="15" t="str">
        <f>IFERROR(__xludf.DUMMYFUNCTION("""COMPUTED_VALUE"""),"Not ranking")</f>
        <v>Not ranking</v>
      </c>
      <c r="F305" s="17" t="str">
        <f>IFERROR(__xludf.DUMMYFUNCTION("""COMPUTED_VALUE"""),"https://www.themeateater.com/hunt/black-tailed-deer/a-guide-to-hunting-blacktail-deer")</f>
        <v>https://www.themeateater.com/hunt/black-tailed-deer/a-guide-to-hunting-blacktail-deer</v>
      </c>
      <c r="G305" s="18" t="str">
        <f>IFERROR(__xludf.DUMMYFUNCTION("""COMPUTED_VALUE"""),"Not ranking")</f>
        <v>Not ranking</v>
      </c>
      <c r="H305" s="18" t="str">
        <f>IFERROR(__xludf.DUMMYFUNCTION("""COMPUTED_VALUE"""),"Not ranking")</f>
        <v>Not ranking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5" t="str">
        <f>IFERROR(__xludf.DUMMYFUNCTION("""COMPUTED_VALUE"""),"deer movement chart")</f>
        <v>deer movement chart</v>
      </c>
      <c r="B306" s="15" t="str">
        <f>IFERROR(__xludf.DUMMYFUNCTION("""COMPUTED_VALUE"""),"590")</f>
        <v>590</v>
      </c>
      <c r="C306" s="15" t="str">
        <f>IFERROR(__xludf.DUMMYFUNCTION("""COMPUTED_VALUE"""),"29")</f>
        <v>29</v>
      </c>
      <c r="D306" s="15" t="str">
        <f>IFERROR(__xludf.DUMMYFUNCTION("""COMPUTED_VALUE"""),"13")</f>
        <v>13</v>
      </c>
      <c r="E306" s="15" t="str">
        <f>IFERROR(__xludf.DUMMYFUNCTION("""COMPUTED_VALUE"""),"48")</f>
        <v>48</v>
      </c>
      <c r="F306" s="17" t="str">
        <f>IFERROR(__xludf.DUMMYFUNCTION("""COMPUTED_VALUE"""),"https://www.themeateater.com/wired-to-hunt/whitetail-hunting/the-debate-about-lunar-effects-on-whitetails")</f>
        <v>https://www.themeateater.com/wired-to-hunt/whitetail-hunting/the-debate-about-lunar-effects-on-whitetails</v>
      </c>
      <c r="G306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306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5" t="str">
        <f>IFERROR(__xludf.DUMMYFUNCTION("""COMPUTED_VALUE"""),"blacktail deer")</f>
        <v>blacktail deer</v>
      </c>
      <c r="B307" s="15" t="str">
        <f>IFERROR(__xludf.DUMMYFUNCTION("""COMPUTED_VALUE"""),"5400")</f>
        <v>5400</v>
      </c>
      <c r="C307" s="15" t="str">
        <f>IFERROR(__xludf.DUMMYFUNCTION("""COMPUTED_VALUE"""),"30")</f>
        <v>30</v>
      </c>
      <c r="D307" s="15" t="str">
        <f>IFERROR(__xludf.DUMMYFUNCTION("""COMPUTED_VALUE"""),"Not ranking")</f>
        <v>Not ranking</v>
      </c>
      <c r="E307" s="15" t="str">
        <f>IFERROR(__xludf.DUMMYFUNCTION("""COMPUTED_VALUE"""),"76")</f>
        <v>76</v>
      </c>
      <c r="F307" s="17" t="str">
        <f>IFERROR(__xludf.DUMMYFUNCTION("""COMPUTED_VALUE"""),"https://www.themeateater.com/hunt/black-tailed-deer/a-guide-to-hunting-blacktail-deer")</f>
        <v>https://www.themeateater.com/hunt/black-tailed-deer/a-guide-to-hunting-blacktail-deer</v>
      </c>
      <c r="G307" s="18" t="str">
        <f>IFERROR(__xludf.DUMMYFUNCTION("""COMPUTED_VALUE"""),"Not ranking")</f>
        <v>Not ranking</v>
      </c>
      <c r="H307" s="17" t="str">
        <f>IFERROR(__xludf.DUMMYFUNCTION("""COMPUTED_VALUE"""),"https://www.wideopenspaces.com/how-to-hunt-blacktail-deer/")</f>
        <v>https://www.wideopenspaces.com/how-to-hunt-blacktail-deer/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5" t="str">
        <f>IFERROR(__xludf.DUMMYFUNCTION("""COMPUTED_VALUE"""),"deer roast recipe")</f>
        <v>deer roast recipe</v>
      </c>
      <c r="B308" s="15" t="str">
        <f>IFERROR(__xludf.DUMMYFUNCTION("""COMPUTED_VALUE"""),"1900")</f>
        <v>1900</v>
      </c>
      <c r="C308" s="15" t="str">
        <f>IFERROR(__xludf.DUMMYFUNCTION("""COMPUTED_VALUE"""),"30")</f>
        <v>30</v>
      </c>
      <c r="D308" s="15" t="str">
        <f>IFERROR(__xludf.DUMMYFUNCTION("""COMPUTED_VALUE"""),"28")</f>
        <v>28</v>
      </c>
      <c r="E308" s="15" t="str">
        <f>IFERROR(__xludf.DUMMYFUNCTION("""COMPUTED_VALUE"""),"77")</f>
        <v>77</v>
      </c>
      <c r="F308" s="17" t="str">
        <f>IFERROR(__xludf.DUMMYFUNCTION("""COMPUTED_VALUE"""),"https://www.themeateater.com/cook/recipes/shredded-venison-roast")</f>
        <v>https://www.themeateater.com/cook/recipes/shredded-venison-roast</v>
      </c>
      <c r="G308" s="17" t="str">
        <f>IFERROR(__xludf.DUMMYFUNCTION("""COMPUTED_VALUE"""),"https://realtree.com/timber-2-table-wild-game-recipes/stovetop-venison-roast")</f>
        <v>https://realtree.com/timber-2-table-wild-game-recipes/stovetop-venison-roast</v>
      </c>
      <c r="H308" s="17" t="str">
        <f>IFERROR(__xludf.DUMMYFUNCTION("""COMPUTED_VALUE"""),"https://www.wideopenspaces.com/instant-pot-venison-roast-yep-heres-a-recipe/")</f>
        <v>https://www.wideopenspaces.com/instant-pot-venison-roast-yep-heres-a-recipe/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5" t="str">
        <f>IFERROR(__xludf.DUMMYFUNCTION("""COMPUTED_VALUE"""),"deer droppings")</f>
        <v>deer droppings</v>
      </c>
      <c r="B309" s="15" t="str">
        <f>IFERROR(__xludf.DUMMYFUNCTION("""COMPUTED_VALUE"""),"1300")</f>
        <v>1300</v>
      </c>
      <c r="C309" s="15" t="str">
        <f>IFERROR(__xludf.DUMMYFUNCTION("""COMPUTED_VALUE"""),"30")</f>
        <v>30</v>
      </c>
      <c r="D309" s="15" t="str">
        <f>IFERROR(__xludf.DUMMYFUNCTION("""COMPUTED_VALUE"""),"4")</f>
        <v>4</v>
      </c>
      <c r="E309" s="15" t="str">
        <f>IFERROR(__xludf.DUMMYFUNCTION("""COMPUTED_VALUE"""),"Not ranking")</f>
        <v>Not ranking</v>
      </c>
      <c r="F309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309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309" s="18" t="str">
        <f>IFERROR(__xludf.DUMMYFUNCTION("""COMPUTED_VALUE"""),"Not ranking")</f>
        <v>Not ranking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5" t="str">
        <f>IFERROR(__xludf.DUMMYFUNCTION("""COMPUTED_VALUE"""),"elk deer")</f>
        <v>elk deer</v>
      </c>
      <c r="B310" s="15" t="str">
        <f>IFERROR(__xludf.DUMMYFUNCTION("""COMPUTED_VALUE"""),"1300")</f>
        <v>1300</v>
      </c>
      <c r="C310" s="15" t="str">
        <f>IFERROR(__xludf.DUMMYFUNCTION("""COMPUTED_VALUE"""),"30")</f>
        <v>30</v>
      </c>
      <c r="D310" s="15" t="str">
        <f>IFERROR(__xludf.DUMMYFUNCTION("""COMPUTED_VALUE"""),"Not ranking")</f>
        <v>Not ranking</v>
      </c>
      <c r="E310" s="15" t="str">
        <f>IFERROR(__xludf.DUMMYFUNCTION("""COMPUTED_VALUE"""),"Not ranking")</f>
        <v>Not ranking</v>
      </c>
      <c r="F310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310" s="18" t="str">
        <f>IFERROR(__xludf.DUMMYFUNCTION("""COMPUTED_VALUE"""),"Not ranking")</f>
        <v>Not ranking</v>
      </c>
      <c r="H310" s="18" t="str">
        <f>IFERROR(__xludf.DUMMYFUNCTION("""COMPUTED_VALUE"""),"Not ranking")</f>
        <v>Not ranking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5" t="str">
        <f>IFERROR(__xludf.DUMMYFUNCTION("""COMPUTED_VALUE"""),"deer antler age chart")</f>
        <v>deer antler age chart</v>
      </c>
      <c r="B311" s="15" t="str">
        <f>IFERROR(__xludf.DUMMYFUNCTION("""COMPUTED_VALUE"""),"1000")</f>
        <v>1000</v>
      </c>
      <c r="C311" s="15" t="str">
        <f>IFERROR(__xludf.DUMMYFUNCTION("""COMPUTED_VALUE"""),"30")</f>
        <v>30</v>
      </c>
      <c r="D311" s="15" t="str">
        <f>IFERROR(__xludf.DUMMYFUNCTION("""COMPUTED_VALUE"""),"Not ranking")</f>
        <v>Not ranking</v>
      </c>
      <c r="E311" s="15" t="str">
        <f>IFERROR(__xludf.DUMMYFUNCTION("""COMPUTED_VALUE"""),"Not ranking")</f>
        <v>Not ranking</v>
      </c>
      <c r="F311" s="17" t="str">
        <f>IFERROR(__xludf.DUMMYFUNCTION("""COMPUTED_VALUE"""),"https://www.themeateater.com/wired-to-hunt/whitetail-management/how-to-age-a-whitetail-buck-on-the-hoof")</f>
        <v>https://www.themeateater.com/wired-to-hunt/whitetail-management/how-to-age-a-whitetail-buck-on-the-hoof</v>
      </c>
      <c r="G311" s="18" t="str">
        <f>IFERROR(__xludf.DUMMYFUNCTION("""COMPUTED_VALUE"""),"Not ranking")</f>
        <v>Not ranking</v>
      </c>
      <c r="H311" s="18" t="str">
        <f>IFERROR(__xludf.DUMMYFUNCTION("""COMPUTED_VALUE"""),"Not ranking")</f>
        <v>Not ranking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5" t="str">
        <f>IFERROR(__xludf.DUMMYFUNCTION("""COMPUTED_VALUE"""),"attacking deer")</f>
        <v>attacking deer</v>
      </c>
      <c r="B312" s="15" t="str">
        <f>IFERROR(__xludf.DUMMYFUNCTION("""COMPUTED_VALUE"""),"880")</f>
        <v>880</v>
      </c>
      <c r="C312" s="15" t="str">
        <f>IFERROR(__xludf.DUMMYFUNCTION("""COMPUTED_VALUE"""),"30")</f>
        <v>30</v>
      </c>
      <c r="D312" s="15" t="str">
        <f>IFERROR(__xludf.DUMMYFUNCTION("""COMPUTED_VALUE"""),"20")</f>
        <v>20</v>
      </c>
      <c r="E312" s="15" t="str">
        <f>IFERROR(__xludf.DUMMYFUNCTION("""COMPUTED_VALUE"""),"Not ranking")</f>
        <v>Not ranking</v>
      </c>
      <c r="F312" s="17" t="str">
        <f>IFERROR(__xludf.DUMMYFUNCTION("""COMPUTED_VALUE"""),"https://www.themeateater.com/watch/6297952570001/video-mountain-lion-peels-bark-to-hide-deer-kill")</f>
        <v>https://www.themeateater.com/watch/6297952570001/video-mountain-lion-peels-bark-to-hide-deer-kill</v>
      </c>
      <c r="G312" s="17" t="str">
        <f>IFERROR(__xludf.DUMMYFUNCTION("""COMPUTED_VALUE"""),"https://realtree.com/turkey-blog-with-steve-hickoff/video-territorial-deer-attack-on-backyard-turkey-flock")</f>
        <v>https://realtree.com/turkey-blog-with-steve-hickoff/video-territorial-deer-attack-on-backyard-turkey-flock</v>
      </c>
      <c r="H312" s="18" t="str">
        <f>IFERROR(__xludf.DUMMYFUNCTION("""COMPUTED_VALUE"""),"Not ranking")</f>
        <v>Not ranking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5" t="str">
        <f>IFERROR(__xludf.DUMMYFUNCTION("""COMPUTED_VALUE"""),"deer meat recipe")</f>
        <v>deer meat recipe</v>
      </c>
      <c r="B313" s="15" t="str">
        <f>IFERROR(__xludf.DUMMYFUNCTION("""COMPUTED_VALUE"""),"880")</f>
        <v>880</v>
      </c>
      <c r="C313" s="15" t="str">
        <f>IFERROR(__xludf.DUMMYFUNCTION("""COMPUTED_VALUE"""),"30")</f>
        <v>30</v>
      </c>
      <c r="D313" s="15" t="str">
        <f>IFERROR(__xludf.DUMMYFUNCTION("""COMPUTED_VALUE"""),"51")</f>
        <v>51</v>
      </c>
      <c r="E313" s="15" t="str">
        <f>IFERROR(__xludf.DUMMYFUNCTION("""COMPUTED_VALUE"""),"Not ranking")</f>
        <v>Not ranking</v>
      </c>
      <c r="F313" s="17" t="str">
        <f>IFERROR(__xludf.DUMMYFUNCTION("""COMPUTED_VALUE"""),"https://www.themeateater.com/recipes/ingredients/venison")</f>
        <v>https://www.themeateater.com/recipes/ingredients/venison</v>
      </c>
      <c r="G313" s="17" t="str">
        <f>IFERROR(__xludf.DUMMYFUNCTION("""COMPUTED_VALUE"""),"https://realtree.com/brow-tines-and-backstrap/10-awesome-venison-recipes-for-deer-hunters")</f>
        <v>https://realtree.com/brow-tines-and-backstrap/10-awesome-venison-recipes-for-deer-hunters</v>
      </c>
      <c r="H313" s="18" t="str">
        <f>IFERROR(__xludf.DUMMYFUNCTION("""COMPUTED_VALUE"""),"Not ranking")</f>
        <v>Not ranking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5" t="str">
        <f>IFERROR(__xludf.DUMMYFUNCTION("""COMPUTED_VALUE"""),"mule deer doe")</f>
        <v>mule deer doe</v>
      </c>
      <c r="B314" s="15" t="str">
        <f>IFERROR(__xludf.DUMMYFUNCTION("""COMPUTED_VALUE"""),"880")</f>
        <v>880</v>
      </c>
      <c r="C314" s="15" t="str">
        <f>IFERROR(__xludf.DUMMYFUNCTION("""COMPUTED_VALUE"""),"30")</f>
        <v>30</v>
      </c>
      <c r="D314" s="15" t="str">
        <f>IFERROR(__xludf.DUMMYFUNCTION("""COMPUTED_VALUE"""),"5")</f>
        <v>5</v>
      </c>
      <c r="E314" s="15" t="str">
        <f>IFERROR(__xludf.DUMMYFUNCTION("""COMPUTED_VALUE"""),"Not ranking")</f>
        <v>Not ranking</v>
      </c>
      <c r="F314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314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314" s="18" t="str">
        <f>IFERROR(__xludf.DUMMYFUNCTION("""COMPUTED_VALUE"""),"Not ranking")</f>
        <v>Not ranking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5" t="str">
        <f>IFERROR(__xludf.DUMMYFUNCTION("""COMPUTED_VALUE"""),"how much meat from a deer")</f>
        <v>how much meat from a deer</v>
      </c>
      <c r="B315" s="15" t="str">
        <f>IFERROR(__xludf.DUMMYFUNCTION("""COMPUTED_VALUE"""),"720")</f>
        <v>720</v>
      </c>
      <c r="C315" s="15" t="str">
        <f>IFERROR(__xludf.DUMMYFUNCTION("""COMPUTED_VALUE"""),"30")</f>
        <v>30</v>
      </c>
      <c r="D315" s="15" t="str">
        <f>IFERROR(__xludf.DUMMYFUNCTION("""COMPUTED_VALUE"""),"39")</f>
        <v>39</v>
      </c>
      <c r="E315" s="15" t="str">
        <f>IFERROR(__xludf.DUMMYFUNCTION("""COMPUTED_VALUE"""),"16")</f>
        <v>16</v>
      </c>
      <c r="F315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315" s="17" t="str">
        <f>IFERROR(__xludf.DUMMYFUNCTION("""COMPUTED_VALUE"""),"https://realtree.com/timber-2-table-articles/meat-hunter-s-rules-for-shooting-the-right-deer")</f>
        <v>https://realtree.com/timber-2-table-articles/meat-hunter-s-rules-for-shooting-the-right-deer</v>
      </c>
      <c r="H315" s="17" t="str">
        <f>IFERROR(__xludf.DUMMYFUNCTION("""COMPUTED_VALUE"""),"https://www.wideopenspaces.com/heres-a-video-showing-how-much-meat-you-should-expect-from-a-whitetail-deer/")</f>
        <v>https://www.wideopenspaces.com/heres-a-video-showing-how-much-meat-you-should-expect-from-a-whitetail-deer/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5" t="str">
        <f>IFERROR(__xludf.DUMMYFUNCTION("""COMPUTED_VALUE"""),"deer spikes")</f>
        <v>deer spikes</v>
      </c>
      <c r="B316" s="15" t="str">
        <f>IFERROR(__xludf.DUMMYFUNCTION("""COMPUTED_VALUE"""),"1600")</f>
        <v>1600</v>
      </c>
      <c r="C316" s="15" t="str">
        <f>IFERROR(__xludf.DUMMYFUNCTION("""COMPUTED_VALUE"""),"31")</f>
        <v>31</v>
      </c>
      <c r="D316" s="15" t="str">
        <f>IFERROR(__xludf.DUMMYFUNCTION("""COMPUTED_VALUE"""),"Not ranking")</f>
        <v>Not ranking</v>
      </c>
      <c r="E316" s="15" t="str">
        <f>IFERROR(__xludf.DUMMYFUNCTION("""COMPUTED_VALUE"""),"18")</f>
        <v>18</v>
      </c>
      <c r="F316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316" s="18" t="str">
        <f>IFERROR(__xludf.DUMMYFUNCTION("""COMPUTED_VALUE"""),"Not ranking")</f>
        <v>Not ranking</v>
      </c>
      <c r="H316" s="17" t="str">
        <f>IFERROR(__xludf.DUMMYFUNCTION("""COMPUTED_VALUE"""),"https://www.wideopenspaces.com/spike-deer-science/")</f>
        <v>https://www.wideopenspaces.com/spike-deer-science/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5" t="str">
        <f>IFERROR(__xludf.DUMMYFUNCTION("""COMPUTED_VALUE"""),"deer out")</f>
        <v>deer out</v>
      </c>
      <c r="B317" s="15" t="str">
        <f>IFERROR(__xludf.DUMMYFUNCTION("""COMPUTED_VALUE"""),"1600")</f>
        <v>1600</v>
      </c>
      <c r="C317" s="15" t="str">
        <f>IFERROR(__xludf.DUMMYFUNCTION("""COMPUTED_VALUE"""),"32")</f>
        <v>32</v>
      </c>
      <c r="D317" s="15" t="str">
        <f>IFERROR(__xludf.DUMMYFUNCTION("""COMPUTED_VALUE"""),"Not ranking")</f>
        <v>Not ranking</v>
      </c>
      <c r="E317" s="15" t="str">
        <f>IFERROR(__xludf.DUMMYFUNCTION("""COMPUTED_VALUE"""),"Not ranking")</f>
        <v>Not ranking</v>
      </c>
      <c r="F317" s="17" t="str">
        <f>IFERROR(__xludf.DUMMYFUNCTION("""COMPUTED_VALUE"""),"https://www.themeateater.com/wired-to-hunt/whitetail-hunting/3-ways-to-get-your-deer-out-of-the-woods")</f>
        <v>https://www.themeateater.com/wired-to-hunt/whitetail-hunting/3-ways-to-get-your-deer-out-of-the-woods</v>
      </c>
      <c r="G317" s="18" t="str">
        <f>IFERROR(__xludf.DUMMYFUNCTION("""COMPUTED_VALUE"""),"Not ranking")</f>
        <v>Not ranking</v>
      </c>
      <c r="H317" s="18" t="str">
        <f>IFERROR(__xludf.DUMMYFUNCTION("""COMPUTED_VALUE"""),"Not ranking")</f>
        <v>Not ranking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5" t="str">
        <f>IFERROR(__xludf.DUMMYFUNCTION("""COMPUTED_VALUE"""),"whitetail deer anatomy")</f>
        <v>whitetail deer anatomy</v>
      </c>
      <c r="B318" s="15" t="str">
        <f>IFERROR(__xludf.DUMMYFUNCTION("""COMPUTED_VALUE"""),"1300")</f>
        <v>1300</v>
      </c>
      <c r="C318" s="15" t="str">
        <f>IFERROR(__xludf.DUMMYFUNCTION("""COMPUTED_VALUE"""),"32")</f>
        <v>32</v>
      </c>
      <c r="D318" s="15" t="str">
        <f>IFERROR(__xludf.DUMMYFUNCTION("""COMPUTED_VALUE"""),"20")</f>
        <v>20</v>
      </c>
      <c r="E318" s="15" t="str">
        <f>IFERROR(__xludf.DUMMYFUNCTION("""COMPUTED_VALUE"""),"59")</f>
        <v>59</v>
      </c>
      <c r="F318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318" s="17" t="str">
        <f>IFERROR(__xludf.DUMMYFUNCTION("""COMPUTED_VALUE"""),"https://realtree.com/deer-hunting/articles/the-best-shot-placement-on-deer")</f>
        <v>https://realtree.com/deer-hunting/articles/the-best-shot-placement-on-deer</v>
      </c>
      <c r="H318" s="17" t="str">
        <f>IFERROR(__xludf.DUMMYFUNCTION("""COMPUTED_VALUE"""),"https://www.wideopenspaces.com/the-great-deer-anatomy-explainer-and-what-you-need-to-know-as-a-hunter/")</f>
        <v>https://www.wideopenspaces.com/the-great-deer-anatomy-explainer-and-what-you-need-to-know-as-a-hunter/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5" t="str">
        <f>IFERROR(__xludf.DUMMYFUNCTION("""COMPUTED_VALUE"""),"deer mounta")</f>
        <v>deer mounta</v>
      </c>
      <c r="B319" s="15" t="str">
        <f>IFERROR(__xludf.DUMMYFUNCTION("""COMPUTED_VALUE"""),"720")</f>
        <v>720</v>
      </c>
      <c r="C319" s="15" t="str">
        <f>IFERROR(__xludf.DUMMYFUNCTION("""COMPUTED_VALUE"""),"32")</f>
        <v>32</v>
      </c>
      <c r="D319" s="15" t="str">
        <f>IFERROR(__xludf.DUMMYFUNCTION("""COMPUTED_VALUE"""),"6")</f>
        <v>6</v>
      </c>
      <c r="E319" s="15" t="str">
        <f>IFERROR(__xludf.DUMMYFUNCTION("""COMPUTED_VALUE"""),"27")</f>
        <v>27</v>
      </c>
      <c r="F319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319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319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5" t="str">
        <f>IFERROR(__xludf.DUMMYFUNCTION("""COMPUTED_VALUE"""),"deer videos")</f>
        <v>deer videos</v>
      </c>
      <c r="B320" s="15" t="str">
        <f>IFERROR(__xludf.DUMMYFUNCTION("""COMPUTED_VALUE"""),"720")</f>
        <v>720</v>
      </c>
      <c r="C320" s="15" t="str">
        <f>IFERROR(__xludf.DUMMYFUNCTION("""COMPUTED_VALUE"""),"32")</f>
        <v>32</v>
      </c>
      <c r="D320" s="15" t="str">
        <f>IFERROR(__xludf.DUMMYFUNCTION("""COMPUTED_VALUE"""),"Not ranking")</f>
        <v>Not ranking</v>
      </c>
      <c r="E320" s="15" t="str">
        <f>IFERROR(__xludf.DUMMYFUNCTION("""COMPUTED_VALUE"""),"Not ranking")</f>
        <v>Not ranking</v>
      </c>
      <c r="F320" s="17" t="str">
        <f>IFERROR(__xludf.DUMMYFUNCTION("""COMPUTED_VALUE"""),"https://www.themeateater.com/watch/6175620095001/how-to-field-dress-a-deer-with-steven-rinella")</f>
        <v>https://www.themeateater.com/watch/6175620095001/how-to-field-dress-a-deer-with-steven-rinella</v>
      </c>
      <c r="G320" s="18" t="str">
        <f>IFERROR(__xludf.DUMMYFUNCTION("""COMPUTED_VALUE"""),"Not ranking")</f>
        <v>Not ranking</v>
      </c>
      <c r="H320" s="18" t="str">
        <f>IFERROR(__xludf.DUMMYFUNCTION("""COMPUTED_VALUE"""),"Not ranking")</f>
        <v>Not ranking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5" t="str">
        <f>IFERROR(__xludf.DUMMYFUNCTION("""COMPUTED_VALUE"""),"how much meat from deer")</f>
        <v>how much meat from deer</v>
      </c>
      <c r="B321" s="15" t="str">
        <f>IFERROR(__xludf.DUMMYFUNCTION("""COMPUTED_VALUE"""),"720")</f>
        <v>720</v>
      </c>
      <c r="C321" s="15" t="str">
        <f>IFERROR(__xludf.DUMMYFUNCTION("""COMPUTED_VALUE"""),"32")</f>
        <v>32</v>
      </c>
      <c r="D321" s="15" t="str">
        <f>IFERROR(__xludf.DUMMYFUNCTION("""COMPUTED_VALUE"""),"39")</f>
        <v>39</v>
      </c>
      <c r="E321" s="15" t="str">
        <f>IFERROR(__xludf.DUMMYFUNCTION("""COMPUTED_VALUE"""),"19")</f>
        <v>19</v>
      </c>
      <c r="F321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321" s="17" t="str">
        <f>IFERROR(__xludf.DUMMYFUNCTION("""COMPUTED_VALUE"""),"https://realtree.com/timber-2-table-articles/meat-hunter-s-rules-for-shooting-the-right-deer")</f>
        <v>https://realtree.com/timber-2-table-articles/meat-hunter-s-rules-for-shooting-the-right-deer</v>
      </c>
      <c r="H321" s="17" t="str">
        <f>IFERROR(__xludf.DUMMYFUNCTION("""COMPUTED_VALUE"""),"https://www.wideopenspaces.com/heres-a-video-showing-how-much-meat-you-should-expect-from-a-whitetail-deer/")</f>
        <v>https://www.wideopenspaces.com/heres-a-video-showing-how-much-meat-you-should-expect-from-a-whitetail-deer/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5" t="str">
        <f>IFERROR(__xludf.DUMMYFUNCTION("""COMPUTED_VALUE"""),"deer bleat")</f>
        <v>deer bleat</v>
      </c>
      <c r="B322" s="15" t="str">
        <f>IFERROR(__xludf.DUMMYFUNCTION("""COMPUTED_VALUE"""),"590")</f>
        <v>590</v>
      </c>
      <c r="C322" s="15" t="str">
        <f>IFERROR(__xludf.DUMMYFUNCTION("""COMPUTED_VALUE"""),"32")</f>
        <v>32</v>
      </c>
      <c r="D322" s="15" t="str">
        <f>IFERROR(__xludf.DUMMYFUNCTION("""COMPUTED_VALUE"""),"Not ranking")</f>
        <v>Not ranking</v>
      </c>
      <c r="E322" s="15" t="str">
        <f>IFERROR(__xludf.DUMMYFUNCTION("""COMPUTED_VALUE"""),"37")</f>
        <v>37</v>
      </c>
      <c r="F322" s="17" t="str">
        <f>IFERROR(__xludf.DUMMYFUNCTION("""COMPUTED_VALUE"""),"https://www.themeateater.com/wired-to-hunt/whitetail-hunting/how-to-call-in-a-doe")</f>
        <v>https://www.themeateater.com/wired-to-hunt/whitetail-hunting/how-to-call-in-a-doe</v>
      </c>
      <c r="G322" s="18" t="str">
        <f>IFERROR(__xludf.DUMMYFUNCTION("""COMPUTED_VALUE"""),"Not ranking")</f>
        <v>Not ranking</v>
      </c>
      <c r="H322" s="17" t="str">
        <f>IFERROR(__xludf.DUMMYFUNCTION("""COMPUTED_VALUE"""),"https://www.wideopenspaces.com/how-to-find-the-right-deer-bleat-call-for-hunting/")</f>
        <v>https://www.wideopenspaces.com/how-to-find-the-right-deer-bleat-call-for-hunting/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5" t="str">
        <f>IFERROR(__xludf.DUMMYFUNCTION("""COMPUTED_VALUE"""),"points for deer")</f>
        <v>points for deer</v>
      </c>
      <c r="B323" s="15" t="str">
        <f>IFERROR(__xludf.DUMMYFUNCTION("""COMPUTED_VALUE"""),"590")</f>
        <v>590</v>
      </c>
      <c r="C323" s="15" t="str">
        <f>IFERROR(__xludf.DUMMYFUNCTION("""COMPUTED_VALUE"""),"32")</f>
        <v>32</v>
      </c>
      <c r="D323" s="15" t="str">
        <f>IFERROR(__xludf.DUMMYFUNCTION("""COMPUTED_VALUE"""),"6")</f>
        <v>6</v>
      </c>
      <c r="E323" s="15" t="str">
        <f>IFERROR(__xludf.DUMMYFUNCTION("""COMPUTED_VALUE"""),"Not ranking")</f>
        <v>Not ranking</v>
      </c>
      <c r="F323" s="17" t="str">
        <f>IFERROR(__xludf.DUMMYFUNCTION("""COMPUTED_VALUE"""),"https://www.themeateater.com/watch/5989788983001/meateater-glossary-pinch-point")</f>
        <v>https://www.themeateater.com/watch/5989788983001/meateater-glossary-pinch-point</v>
      </c>
      <c r="G323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323" s="18" t="str">
        <f>IFERROR(__xludf.DUMMYFUNCTION("""COMPUTED_VALUE"""),"Not ranking")</f>
        <v>Not ranking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5" t="str">
        <f>IFERROR(__xludf.DUMMYFUNCTION("""COMPUTED_VALUE"""),"deer blind")</f>
        <v>deer blind</v>
      </c>
      <c r="B324" s="15" t="str">
        <f>IFERROR(__xludf.DUMMYFUNCTION("""COMPUTED_VALUE"""),"8100")</f>
        <v>8100</v>
      </c>
      <c r="C324" s="15" t="str">
        <f>IFERROR(__xludf.DUMMYFUNCTION("""COMPUTED_VALUE"""),"33")</f>
        <v>33</v>
      </c>
      <c r="D324" s="15" t="str">
        <f>IFERROR(__xludf.DUMMYFUNCTION("""COMPUTED_VALUE"""),"Not ranking")</f>
        <v>Not ranking</v>
      </c>
      <c r="E324" s="15" t="str">
        <f>IFERROR(__xludf.DUMMYFUNCTION("""COMPUTED_VALUE"""),"72")</f>
        <v>72</v>
      </c>
      <c r="F324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324" s="18" t="str">
        <f>IFERROR(__xludf.DUMMYFUNCTION("""COMPUTED_VALUE"""),"Not ranking")</f>
        <v>Not ranking</v>
      </c>
      <c r="H324" s="17" t="str">
        <f>IFERROR(__xludf.DUMMYFUNCTION("""COMPUTED_VALUE"""),"https://www.wideopenspaces.com/deer-hunting-blind-spacious/")</f>
        <v>https://www.wideopenspaces.com/deer-hunting-blind-spacious/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5" t="str">
        <f>IFERROR(__xludf.DUMMYFUNCTION("""COMPUTED_VALUE"""),"vampire deer")</f>
        <v>vampire deer</v>
      </c>
      <c r="B325" s="15" t="str">
        <f>IFERROR(__xludf.DUMMYFUNCTION("""COMPUTED_VALUE"""),"5400")</f>
        <v>5400</v>
      </c>
      <c r="C325" s="15" t="str">
        <f>IFERROR(__xludf.DUMMYFUNCTION("""COMPUTED_VALUE"""),"33")</f>
        <v>33</v>
      </c>
      <c r="D325" s="15" t="str">
        <f>IFERROR(__xludf.DUMMYFUNCTION("""COMPUTED_VALUE"""),"Not ranking")</f>
        <v>Not ranking</v>
      </c>
      <c r="E325" s="15" t="str">
        <f>IFERROR(__xludf.DUMMYFUNCTION("""COMPUTED_VALUE"""),"42")</f>
        <v>42</v>
      </c>
      <c r="F325" s="17" t="str">
        <f>IFERROR(__xludf.DUMMYFUNCTION("""COMPUTED_VALUE"""),"https://www.themeateater.com/wired-to-hunt/whitetail-management/why-some-whitetails-grow-fangs")</f>
        <v>https://www.themeateater.com/wired-to-hunt/whitetail-management/why-some-whitetails-grow-fangs</v>
      </c>
      <c r="G325" s="18" t="str">
        <f>IFERROR(__xludf.DUMMYFUNCTION("""COMPUTED_VALUE"""),"Not ranking")</f>
        <v>Not ranking</v>
      </c>
      <c r="H325" s="17" t="str">
        <f>IFERROR(__xludf.DUMMYFUNCTION("""COMPUTED_VALUE"""),"https://www.wideopenspaces.com/vampire-deer-exist/")</f>
        <v>https://www.wideopenspaces.com/vampire-deer-exist/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5" t="str">
        <f>IFERROR(__xludf.DUMMYFUNCTION("""COMPUTED_VALUE"""),"rifle for deer")</f>
        <v>rifle for deer</v>
      </c>
      <c r="B326" s="15" t="str">
        <f>IFERROR(__xludf.DUMMYFUNCTION("""COMPUTED_VALUE"""),"1000")</f>
        <v>1000</v>
      </c>
      <c r="C326" s="15" t="str">
        <f>IFERROR(__xludf.DUMMYFUNCTION("""COMPUTED_VALUE"""),"33")</f>
        <v>33</v>
      </c>
      <c r="D326" s="15" t="str">
        <f>IFERROR(__xludf.DUMMYFUNCTION("""COMPUTED_VALUE"""),"Not ranking")</f>
        <v>Not ranking</v>
      </c>
      <c r="E326" s="15" t="str">
        <f>IFERROR(__xludf.DUMMYFUNCTION("""COMPUTED_VALUE"""),"21")</f>
        <v>21</v>
      </c>
      <c r="F326" s="17" t="str">
        <f>IFERROR(__xludf.DUMMYFUNCTION("""COMPUTED_VALUE"""),"https://www.themeateater.com/hunt/firearm-hunting/should-your-next-deer-rifle-be-an-ar-15")</f>
        <v>https://www.themeateater.com/hunt/firearm-hunting/should-your-next-deer-rifle-be-an-ar-15</v>
      </c>
      <c r="G326" s="18" t="str">
        <f>IFERROR(__xludf.DUMMYFUNCTION("""COMPUTED_VALUE"""),"Not ranking")</f>
        <v>Not ranking</v>
      </c>
      <c r="H326" s="17" t="str">
        <f>IFERROR(__xludf.DUMMYFUNCTION("""COMPUTED_VALUE"""),"https://www.wideopenspaces.com/best-deer-hunting-rifles/")</f>
        <v>https://www.wideopenspaces.com/best-deer-hunting-rifles/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5" t="str">
        <f>IFERROR(__xludf.DUMMYFUNCTION("""COMPUTED_VALUE"""),"muledeer")</f>
        <v>muledeer</v>
      </c>
      <c r="B327" s="15" t="str">
        <f>IFERROR(__xludf.DUMMYFUNCTION("""COMPUTED_VALUE"""),"720")</f>
        <v>720</v>
      </c>
      <c r="C327" s="15" t="str">
        <f>IFERROR(__xludf.DUMMYFUNCTION("""COMPUTED_VALUE"""),"33")</f>
        <v>33</v>
      </c>
      <c r="D327" s="15" t="str">
        <f>IFERROR(__xludf.DUMMYFUNCTION("""COMPUTED_VALUE"""),"Not ranking")</f>
        <v>Not ranking</v>
      </c>
      <c r="E327" s="15" t="str">
        <f>IFERROR(__xludf.DUMMYFUNCTION("""COMPUTED_VALUE"""),"Not ranking")</f>
        <v>Not ranking</v>
      </c>
      <c r="F327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327" s="18" t="str">
        <f>IFERROR(__xludf.DUMMYFUNCTION("""COMPUTED_VALUE"""),"Not ranking")</f>
        <v>Not ranking</v>
      </c>
      <c r="H327" s="18" t="str">
        <f>IFERROR(__xludf.DUMMYFUNCTION("""COMPUTED_VALUE"""),"Not ranking")</f>
        <v>Not ranking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5" t="str">
        <f>IFERROR(__xludf.DUMMYFUNCTION("""COMPUTED_VALUE"""),"not deer pictures")</f>
        <v>not deer pictures</v>
      </c>
      <c r="B328" s="15" t="str">
        <f>IFERROR(__xludf.DUMMYFUNCTION("""COMPUTED_VALUE"""),"720")</f>
        <v>720</v>
      </c>
      <c r="C328" s="15" t="str">
        <f>IFERROR(__xludf.DUMMYFUNCTION("""COMPUTED_VALUE"""),"33")</f>
        <v>33</v>
      </c>
      <c r="D328" s="15" t="str">
        <f>IFERROR(__xludf.DUMMYFUNCTION("""COMPUTED_VALUE"""),"Not ranking")</f>
        <v>Not ranking</v>
      </c>
      <c r="E328" s="15" t="str">
        <f>IFERROR(__xludf.DUMMYFUNCTION("""COMPUTED_VALUE"""),"Not ranking")</f>
        <v>Not ranking</v>
      </c>
      <c r="F328" s="17" t="str">
        <f>IFERROR(__xludf.DUMMYFUNCTION("""COMPUTED_VALUE"""),"https://www.themeateater.com/wired-to-hunt/whitetail-hunting-gear/5-mistakes-deer-hunters-make-with-trail-cameras")</f>
        <v>https://www.themeateater.com/wired-to-hunt/whitetail-hunting-gear/5-mistakes-deer-hunters-make-with-trail-cameras</v>
      </c>
      <c r="G328" s="18" t="str">
        <f>IFERROR(__xludf.DUMMYFUNCTION("""COMPUTED_VALUE"""),"Not ranking")</f>
        <v>Not ranking</v>
      </c>
      <c r="H328" s="18" t="str">
        <f>IFERROR(__xludf.DUMMYFUNCTION("""COMPUTED_VALUE"""),"Not ranking")</f>
        <v>Not ranking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5" t="str">
        <f>IFERROR(__xludf.DUMMYFUNCTION("""COMPUTED_VALUE"""),"taxidermy deer head")</f>
        <v>taxidermy deer head</v>
      </c>
      <c r="B329" s="15" t="str">
        <f>IFERROR(__xludf.DUMMYFUNCTION("""COMPUTED_VALUE"""),"720")</f>
        <v>720</v>
      </c>
      <c r="C329" s="15" t="str">
        <f>IFERROR(__xludf.DUMMYFUNCTION("""COMPUTED_VALUE"""),"33")</f>
        <v>33</v>
      </c>
      <c r="D329" s="15" t="str">
        <f>IFERROR(__xludf.DUMMYFUNCTION("""COMPUTED_VALUE"""),"11")</f>
        <v>11</v>
      </c>
      <c r="E329" s="15" t="str">
        <f>IFERROR(__xludf.DUMMYFUNCTION("""COMPUTED_VALUE"""),"80")</f>
        <v>80</v>
      </c>
      <c r="F329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329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329" s="17" t="str">
        <f>IFERROR(__xludf.DUMMYFUNCTION("""COMPUTED_VALUE"""),"https://www.wideopenspaces.com/deer-taxidermy-options/")</f>
        <v>https://www.wideopenspaces.com/deer-taxidermy-options/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5" t="str">
        <f>IFERROR(__xludf.DUMMYFUNCTION("""COMPUTED_VALUE"""),"deer roast recipes")</f>
        <v>deer roast recipes</v>
      </c>
      <c r="B330" s="15" t="str">
        <f>IFERROR(__xludf.DUMMYFUNCTION("""COMPUTED_VALUE"""),"590")</f>
        <v>590</v>
      </c>
      <c r="C330" s="15" t="str">
        <f>IFERROR(__xludf.DUMMYFUNCTION("""COMPUTED_VALUE"""),"33")</f>
        <v>33</v>
      </c>
      <c r="D330" s="15" t="str">
        <f>IFERROR(__xludf.DUMMYFUNCTION("""COMPUTED_VALUE"""),"24")</f>
        <v>24</v>
      </c>
      <c r="E330" s="15" t="str">
        <f>IFERROR(__xludf.DUMMYFUNCTION("""COMPUTED_VALUE"""),"82")</f>
        <v>82</v>
      </c>
      <c r="F330" s="17" t="str">
        <f>IFERROR(__xludf.DUMMYFUNCTION("""COMPUTED_VALUE"""),"https://www.themeateater.com/cook/recipes/shredded-venison-roast")</f>
        <v>https://www.themeateater.com/cook/recipes/shredded-venison-roast</v>
      </c>
      <c r="G330" s="17" t="str">
        <f>IFERROR(__xludf.DUMMYFUNCTION("""COMPUTED_VALUE"""),"https://realtree.com/timber-2-table-wild-game-recipes/stovetop-venison-roast")</f>
        <v>https://realtree.com/timber-2-table-wild-game-recipes/stovetop-venison-roast</v>
      </c>
      <c r="H330" s="17" t="str">
        <f>IFERROR(__xludf.DUMMYFUNCTION("""COMPUTED_VALUE"""),"https://www.wideopenspaces.com/this-savory-venison-roast-recipe-will-blow-everyone-away/")</f>
        <v>https://www.wideopenspaces.com/this-savory-venison-roast-recipe-will-blow-everyone-away/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5" t="str">
        <f>IFERROR(__xludf.DUMMYFUNCTION("""COMPUTED_VALUE"""),"hunting deer with shotgun")</f>
        <v>hunting deer with shotgun</v>
      </c>
      <c r="B331" s="15" t="str">
        <f>IFERROR(__xludf.DUMMYFUNCTION("""COMPUTED_VALUE"""),"590")</f>
        <v>590</v>
      </c>
      <c r="C331" s="15" t="str">
        <f>IFERROR(__xludf.DUMMYFUNCTION("""COMPUTED_VALUE"""),"33")</f>
        <v>33</v>
      </c>
      <c r="D331" s="15" t="str">
        <f>IFERROR(__xludf.DUMMYFUNCTION("""COMPUTED_VALUE"""),"8")</f>
        <v>8</v>
      </c>
      <c r="E331" s="15" t="str">
        <f>IFERROR(__xludf.DUMMYFUNCTION("""COMPUTED_VALUE"""),"1")</f>
        <v>1</v>
      </c>
      <c r="F331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331" s="17" t="str">
        <f>IFERROR(__xludf.DUMMYFUNCTION("""COMPUTED_VALUE"""),"https://realtree.com/deer-hunting/articles/deer-hunting-with-a-slug-gun")</f>
        <v>https://realtree.com/deer-hunting/articles/deer-hunting-with-a-slug-gun</v>
      </c>
      <c r="H331" s="17" t="str">
        <f>IFERROR(__xludf.DUMMYFUNCTION("""COMPUTED_VALUE"""),"https://www.wideopenspaces.com/the-legalities-trends-and-efficacy-of-deer-hunting-with-shotguns/")</f>
        <v>https://www.wideopenspaces.com/the-legalities-trends-and-efficacy-of-deer-hunting-with-shotguns/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5" t="str">
        <f>IFERROR(__xludf.DUMMYFUNCTION("""COMPUTED_VALUE"""),"deer age chart")</f>
        <v>deer age chart</v>
      </c>
      <c r="B332" s="15" t="str">
        <f>IFERROR(__xludf.DUMMYFUNCTION("""COMPUTED_VALUE"""),"1000")</f>
        <v>1000</v>
      </c>
      <c r="C332" s="15" t="str">
        <f>IFERROR(__xludf.DUMMYFUNCTION("""COMPUTED_VALUE"""),"34")</f>
        <v>34</v>
      </c>
      <c r="D332" s="15" t="str">
        <f>IFERROR(__xludf.DUMMYFUNCTION("""COMPUTED_VALUE"""),"56")</f>
        <v>56</v>
      </c>
      <c r="E332" s="15" t="str">
        <f>IFERROR(__xludf.DUMMYFUNCTION("""COMPUTED_VALUE"""),"43")</f>
        <v>43</v>
      </c>
      <c r="F332" s="17" t="str">
        <f>IFERROR(__xludf.DUMMYFUNCTION("""COMPUTED_VALUE"""),"https://www.themeateater.com/wired-to-hunt/whitetail-management/how-to-age-a-whitetail-buck-on-the-hoof")</f>
        <v>https://www.themeateater.com/wired-to-hunt/whitetail-management/how-to-age-a-whitetail-buck-on-the-hoof</v>
      </c>
      <c r="G332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332" s="17" t="str">
        <f>IFERROR(__xludf.DUMMYFUNCTION("""COMPUTED_VALUE"""),"https://www.wideopenspaces.com/tell-age-deer-pics/")</f>
        <v>https://www.wideopenspaces.com/tell-age-deer-pics/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5" t="str">
        <f>IFERROR(__xludf.DUMMYFUNCTION("""COMPUTED_VALUE"""),"deer idaho")</f>
        <v>deer idaho</v>
      </c>
      <c r="B333" s="15" t="str">
        <f>IFERROR(__xludf.DUMMYFUNCTION("""COMPUTED_VALUE"""),"1000")</f>
        <v>1000</v>
      </c>
      <c r="C333" s="15" t="str">
        <f>IFERROR(__xludf.DUMMYFUNCTION("""COMPUTED_VALUE"""),"34")</f>
        <v>34</v>
      </c>
      <c r="D333" s="15" t="str">
        <f>IFERROR(__xludf.DUMMYFUNCTION("""COMPUTED_VALUE"""),"Not ranking")</f>
        <v>Not ranking</v>
      </c>
      <c r="E333" s="15" t="str">
        <f>IFERROR(__xludf.DUMMYFUNCTION("""COMPUTED_VALUE"""),"Not ranking")</f>
        <v>Not ranking</v>
      </c>
      <c r="F333" s="17" t="str">
        <f>IFERROR(__xludf.DUMMYFUNCTION("""COMPUTED_VALUE"""),"https://www.themeateater.com/watch/6258237301001/s6-e04-land-of-the-giants-idaho-mule-deer-part-1")</f>
        <v>https://www.themeateater.com/watch/6258237301001/s6-e04-land-of-the-giants-idaho-mule-deer-part-1</v>
      </c>
      <c r="G333" s="18" t="str">
        <f>IFERROR(__xludf.DUMMYFUNCTION("""COMPUTED_VALUE"""),"Not ranking")</f>
        <v>Not ranking</v>
      </c>
      <c r="H333" s="18" t="str">
        <f>IFERROR(__xludf.DUMMYFUNCTION("""COMPUTED_VALUE"""),"Not ranking")</f>
        <v>Not ranking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5" t="str">
        <f>IFERROR(__xludf.DUMMYFUNCTION("""COMPUTED_VALUE"""),"deer laying down")</f>
        <v>deer laying down</v>
      </c>
      <c r="B334" s="15" t="str">
        <f>IFERROR(__xludf.DUMMYFUNCTION("""COMPUTED_VALUE"""),"1000")</f>
        <v>1000</v>
      </c>
      <c r="C334" s="15" t="str">
        <f>IFERROR(__xludf.DUMMYFUNCTION("""COMPUTED_VALUE"""),"34")</f>
        <v>34</v>
      </c>
      <c r="D334" s="15" t="str">
        <f>IFERROR(__xludf.DUMMYFUNCTION("""COMPUTED_VALUE"""),"Not ranking")</f>
        <v>Not ranking</v>
      </c>
      <c r="E334" s="15" t="str">
        <f>IFERROR(__xludf.DUMMYFUNCTION("""COMPUTED_VALUE"""),"Not ranking")</f>
        <v>Not ranking</v>
      </c>
      <c r="F334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334" s="18" t="str">
        <f>IFERROR(__xludf.DUMMYFUNCTION("""COMPUTED_VALUE"""),"Not ranking")</f>
        <v>Not ranking</v>
      </c>
      <c r="H334" s="18" t="str">
        <f>IFERROR(__xludf.DUMMYFUNCTION("""COMPUTED_VALUE"""),"Not ranking")</f>
        <v>Not ranking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5" t="str">
        <f>IFERROR(__xludf.DUMMYFUNCTION("""COMPUTED_VALUE"""),"deer gutting knife")</f>
        <v>deer gutting knife</v>
      </c>
      <c r="B335" s="15" t="str">
        <f>IFERROR(__xludf.DUMMYFUNCTION("""COMPUTED_VALUE"""),"720")</f>
        <v>720</v>
      </c>
      <c r="C335" s="15" t="str">
        <f>IFERROR(__xludf.DUMMYFUNCTION("""COMPUTED_VALUE"""),"34")</f>
        <v>34</v>
      </c>
      <c r="D335" s="15" t="str">
        <f>IFERROR(__xludf.DUMMYFUNCTION("""COMPUTED_VALUE"""),"24")</f>
        <v>24</v>
      </c>
      <c r="E335" s="15" t="str">
        <f>IFERROR(__xludf.DUMMYFUNCTION("""COMPUTED_VALUE"""),"Not ranking")</f>
        <v>Not ranking</v>
      </c>
      <c r="F335" s="17" t="str">
        <f>IFERROR(__xludf.DUMMYFUNCTION("""COMPUTED_VALUE"""),"https://www.themeateater.com/gear/general/best-hunting-knives")</f>
        <v>https://www.themeateater.com/gear/general/best-hunting-knives</v>
      </c>
      <c r="G335" s="17" t="str">
        <f>IFERROR(__xludf.DUMMYFUNCTION("""COMPUTED_VALUE"""),"https://realtree.com/brow-tines-and-backstrap/choose-the-best-knife-for-deer-hunting")</f>
        <v>https://realtree.com/brow-tines-and-backstrap/choose-the-best-knife-for-deer-hunting</v>
      </c>
      <c r="H335" s="18" t="str">
        <f>IFERROR(__xludf.DUMMYFUNCTION("""COMPUTED_VALUE"""),"Not ranking")</f>
        <v>Not ranking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5" t="str">
        <f>IFERROR(__xludf.DUMMYFUNCTION("""COMPUTED_VALUE"""),"deer standing")</f>
        <v>deer standing</v>
      </c>
      <c r="B336" s="15" t="str">
        <f>IFERROR(__xludf.DUMMYFUNCTION("""COMPUTED_VALUE"""),"720")</f>
        <v>720</v>
      </c>
      <c r="C336" s="15" t="str">
        <f>IFERROR(__xludf.DUMMYFUNCTION("""COMPUTED_VALUE"""),"34")</f>
        <v>34</v>
      </c>
      <c r="D336" s="15" t="str">
        <f>IFERROR(__xludf.DUMMYFUNCTION("""COMPUTED_VALUE"""),"Not ranking")</f>
        <v>Not ranking</v>
      </c>
      <c r="E336" s="15" t="str">
        <f>IFERROR(__xludf.DUMMYFUNCTION("""COMPUTED_VALUE"""),"Not ranking")</f>
        <v>Not ranking</v>
      </c>
      <c r="F336" s="17" t="str">
        <f>IFERROR(__xludf.DUMMYFUNCTION("""COMPUTED_VALUE"""),"https://www.themeateater.com/wired-to-hunt/whitetail-hunting/how-to-deer-hunt-standing-corn")</f>
        <v>https://www.themeateater.com/wired-to-hunt/whitetail-hunting/how-to-deer-hunt-standing-corn</v>
      </c>
      <c r="G336" s="18" t="str">
        <f>IFERROR(__xludf.DUMMYFUNCTION("""COMPUTED_VALUE"""),"Not ranking")</f>
        <v>Not ranking</v>
      </c>
      <c r="H336" s="18" t="str">
        <f>IFERROR(__xludf.DUMMYFUNCTION("""COMPUTED_VALUE"""),"Not ranking")</f>
        <v>Not ranking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5" t="str">
        <f>IFERROR(__xludf.DUMMYFUNCTION("""COMPUTED_VALUE"""),"is an elk a deer")</f>
        <v>is an elk a deer</v>
      </c>
      <c r="B337" s="15" t="str">
        <f>IFERROR(__xludf.DUMMYFUNCTION("""COMPUTED_VALUE"""),"720")</f>
        <v>720</v>
      </c>
      <c r="C337" s="15" t="str">
        <f>IFERROR(__xludf.DUMMYFUNCTION("""COMPUTED_VALUE"""),"34")</f>
        <v>34</v>
      </c>
      <c r="D337" s="15" t="str">
        <f>IFERROR(__xludf.DUMMYFUNCTION("""COMPUTED_VALUE"""),"Not ranking")</f>
        <v>Not ranking</v>
      </c>
      <c r="E337" s="15" t="str">
        <f>IFERROR(__xludf.DUMMYFUNCTION("""COMPUTED_VALUE"""),"31")</f>
        <v>31</v>
      </c>
      <c r="F337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337" s="18" t="str">
        <f>IFERROR(__xludf.DUMMYFUNCTION("""COMPUTED_VALUE"""),"Not ranking")</f>
        <v>Not ranking</v>
      </c>
      <c r="H337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5" t="str">
        <f>IFERROR(__xludf.DUMMYFUNCTION("""COMPUTED_VALUE"""),"hang on deer stand")</f>
        <v>hang on deer stand</v>
      </c>
      <c r="B338" s="15" t="str">
        <f>IFERROR(__xludf.DUMMYFUNCTION("""COMPUTED_VALUE"""),"590")</f>
        <v>590</v>
      </c>
      <c r="C338" s="15" t="str">
        <f>IFERROR(__xludf.DUMMYFUNCTION("""COMPUTED_VALUE"""),"34")</f>
        <v>34</v>
      </c>
      <c r="D338" s="15" t="str">
        <f>IFERROR(__xludf.DUMMYFUNCTION("""COMPUTED_VALUE"""),"58")</f>
        <v>58</v>
      </c>
      <c r="E338" s="15" t="str">
        <f>IFERROR(__xludf.DUMMYFUNCTION("""COMPUTED_VALUE"""),"74")</f>
        <v>74</v>
      </c>
      <c r="F338" s="17" t="str">
        <f>IFERROR(__xludf.DUMMYFUNCTION("""COMPUTED_VALUE"""),"https://www.themeateater.com/wired-to-hunt/whitetail-hunting-gear/youre-hanging-your-tree-stands-wrong")</f>
        <v>https://www.themeateater.com/wired-to-hunt/whitetail-hunting-gear/youre-hanging-your-tree-stands-wrong</v>
      </c>
      <c r="G338" s="17" t="str">
        <f>IFERROR(__xludf.DUMMYFUNCTION("""COMPUTED_VALUE"""),"https://realtree.com/brow-tines-and-backstrap/is-it-safe-to-leave-treestands-out-all-year")</f>
        <v>https://realtree.com/brow-tines-and-backstrap/is-it-safe-to-leave-treestands-out-all-year</v>
      </c>
      <c r="H338" s="17" t="str">
        <f>IFERROR(__xludf.DUMMYFUNCTION("""COMPUTED_VALUE"""),"https://www.wideopenspaces.com/make-your-own-wooden-hang-on-deer-stand-this-guy-did/")</f>
        <v>https://www.wideopenspaces.com/make-your-own-wooden-hang-on-deer-stand-this-guy-did/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5" t="str">
        <f>IFERROR(__xludf.DUMMYFUNCTION("""COMPUTED_VALUE"""),"taxidermy for deer")</f>
        <v>taxidermy for deer</v>
      </c>
      <c r="B339" s="15" t="str">
        <f>IFERROR(__xludf.DUMMYFUNCTION("""COMPUTED_VALUE"""),"590")</f>
        <v>590</v>
      </c>
      <c r="C339" s="15" t="str">
        <f>IFERROR(__xludf.DUMMYFUNCTION("""COMPUTED_VALUE"""),"34")</f>
        <v>34</v>
      </c>
      <c r="D339" s="15" t="str">
        <f>IFERROR(__xludf.DUMMYFUNCTION("""COMPUTED_VALUE"""),"14")</f>
        <v>14</v>
      </c>
      <c r="E339" s="15" t="str">
        <f>IFERROR(__xludf.DUMMYFUNCTION("""COMPUTED_VALUE"""),"28")</f>
        <v>28</v>
      </c>
      <c r="F339" s="17" t="str">
        <f>IFERROR(__xludf.DUMMYFUNCTION("""COMPUTED_VALUE"""),"https://www.themeateater.com/wired-to-hunt/whitetail-hunting-gear/how-to-pick-a-good-deer-taxidermist")</f>
        <v>https://www.themeateater.com/wired-to-hunt/whitetail-hunting-gear/how-to-pick-a-good-deer-taxidermist</v>
      </c>
      <c r="G339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339" s="17" t="str">
        <f>IFERROR(__xludf.DUMMYFUNCTION("""COMPUTED_VALUE"""),"https://www.wideopenspaces.com/taxidermy-deer-mount-how-much/")</f>
        <v>https://www.wideopenspaces.com/taxidermy-deer-mount-how-much/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5" t="str">
        <f>IFERROR(__xludf.DUMMYFUNCTION("""COMPUTED_VALUE"""),"when is the deer rut")</f>
        <v>when is the deer rut</v>
      </c>
      <c r="B340" s="15" t="str">
        <f>IFERROR(__xludf.DUMMYFUNCTION("""COMPUTED_VALUE"""),"590")</f>
        <v>590</v>
      </c>
      <c r="C340" s="15" t="str">
        <f>IFERROR(__xludf.DUMMYFUNCTION("""COMPUTED_VALUE"""),"34")</f>
        <v>34</v>
      </c>
      <c r="D340" s="15" t="str">
        <f>IFERROR(__xludf.DUMMYFUNCTION("""COMPUTED_VALUE"""),"6")</f>
        <v>6</v>
      </c>
      <c r="E340" s="15" t="str">
        <f>IFERROR(__xludf.DUMMYFUNCTION("""COMPUTED_VALUE"""),"Not ranking")</f>
        <v>Not ranking</v>
      </c>
      <c r="F340" s="17" t="str">
        <f>IFERROR(__xludf.DUMMYFUNCTION("""COMPUTED_VALUE"""),"https://www.themeateater.com/wired-to-hunt/whitetail-hunting/rut-fresh-report-11-17-2022")</f>
        <v>https://www.themeateater.com/wired-to-hunt/whitetail-hunting/rut-fresh-report-11-17-2022</v>
      </c>
      <c r="G340" s="17" t="str">
        <f>IFERROR(__xludf.DUMMYFUNCTION("""COMPUTED_VALUE"""),"https://realtree.com/deer-hunting/articles/how-to-hunt-the-phases-of-the-rut")</f>
        <v>https://realtree.com/deer-hunting/articles/how-to-hunt-the-phases-of-the-rut</v>
      </c>
      <c r="H340" s="18" t="str">
        <f>IFERROR(__xludf.DUMMYFUNCTION("""COMPUTED_VALUE"""),"Not ranking")</f>
        <v>Not ranking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5" t="str">
        <f>IFERROR(__xludf.DUMMYFUNCTION("""COMPUTED_VALUE"""),"mule deer hunts")</f>
        <v>mule deer hunts</v>
      </c>
      <c r="B341" s="15" t="str">
        <f>IFERROR(__xludf.DUMMYFUNCTION("""COMPUTED_VALUE"""),"1300")</f>
        <v>1300</v>
      </c>
      <c r="C341" s="15" t="str">
        <f>IFERROR(__xludf.DUMMYFUNCTION("""COMPUTED_VALUE"""),"35")</f>
        <v>35</v>
      </c>
      <c r="D341" s="15" t="str">
        <f>IFERROR(__xludf.DUMMYFUNCTION("""COMPUTED_VALUE"""),"92")</f>
        <v>92</v>
      </c>
      <c r="E341" s="15" t="str">
        <f>IFERROR(__xludf.DUMMYFUNCTION("""COMPUTED_VALUE"""),"Not ranking")</f>
        <v>Not ranking</v>
      </c>
      <c r="F341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341" s="17" t="str">
        <f>IFERROR(__xludf.DUMMYFUNCTION("""COMPUTED_VALUE"""),"https://realtree.com/big-game-hunting/articles/plan-your-public-mule-deer-hunt-now")</f>
        <v>https://realtree.com/big-game-hunting/articles/plan-your-public-mule-deer-hunt-now</v>
      </c>
      <c r="H341" s="18" t="str">
        <f>IFERROR(__xludf.DUMMYFUNCTION("""COMPUTED_VALUE"""),"Not ranking")</f>
        <v>Not ranking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5" t="str">
        <f>IFERROR(__xludf.DUMMYFUNCTION("""COMPUTED_VALUE"""),"deer roast")</f>
        <v>deer roast</v>
      </c>
      <c r="B342" s="15" t="str">
        <f>IFERROR(__xludf.DUMMYFUNCTION("""COMPUTED_VALUE"""),"1000")</f>
        <v>1000</v>
      </c>
      <c r="C342" s="15" t="str">
        <f>IFERROR(__xludf.DUMMYFUNCTION("""COMPUTED_VALUE"""),"35")</f>
        <v>35</v>
      </c>
      <c r="D342" s="15" t="str">
        <f>IFERROR(__xludf.DUMMYFUNCTION("""COMPUTED_VALUE"""),"38")</f>
        <v>38</v>
      </c>
      <c r="E342" s="15" t="str">
        <f>IFERROR(__xludf.DUMMYFUNCTION("""COMPUTED_VALUE"""),"Not ranking")</f>
        <v>Not ranking</v>
      </c>
      <c r="F342" s="17" t="str">
        <f>IFERROR(__xludf.DUMMYFUNCTION("""COMPUTED_VALUE"""),"https://www.themeateater.com/cook/recipes/shredded-venison-roast")</f>
        <v>https://www.themeateater.com/cook/recipes/shredded-venison-roast</v>
      </c>
      <c r="G342" s="17" t="str">
        <f>IFERROR(__xludf.DUMMYFUNCTION("""COMPUTED_VALUE"""),"https://realtree.com/timber-2-table-wild-game-recipes/stovetop-venison-roast")</f>
        <v>https://realtree.com/timber-2-table-wild-game-recipes/stovetop-venison-roast</v>
      </c>
      <c r="H342" s="18" t="str">
        <f>IFERROR(__xludf.DUMMYFUNCTION("""COMPUTED_VALUE"""),"Not ranking")</f>
        <v>Not ranking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5" t="str">
        <f>IFERROR(__xludf.DUMMYFUNCTION("""COMPUTED_VALUE"""),"how to cook deer tenderloin")</f>
        <v>how to cook deer tenderloin</v>
      </c>
      <c r="B343" s="15" t="str">
        <f>IFERROR(__xludf.DUMMYFUNCTION("""COMPUTED_VALUE"""),"880")</f>
        <v>880</v>
      </c>
      <c r="C343" s="15" t="str">
        <f>IFERROR(__xludf.DUMMYFUNCTION("""COMPUTED_VALUE"""),"35")</f>
        <v>35</v>
      </c>
      <c r="D343" s="15" t="str">
        <f>IFERROR(__xludf.DUMMYFUNCTION("""COMPUTED_VALUE"""),"70")</f>
        <v>70</v>
      </c>
      <c r="E343" s="15" t="str">
        <f>IFERROR(__xludf.DUMMYFUNCTION("""COMPUTED_VALUE"""),"26")</f>
        <v>26</v>
      </c>
      <c r="F343" s="17" t="str">
        <f>IFERROR(__xludf.DUMMYFUNCTION("""COMPUTED_VALUE"""),"https://www.themeateater.com/watch/6175573952001/how-to-cook-venison-loin-in-the-field")</f>
        <v>https://www.themeateater.com/watch/6175573952001/how-to-cook-venison-loin-in-the-field</v>
      </c>
      <c r="G343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343" s="17" t="str">
        <f>IFERROR(__xludf.DUMMYFUNCTION("""COMPUTED_VALUE"""),"https://www.wideopenspaces.com/top-6-venison-tenderloin-recipes/")</f>
        <v>https://www.wideopenspaces.com/top-6-venison-tenderloin-recipes/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5" t="str">
        <f>IFERROR(__xludf.DUMMYFUNCTION("""COMPUTED_VALUE"""),"what do a deer sound like")</f>
        <v>what do a deer sound like</v>
      </c>
      <c r="B344" s="15" t="str">
        <f>IFERROR(__xludf.DUMMYFUNCTION("""COMPUTED_VALUE"""),"590")</f>
        <v>590</v>
      </c>
      <c r="C344" s="15" t="str">
        <f>IFERROR(__xludf.DUMMYFUNCTION("""COMPUTED_VALUE"""),"35")</f>
        <v>35</v>
      </c>
      <c r="D344" s="15" t="str">
        <f>IFERROR(__xludf.DUMMYFUNCTION("""COMPUTED_VALUE"""),"30")</f>
        <v>30</v>
      </c>
      <c r="E344" s="15" t="str">
        <f>IFERROR(__xludf.DUMMYFUNCTION("""COMPUTED_VALUE"""),"3")</f>
        <v>3</v>
      </c>
      <c r="F344" s="17" t="str">
        <f>IFERROR(__xludf.DUMMYFUNCTION("""COMPUTED_VALUE"""),"https://www.themeateater.com/hunt/whitetail-deer/video-rutting-buck-makes-crazy-vocalizations")</f>
        <v>https://www.themeateater.com/hunt/whitetail-deer/video-rutting-buck-makes-crazy-vocalizations</v>
      </c>
      <c r="G344" s="17" t="str">
        <f>IFERROR(__xludf.DUMMYFUNCTION("""COMPUTED_VALUE"""),"https://realtree.com/deer-hunting/articles/can-you-talk-deer")</f>
        <v>https://realtree.com/deer-hunting/articles/can-you-talk-deer</v>
      </c>
      <c r="H344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5" t="str">
        <f>IFERROR(__xludf.DUMMYFUNCTION("""COMPUTED_VALUE"""),"deer skin")</f>
        <v>deer skin</v>
      </c>
      <c r="B345" s="15" t="str">
        <f>IFERROR(__xludf.DUMMYFUNCTION("""COMPUTED_VALUE"""),"1600")</f>
        <v>1600</v>
      </c>
      <c r="C345" s="15" t="str">
        <f>IFERROR(__xludf.DUMMYFUNCTION("""COMPUTED_VALUE"""),"36")</f>
        <v>36</v>
      </c>
      <c r="D345" s="15" t="str">
        <f>IFERROR(__xludf.DUMMYFUNCTION("""COMPUTED_VALUE"""),"Not ranking")</f>
        <v>Not ranking</v>
      </c>
      <c r="E345" s="15" t="str">
        <f>IFERROR(__xludf.DUMMYFUNCTION("""COMPUTED_VALUE"""),"Not ranking")</f>
        <v>Not ranking</v>
      </c>
      <c r="F345" s="17" t="str">
        <f>IFERROR(__xludf.DUMMYFUNCTION("""COMPUTED_VALUE"""),"https://www.themeateater.com/cook/butchering-and-processing/how-to-tan-a-deer-hide")</f>
        <v>https://www.themeateater.com/cook/butchering-and-processing/how-to-tan-a-deer-hide</v>
      </c>
      <c r="G345" s="18" t="str">
        <f>IFERROR(__xludf.DUMMYFUNCTION("""COMPUTED_VALUE"""),"Not ranking")</f>
        <v>Not ranking</v>
      </c>
      <c r="H345" s="18" t="str">
        <f>IFERROR(__xludf.DUMMYFUNCTION("""COMPUTED_VALUE"""),"Not ranking")</f>
        <v>Not ranking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5" t="str">
        <f>IFERROR(__xludf.DUMMYFUNCTION("""COMPUTED_VALUE"""),"deer lease")</f>
        <v>deer lease</v>
      </c>
      <c r="B346" s="15" t="str">
        <f>IFERROR(__xludf.DUMMYFUNCTION("""COMPUTED_VALUE"""),"1300")</f>
        <v>1300</v>
      </c>
      <c r="C346" s="15" t="str">
        <f>IFERROR(__xludf.DUMMYFUNCTION("""COMPUTED_VALUE"""),"36")</f>
        <v>36</v>
      </c>
      <c r="D346" s="15" t="str">
        <f>IFERROR(__xludf.DUMMYFUNCTION("""COMPUTED_VALUE"""),"11")</f>
        <v>11</v>
      </c>
      <c r="E346" s="15" t="str">
        <f>IFERROR(__xludf.DUMMYFUNCTION("""COMPUTED_VALUE"""),"Not ranking")</f>
        <v>Not ranking</v>
      </c>
      <c r="F346" s="17" t="str">
        <f>IFERROR(__xludf.DUMMYFUNCTION("""COMPUTED_VALUE"""),"https://www.themeateater.com/hunt/big-game/ask-wired-to-hunt-how-do-i-find-a-hunting-lease")</f>
        <v>https://www.themeateater.com/hunt/big-game/ask-wired-to-hunt-how-do-i-find-a-hunting-lease</v>
      </c>
      <c r="G346" s="17" t="str">
        <f>IFERROR(__xludf.DUMMYFUNCTION("""COMPUTED_VALUE"""),"https://realtree.com/deer-hunting/articles/10-rules-for-deer-camp")</f>
        <v>https://realtree.com/deer-hunting/articles/10-rules-for-deer-camp</v>
      </c>
      <c r="H346" s="18" t="str">
        <f>IFERROR(__xludf.DUMMYFUNCTION("""COMPUTED_VALUE"""),"Not ranking")</f>
        <v>Not ranking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5" t="str">
        <f>IFERROR(__xludf.DUMMYFUNCTION("""COMPUTED_VALUE"""),"deer nose")</f>
        <v>deer nose</v>
      </c>
      <c r="B347" s="15" t="str">
        <f>IFERROR(__xludf.DUMMYFUNCTION("""COMPUTED_VALUE"""),"1000")</f>
        <v>1000</v>
      </c>
      <c r="C347" s="15" t="str">
        <f>IFERROR(__xludf.DUMMYFUNCTION("""COMPUTED_VALUE"""),"36")</f>
        <v>36</v>
      </c>
      <c r="D347" s="15" t="str">
        <f>IFERROR(__xludf.DUMMYFUNCTION("""COMPUTED_VALUE"""),"28")</f>
        <v>28</v>
      </c>
      <c r="E347" s="15" t="str">
        <f>IFERROR(__xludf.DUMMYFUNCTION("""COMPUTED_VALUE"""),"Not ranking")</f>
        <v>Not ranking</v>
      </c>
      <c r="F347" s="17" t="str">
        <f>IFERROR(__xludf.DUMMYFUNCTION("""COMPUTED_VALUE"""),"https://www.themeateater.com/wired-to-hunt/whitetail-hunting/unmeasured-power-how-well-can-deer-smell")</f>
        <v>https://www.themeateater.com/wired-to-hunt/whitetail-hunting/unmeasured-power-how-well-can-deer-smell</v>
      </c>
      <c r="G347" s="17" t="str">
        <f>IFERROR(__xludf.DUMMYFUNCTION("""COMPUTED_VALUE"""),"https://realtree.com/brow-tines-and-backstrap/alabama-s-mysterious-big-nose-deer")</f>
        <v>https://realtree.com/brow-tines-and-backstrap/alabama-s-mysterious-big-nose-deer</v>
      </c>
      <c r="H347" s="18" t="str">
        <f>IFERROR(__xludf.DUMMYFUNCTION("""COMPUTED_VALUE"""),"Not ranking")</f>
        <v>Not ranking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5" t="str">
        <f>IFERROR(__xludf.DUMMYFUNCTION("""COMPUTED_VALUE"""),"deer roast in crock pot")</f>
        <v>deer roast in crock pot</v>
      </c>
      <c r="B348" s="15" t="str">
        <f>IFERROR(__xludf.DUMMYFUNCTION("""COMPUTED_VALUE"""),"1000")</f>
        <v>1000</v>
      </c>
      <c r="C348" s="15" t="str">
        <f>IFERROR(__xludf.DUMMYFUNCTION("""COMPUTED_VALUE"""),"36")</f>
        <v>36</v>
      </c>
      <c r="D348" s="15" t="str">
        <f>IFERROR(__xludf.DUMMYFUNCTION("""COMPUTED_VALUE"""),"82")</f>
        <v>82</v>
      </c>
      <c r="E348" s="15" t="str">
        <f>IFERROR(__xludf.DUMMYFUNCTION("""COMPUTED_VALUE"""),"43")</f>
        <v>43</v>
      </c>
      <c r="F348" s="17" t="str">
        <f>IFERROR(__xludf.DUMMYFUNCTION("""COMPUTED_VALUE"""),"https://www.themeateater.com/recipes/techniques/slow-cooking")</f>
        <v>https://www.themeateater.com/recipes/techniques/slow-cooking</v>
      </c>
      <c r="G348" s="17" t="str">
        <f>IFERROR(__xludf.DUMMYFUNCTION("""COMPUTED_VALUE"""),"https://realtree.com/timber-2-table-wild-game-recipes/slow-cooker-venison-stroganoff")</f>
        <v>https://realtree.com/timber-2-table-wild-game-recipes/slow-cooker-venison-stroganoff</v>
      </c>
      <c r="H348" s="17" t="str">
        <f>IFERROR(__xludf.DUMMYFUNCTION("""COMPUTED_VALUE"""),"https://www.wideopenspaces.com/the-best-crock-pot-venison-pot-roast-recipe-ever/")</f>
        <v>https://www.wideopenspaces.com/the-best-crock-pot-venison-pot-roast-recipe-ever/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5" t="str">
        <f>IFERROR(__xludf.DUMMYFUNCTION("""COMPUTED_VALUE"""),"european deer mount ideas")</f>
        <v>european deer mount ideas</v>
      </c>
      <c r="B349" s="15" t="str">
        <f>IFERROR(__xludf.DUMMYFUNCTION("""COMPUTED_VALUE"""),"1000")</f>
        <v>1000</v>
      </c>
      <c r="C349" s="15" t="str">
        <f>IFERROR(__xludf.DUMMYFUNCTION("""COMPUTED_VALUE"""),"36")</f>
        <v>36</v>
      </c>
      <c r="D349" s="15" t="str">
        <f>IFERROR(__xludf.DUMMYFUNCTION("""COMPUTED_VALUE"""),"Not ranking")</f>
        <v>Not ranking</v>
      </c>
      <c r="E349" s="15" t="str">
        <f>IFERROR(__xludf.DUMMYFUNCTION("""COMPUTED_VALUE"""),"28")</f>
        <v>28</v>
      </c>
      <c r="F349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349" s="18" t="str">
        <f>IFERROR(__xludf.DUMMYFUNCTION("""COMPUTED_VALUE"""),"Not ranking")</f>
        <v>Not ranking</v>
      </c>
      <c r="H349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5" t="str">
        <f>IFERROR(__xludf.DUMMYFUNCTION("""COMPUTED_VALUE"""),"deer mounts for sale")</f>
        <v>deer mounts for sale</v>
      </c>
      <c r="B350" s="15" t="str">
        <f>IFERROR(__xludf.DUMMYFUNCTION("""COMPUTED_VALUE"""),"720")</f>
        <v>720</v>
      </c>
      <c r="C350" s="15" t="str">
        <f>IFERROR(__xludf.DUMMYFUNCTION("""COMPUTED_VALUE"""),"36")</f>
        <v>36</v>
      </c>
      <c r="D350" s="15" t="str">
        <f>IFERROR(__xludf.DUMMYFUNCTION("""COMPUTED_VALUE"""),"55")</f>
        <v>55</v>
      </c>
      <c r="E350" s="15" t="str">
        <f>IFERROR(__xludf.DUMMYFUNCTION("""COMPUTED_VALUE"""),"Not ranking")</f>
        <v>Not ranking</v>
      </c>
      <c r="F350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350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350" s="18" t="str">
        <f>IFERROR(__xludf.DUMMYFUNCTION("""COMPUTED_VALUE"""),"Not ranking")</f>
        <v>Not ranking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5" t="str">
        <f>IFERROR(__xludf.DUMMYFUNCTION("""COMPUTED_VALUE"""),"picture deer poop")</f>
        <v>picture deer poop</v>
      </c>
      <c r="B351" s="15" t="str">
        <f>IFERROR(__xludf.DUMMYFUNCTION("""COMPUTED_VALUE"""),"720")</f>
        <v>720</v>
      </c>
      <c r="C351" s="15" t="str">
        <f>IFERROR(__xludf.DUMMYFUNCTION("""COMPUTED_VALUE"""),"36")</f>
        <v>36</v>
      </c>
      <c r="D351" s="15" t="str">
        <f>IFERROR(__xludf.DUMMYFUNCTION("""COMPUTED_VALUE"""),"25")</f>
        <v>25</v>
      </c>
      <c r="E351" s="15" t="str">
        <f>IFERROR(__xludf.DUMMYFUNCTION("""COMPUTED_VALUE"""),"37")</f>
        <v>37</v>
      </c>
      <c r="F351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351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351" s="17" t="str">
        <f>IFERROR(__xludf.DUMMYFUNCTION("""COMPUTED_VALUE"""),"https://www.wideopenspaces.com/deer-poop-identification/")</f>
        <v>https://www.wideopenspaces.com/deer-poop-identification/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5" t="str">
        <f>IFERROR(__xludf.DUMMYFUNCTION("""COMPUTED_VALUE"""),"idaho mule deer hunts")</f>
        <v>idaho mule deer hunts</v>
      </c>
      <c r="B352" s="15" t="str">
        <f>IFERROR(__xludf.DUMMYFUNCTION("""COMPUTED_VALUE"""),"590")</f>
        <v>590</v>
      </c>
      <c r="C352" s="15" t="str">
        <f>IFERROR(__xludf.DUMMYFUNCTION("""COMPUTED_VALUE"""),"36")</f>
        <v>36</v>
      </c>
      <c r="D352" s="15" t="str">
        <f>IFERROR(__xludf.DUMMYFUNCTION("""COMPUTED_VALUE"""),"Not ranking")</f>
        <v>Not ranking</v>
      </c>
      <c r="E352" s="15" t="str">
        <f>IFERROR(__xludf.DUMMYFUNCTION("""COMPUTED_VALUE"""),"Not ranking")</f>
        <v>Not ranking</v>
      </c>
      <c r="F352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352" s="18" t="str">
        <f>IFERROR(__xludf.DUMMYFUNCTION("""COMPUTED_VALUE"""),"Not ranking")</f>
        <v>Not ranking</v>
      </c>
      <c r="H352" s="18" t="str">
        <f>IFERROR(__xludf.DUMMYFUNCTION("""COMPUTED_VALUE"""),"Not ranking")</f>
        <v>Not ranking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5" t="str">
        <f>IFERROR(__xludf.DUMMYFUNCTION("""COMPUTED_VALUE"""),"deer skull mount")</f>
        <v>deer skull mount</v>
      </c>
      <c r="B353" s="15" t="str">
        <f>IFERROR(__xludf.DUMMYFUNCTION("""COMPUTED_VALUE"""),"3600")</f>
        <v>3600</v>
      </c>
      <c r="C353" s="15" t="str">
        <f>IFERROR(__xludf.DUMMYFUNCTION("""COMPUTED_VALUE"""),"37")</f>
        <v>37</v>
      </c>
      <c r="D353" s="15" t="str">
        <f>IFERROR(__xludf.DUMMYFUNCTION("""COMPUTED_VALUE"""),"95")</f>
        <v>95</v>
      </c>
      <c r="E353" s="15" t="str">
        <f>IFERROR(__xludf.DUMMYFUNCTION("""COMPUTED_VALUE"""),"27")</f>
        <v>27</v>
      </c>
      <c r="F353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353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353" s="17" t="str">
        <f>IFERROR(__xludf.DUMMYFUNCTION("""COMPUTED_VALUE"""),"https://www.wideopenspaces.com/how-to-clean-a-deer-skull/")</f>
        <v>https://www.wideopenspaces.com/how-to-clean-a-deer-skull/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5" t="str">
        <f>IFERROR(__xludf.DUMMYFUNCTION("""COMPUTED_VALUE"""),"deer carcass")</f>
        <v>deer carcass</v>
      </c>
      <c r="B354" s="15" t="str">
        <f>IFERROR(__xludf.DUMMYFUNCTION("""COMPUTED_VALUE"""),"720")</f>
        <v>720</v>
      </c>
      <c r="C354" s="15" t="str">
        <f>IFERROR(__xludf.DUMMYFUNCTION("""COMPUTED_VALUE"""),"37")</f>
        <v>37</v>
      </c>
      <c r="D354" s="15" t="str">
        <f>IFERROR(__xludf.DUMMYFUNCTION("""COMPUTED_VALUE"""),"Not ranking")</f>
        <v>Not ranking</v>
      </c>
      <c r="E354" s="15" t="str">
        <f>IFERROR(__xludf.DUMMYFUNCTION("""COMPUTED_VALUE"""),"Not ranking")</f>
        <v>Not ranking</v>
      </c>
      <c r="F354" s="17" t="str">
        <f>IFERROR(__xludf.DUMMYFUNCTION("""COMPUTED_VALUE"""),"https://www.themeateater.com/hunt/whitetail-deer/video-deer-carcass-completely-decomposes-in-5-days")</f>
        <v>https://www.themeateater.com/hunt/whitetail-deer/video-deer-carcass-completely-decomposes-in-5-days</v>
      </c>
      <c r="G354" s="18" t="str">
        <f>IFERROR(__xludf.DUMMYFUNCTION("""COMPUTED_VALUE"""),"Not ranking")</f>
        <v>Not ranking</v>
      </c>
      <c r="H354" s="18" t="str">
        <f>IFERROR(__xludf.DUMMYFUNCTION("""COMPUTED_VALUE"""),"Not ranking")</f>
        <v>Not ranking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5" t="str">
        <f>IFERROR(__xludf.DUMMYFUNCTION("""COMPUTED_VALUE"""),"not deer")</f>
        <v>not deer</v>
      </c>
      <c r="B355" s="15" t="str">
        <f>IFERROR(__xludf.DUMMYFUNCTION("""COMPUTED_VALUE"""),"8100")</f>
        <v>8100</v>
      </c>
      <c r="C355" s="15" t="str">
        <f>IFERROR(__xludf.DUMMYFUNCTION("""COMPUTED_VALUE"""),"38")</f>
        <v>38</v>
      </c>
      <c r="D355" s="15" t="str">
        <f>IFERROR(__xludf.DUMMYFUNCTION("""COMPUTED_VALUE"""),"Not ranking")</f>
        <v>Not ranking</v>
      </c>
      <c r="E355" s="15" t="str">
        <f>IFERROR(__xludf.DUMMYFUNCTION("""COMPUTED_VALUE"""),"Not ranking")</f>
        <v>Not ranking</v>
      </c>
      <c r="F355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355" s="18" t="str">
        <f>IFERROR(__xludf.DUMMYFUNCTION("""COMPUTED_VALUE"""),"Not ranking")</f>
        <v>Not ranking</v>
      </c>
      <c r="H355" s="18" t="str">
        <f>IFERROR(__xludf.DUMMYFUNCTION("""COMPUTED_VALUE"""),"Not ranking")</f>
        <v>Not ranking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5" t="str">
        <f>IFERROR(__xludf.DUMMYFUNCTION("""COMPUTED_VALUE"""),"elk vs deer")</f>
        <v>elk vs deer</v>
      </c>
      <c r="B356" s="15" t="str">
        <f>IFERROR(__xludf.DUMMYFUNCTION("""COMPUTED_VALUE"""),"3600")</f>
        <v>3600</v>
      </c>
      <c r="C356" s="15" t="str">
        <f>IFERROR(__xludf.DUMMYFUNCTION("""COMPUTED_VALUE"""),"38")</f>
        <v>38</v>
      </c>
      <c r="D356" s="15" t="str">
        <f>IFERROR(__xludf.DUMMYFUNCTION("""COMPUTED_VALUE"""),"Not ranking")</f>
        <v>Not ranking</v>
      </c>
      <c r="E356" s="15" t="str">
        <f>IFERROR(__xludf.DUMMYFUNCTION("""COMPUTED_VALUE"""),"25")</f>
        <v>25</v>
      </c>
      <c r="F356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356" s="18" t="str">
        <f>IFERROR(__xludf.DUMMYFUNCTION("""COMPUTED_VALUE"""),"Not ranking")</f>
        <v>Not ranking</v>
      </c>
      <c r="H356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5" t="str">
        <f>IFERROR(__xludf.DUMMYFUNCTION("""COMPUTED_VALUE"""),"not-deer")</f>
        <v>not-deer</v>
      </c>
      <c r="B357" s="15" t="str">
        <f>IFERROR(__xludf.DUMMYFUNCTION("""COMPUTED_VALUE"""),"2400")</f>
        <v>2400</v>
      </c>
      <c r="C357" s="15" t="str">
        <f>IFERROR(__xludf.DUMMYFUNCTION("""COMPUTED_VALUE"""),"38")</f>
        <v>38</v>
      </c>
      <c r="D357" s="15" t="str">
        <f>IFERROR(__xludf.DUMMYFUNCTION("""COMPUTED_VALUE"""),"Not ranking")</f>
        <v>Not ranking</v>
      </c>
      <c r="E357" s="15" t="str">
        <f>IFERROR(__xludf.DUMMYFUNCTION("""COMPUTED_VALUE"""),"Not ranking")</f>
        <v>Not ranking</v>
      </c>
      <c r="F357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357" s="18" t="str">
        <f>IFERROR(__xludf.DUMMYFUNCTION("""COMPUTED_VALUE"""),"Not ranking")</f>
        <v>Not ranking</v>
      </c>
      <c r="H357" s="18" t="str">
        <f>IFERROR(__xludf.DUMMYFUNCTION("""COMPUTED_VALUE"""),"Not ranking")</f>
        <v>Not ranking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5" t="str">
        <f>IFERROR(__xludf.DUMMYFUNCTION("""COMPUTED_VALUE"""),"does deer eat acorns")</f>
        <v>does deer eat acorns</v>
      </c>
      <c r="B358" s="15" t="str">
        <f>IFERROR(__xludf.DUMMYFUNCTION("""COMPUTED_VALUE"""),"720")</f>
        <v>720</v>
      </c>
      <c r="C358" s="15" t="str">
        <f>IFERROR(__xludf.DUMMYFUNCTION("""COMPUTED_VALUE"""),"38")</f>
        <v>38</v>
      </c>
      <c r="D358" s="15" t="str">
        <f>IFERROR(__xludf.DUMMYFUNCTION("""COMPUTED_VALUE"""),"5")</f>
        <v>5</v>
      </c>
      <c r="E358" s="15" t="str">
        <f>IFERROR(__xludf.DUMMYFUNCTION("""COMPUTED_VALUE"""),"46")</f>
        <v>46</v>
      </c>
      <c r="F358" s="17" t="str">
        <f>IFERROR(__xludf.DUMMYFUNCTION("""COMPUTED_VALUE"""),"https://www.themeateater.com/wired-to-hunt/whitetail-scouting/how-to-whitetail-hunt-around-acorns")</f>
        <v>https://www.themeateater.com/wired-to-hunt/whitetail-scouting/how-to-whitetail-hunt-around-acorns</v>
      </c>
      <c r="G358" s="17" t="str">
        <f>IFERROR(__xludf.DUMMYFUNCTION("""COMPUTED_VALUE"""),"https://realtree.com/deer-hunting/articles/everything-you-need-to-know-about-acorns")</f>
        <v>https://realtree.com/deer-hunting/articles/everything-you-need-to-know-about-acorns</v>
      </c>
      <c r="H358" s="17" t="str">
        <f>IFERROR(__xludf.DUMMYFUNCTION("""COMPUTED_VALUE"""),"https://www.wideopenspaces.com/oak-trees-deer/")</f>
        <v>https://www.wideopenspaces.com/oak-trees-deer/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5" t="str">
        <f>IFERROR(__xludf.DUMMYFUNCTION("""COMPUTED_VALUE"""),"whitetail deer buck")</f>
        <v>whitetail deer buck</v>
      </c>
      <c r="B359" s="15" t="str">
        <f>IFERROR(__xludf.DUMMYFUNCTION("""COMPUTED_VALUE"""),"590")</f>
        <v>590</v>
      </c>
      <c r="C359" s="15" t="str">
        <f>IFERROR(__xludf.DUMMYFUNCTION("""COMPUTED_VALUE"""),"38")</f>
        <v>38</v>
      </c>
      <c r="D359" s="15" t="str">
        <f>IFERROR(__xludf.DUMMYFUNCTION("""COMPUTED_VALUE"""),"7")</f>
        <v>7</v>
      </c>
      <c r="E359" s="15" t="str">
        <f>IFERROR(__xludf.DUMMYFUNCTION("""COMPUTED_VALUE"""),"Not ranking")</f>
        <v>Not ranking</v>
      </c>
      <c r="F359" s="17" t="str">
        <f>IFERROR(__xludf.DUMMYFUNCTION("""COMPUTED_VALUE"""),"https://www.themeateater.com/wired-to-hunt/whitetail-management/you-wont-believe-how-far-this-buck-traveled")</f>
        <v>https://www.themeateater.com/wired-to-hunt/whitetail-management/you-wont-believe-how-far-this-buck-traveled</v>
      </c>
      <c r="G359" s="17" t="str">
        <f>IFERROR(__xludf.DUMMYFUNCTION("""COMPUTED_VALUE"""),"https://realtree.com/deer-hunting/articles/habits-of-mature-whitetail-deer")</f>
        <v>https://realtree.com/deer-hunting/articles/habits-of-mature-whitetail-deer</v>
      </c>
      <c r="H359" s="18" t="str">
        <f>IFERROR(__xludf.DUMMYFUNCTION("""COMPUTED_VALUE"""),"Not ranking")</f>
        <v>Not ranking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5" t="str">
        <f>IFERROR(__xludf.DUMMYFUNCTION("""COMPUTED_VALUE"""),"deer tenderloin recipe")</f>
        <v>deer tenderloin recipe</v>
      </c>
      <c r="B360" s="15" t="str">
        <f>IFERROR(__xludf.DUMMYFUNCTION("""COMPUTED_VALUE"""),"2900")</f>
        <v>2900</v>
      </c>
      <c r="C360" s="15" t="str">
        <f>IFERROR(__xludf.DUMMYFUNCTION("""COMPUTED_VALUE"""),"39")</f>
        <v>39</v>
      </c>
      <c r="D360" s="15" t="str">
        <f>IFERROR(__xludf.DUMMYFUNCTION("""COMPUTED_VALUE"""),"20")</f>
        <v>20</v>
      </c>
      <c r="E360" s="15" t="str">
        <f>IFERROR(__xludf.DUMMYFUNCTION("""COMPUTED_VALUE"""),"12")</f>
        <v>12</v>
      </c>
      <c r="F360" s="17" t="str">
        <f>IFERROR(__xludf.DUMMYFUNCTION("""COMPUTED_VALUE"""),"https://www.themeateater.com/cook/recipes/venison-tenderloin-with-italian-salsa-verde-recipe")</f>
        <v>https://www.themeateater.com/cook/recipes/venison-tenderloin-with-italian-salsa-verde-recipe</v>
      </c>
      <c r="G360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360" s="17" t="str">
        <f>IFERROR(__xludf.DUMMYFUNCTION("""COMPUTED_VALUE"""),"https://www.wideopenspaces.com/top-6-venison-tenderloin-recipes/")</f>
        <v>https://www.wideopenspaces.com/top-6-venison-tenderloin-recipes/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5" t="str">
        <f>IFERROR(__xludf.DUMMYFUNCTION("""COMPUTED_VALUE"""),"world record mule deer")</f>
        <v>world record mule deer</v>
      </c>
      <c r="B361" s="15" t="str">
        <f>IFERROR(__xludf.DUMMYFUNCTION("""COMPUTED_VALUE"""),"1300")</f>
        <v>1300</v>
      </c>
      <c r="C361" s="15" t="str">
        <f>IFERROR(__xludf.DUMMYFUNCTION("""COMPUTED_VALUE"""),"39")</f>
        <v>39</v>
      </c>
      <c r="D361" s="15" t="str">
        <f>IFERROR(__xludf.DUMMYFUNCTION("""COMPUTED_VALUE"""),"26")</f>
        <v>26</v>
      </c>
      <c r="E361" s="15" t="str">
        <f>IFERROR(__xludf.DUMMYFUNCTION("""COMPUTED_VALUE"""),"8")</f>
        <v>8</v>
      </c>
      <c r="F361" s="17" t="str">
        <f>IFERROR(__xludf.DUMMYFUNCTION("""COMPUTED_VALUE"""),"https://www.themeateater.com/conservation/wildlife-management/the-letterman-buck")</f>
        <v>https://www.themeateater.com/conservation/wildlife-management/the-letterman-buck</v>
      </c>
      <c r="G361" s="17" t="str">
        <f>IFERROR(__xludf.DUMMYFUNCTION("""COMPUTED_VALUE"""),"https://realtree.com/big-game-hunting/articles/the-top-states-for-record-mule-deer-in-the-last-10-years")</f>
        <v>https://realtree.com/big-game-hunting/articles/the-top-states-for-record-mule-deer-in-the-last-10-years</v>
      </c>
      <c r="H361" s="17" t="str">
        <f>IFERROR(__xludf.DUMMYFUNCTION("""COMPUTED_VALUE"""),"https://www.wideopenspaces.com/biggest-mule-deer-kills-pics/")</f>
        <v>https://www.wideopenspaces.com/biggest-mule-deer-kills-pics/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5" t="str">
        <f>IFERROR(__xludf.DUMMYFUNCTION("""COMPUTED_VALUE"""),"best deer feed")</f>
        <v>best deer feed</v>
      </c>
      <c r="B362" s="15" t="str">
        <f>IFERROR(__xludf.DUMMYFUNCTION("""COMPUTED_VALUE"""),"590")</f>
        <v>590</v>
      </c>
      <c r="C362" s="15" t="str">
        <f>IFERROR(__xludf.DUMMYFUNCTION("""COMPUTED_VALUE"""),"39")</f>
        <v>39</v>
      </c>
      <c r="D362" s="15" t="str">
        <f>IFERROR(__xludf.DUMMYFUNCTION("""COMPUTED_VALUE"""),"25")</f>
        <v>25</v>
      </c>
      <c r="E362" s="15" t="str">
        <f>IFERROR(__xludf.DUMMYFUNCTION("""COMPUTED_VALUE"""),"61")</f>
        <v>61</v>
      </c>
      <c r="F362" s="17" t="str">
        <f>IFERROR(__xludf.DUMMYFUNCTION("""COMPUTED_VALUE"""),"https://www.themeateater.com/wired-to-hunt/whitetail-scouting/best-food-sources-to-deer-hunt-in-october")</f>
        <v>https://www.themeateater.com/wired-to-hunt/whitetail-scouting/best-food-sources-to-deer-hunt-in-october</v>
      </c>
      <c r="G362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362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5" t="str">
        <f>IFERROR(__xludf.DUMMYFUNCTION("""COMPUTED_VALUE"""),"deer poop image")</f>
        <v>deer poop image</v>
      </c>
      <c r="B363" s="15" t="str">
        <f>IFERROR(__xludf.DUMMYFUNCTION("""COMPUTED_VALUE"""),"590")</f>
        <v>590</v>
      </c>
      <c r="C363" s="15" t="str">
        <f>IFERROR(__xludf.DUMMYFUNCTION("""COMPUTED_VALUE"""),"39")</f>
        <v>39</v>
      </c>
      <c r="D363" s="15" t="str">
        <f>IFERROR(__xludf.DUMMYFUNCTION("""COMPUTED_VALUE"""),"18")</f>
        <v>18</v>
      </c>
      <c r="E363" s="15" t="str">
        <f>IFERROR(__xludf.DUMMYFUNCTION("""COMPUTED_VALUE"""),"Not ranking")</f>
        <v>Not ranking</v>
      </c>
      <c r="F363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363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363" s="18" t="str">
        <f>IFERROR(__xludf.DUMMYFUNCTION("""COMPUTED_VALUE"""),"Not ranking")</f>
        <v>Not ranking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5" t="str">
        <f>IFERROR(__xludf.DUMMYFUNCTION("""COMPUTED_VALUE"""),"deer season washington")</f>
        <v>deer season washington</v>
      </c>
      <c r="B364" s="15" t="str">
        <f>IFERROR(__xludf.DUMMYFUNCTION("""COMPUTED_VALUE"""),"590")</f>
        <v>590</v>
      </c>
      <c r="C364" s="15" t="str">
        <f>IFERROR(__xludf.DUMMYFUNCTION("""COMPUTED_VALUE"""),"39")</f>
        <v>39</v>
      </c>
      <c r="D364" s="15" t="str">
        <f>IFERROR(__xludf.DUMMYFUNCTION("""COMPUTED_VALUE"""),"Not ranking")</f>
        <v>Not ranking</v>
      </c>
      <c r="E364" s="15" t="str">
        <f>IFERROR(__xludf.DUMMYFUNCTION("""COMPUTED_VALUE"""),"Not ranking")</f>
        <v>Not ranking</v>
      </c>
      <c r="F364" s="17" t="str">
        <f>IFERROR(__xludf.DUMMYFUNCTION("""COMPUTED_VALUE"""),"https://www.themeateater.com/conservation/wildlife-management/spring-bear-hunting-season-shut-down-again-in-washington-state")</f>
        <v>https://www.themeateater.com/conservation/wildlife-management/spring-bear-hunting-season-shut-down-again-in-washington-state</v>
      </c>
      <c r="G364" s="18" t="str">
        <f>IFERROR(__xludf.DUMMYFUNCTION("""COMPUTED_VALUE"""),"Not ranking")</f>
        <v>Not ranking</v>
      </c>
      <c r="H364" s="18" t="str">
        <f>IFERROR(__xludf.DUMMYFUNCTION("""COMPUTED_VALUE"""),"Not ranking")</f>
        <v>Not ranking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5" t="str">
        <f>IFERROR(__xludf.DUMMYFUNCTION("""COMPUTED_VALUE"""),"diy deer stand")</f>
        <v>diy deer stand</v>
      </c>
      <c r="B365" s="15" t="str">
        <f>IFERROR(__xludf.DUMMYFUNCTION("""COMPUTED_VALUE"""),"590")</f>
        <v>590</v>
      </c>
      <c r="C365" s="15" t="str">
        <f>IFERROR(__xludf.DUMMYFUNCTION("""COMPUTED_VALUE"""),"39")</f>
        <v>39</v>
      </c>
      <c r="D365" s="15" t="str">
        <f>IFERROR(__xludf.DUMMYFUNCTION("""COMPUTED_VALUE"""),"Not ranking")</f>
        <v>Not ranking</v>
      </c>
      <c r="E365" s="15" t="str">
        <f>IFERROR(__xludf.DUMMYFUNCTION("""COMPUTED_VALUE"""),"33")</f>
        <v>33</v>
      </c>
      <c r="F365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365" s="18" t="str">
        <f>IFERROR(__xludf.DUMMYFUNCTION("""COMPUTED_VALUE"""),"Not ranking")</f>
        <v>Not ranking</v>
      </c>
      <c r="H365" s="17" t="str">
        <f>IFERROR(__xludf.DUMMYFUNCTION("""COMPUTED_VALUE"""),"https://www.wideopenspaces.com/the-best-diy-hunting-blinds-you-can-possibly-make-this-soon-before-the-season/")</f>
        <v>https://www.wideopenspaces.com/the-best-diy-hunting-blinds-you-can-possibly-make-this-soon-before-the-season/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5" t="str">
        <f>IFERROR(__xludf.DUMMYFUNCTION("""COMPUTED_VALUE"""),"wisconsin deer hunting hours 2022")</f>
        <v>wisconsin deer hunting hours 2022</v>
      </c>
      <c r="B366" s="15" t="str">
        <f>IFERROR(__xludf.DUMMYFUNCTION("""COMPUTED_VALUE"""),"590")</f>
        <v>590</v>
      </c>
      <c r="C366" s="15" t="str">
        <f>IFERROR(__xludf.DUMMYFUNCTION("""COMPUTED_VALUE"""),"39")</f>
        <v>39</v>
      </c>
      <c r="D366" s="15" t="str">
        <f>IFERROR(__xludf.DUMMYFUNCTION("""COMPUTED_VALUE"""),"Not ranking")</f>
        <v>Not ranking</v>
      </c>
      <c r="E366" s="15" t="str">
        <f>IFERROR(__xludf.DUMMYFUNCTION("""COMPUTED_VALUE"""),"Not ranking")</f>
        <v>Not ranking</v>
      </c>
      <c r="F366" s="17" t="str">
        <f>IFERROR(__xludf.DUMMYFUNCTION("""COMPUTED_VALUE"""),"https://www.themeateater.com/shows/meateater")</f>
        <v>https://www.themeateater.com/shows/meateater</v>
      </c>
      <c r="G366" s="18" t="str">
        <f>IFERROR(__xludf.DUMMYFUNCTION("""COMPUTED_VALUE"""),"Not ranking")</f>
        <v>Not ranking</v>
      </c>
      <c r="H366" s="18" t="str">
        <f>IFERROR(__xludf.DUMMYFUNCTION("""COMPUTED_VALUE"""),"Not ranking")</f>
        <v>Not ranking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5" t="str">
        <f>IFERROR(__xludf.DUMMYFUNCTION("""COMPUTED_VALUE"""),"deer head mounts")</f>
        <v>deer head mounts</v>
      </c>
      <c r="B367" s="15" t="str">
        <f>IFERROR(__xludf.DUMMYFUNCTION("""COMPUTED_VALUE"""),"1600")</f>
        <v>1600</v>
      </c>
      <c r="C367" s="15" t="str">
        <f>IFERROR(__xludf.DUMMYFUNCTION("""COMPUTED_VALUE"""),"40")</f>
        <v>40</v>
      </c>
      <c r="D367" s="15" t="str">
        <f>IFERROR(__xludf.DUMMYFUNCTION("""COMPUTED_VALUE"""),"24")</f>
        <v>24</v>
      </c>
      <c r="E367" s="15" t="str">
        <f>IFERROR(__xludf.DUMMYFUNCTION("""COMPUTED_VALUE"""),"63")</f>
        <v>63</v>
      </c>
      <c r="F367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367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367" s="17" t="str">
        <f>IFERROR(__xludf.DUMMYFUNCTION("""COMPUTED_VALUE"""),"https://www.wideopenspaces.com/whitetail-wednesday-how-much-do-people-pay-for-shoulder-mounts-in-your-area/")</f>
        <v>https://www.wideopenspaces.com/whitetail-wednesday-how-much-do-people-pay-for-shoulder-mounts-in-your-area/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5" t="str">
        <f>IFERROR(__xludf.DUMMYFUNCTION("""COMPUTED_VALUE"""),"unique deer mounts")</f>
        <v>unique deer mounts</v>
      </c>
      <c r="B368" s="15" t="str">
        <f>IFERROR(__xludf.DUMMYFUNCTION("""COMPUTED_VALUE"""),"1600")</f>
        <v>1600</v>
      </c>
      <c r="C368" s="15" t="str">
        <f>IFERROR(__xludf.DUMMYFUNCTION("""COMPUTED_VALUE"""),"40")</f>
        <v>40</v>
      </c>
      <c r="D368" s="15" t="str">
        <f>IFERROR(__xludf.DUMMYFUNCTION("""COMPUTED_VALUE"""),"1")</f>
        <v>1</v>
      </c>
      <c r="E368" s="15" t="str">
        <f>IFERROR(__xludf.DUMMYFUNCTION("""COMPUTED_VALUE"""),"2")</f>
        <v>2</v>
      </c>
      <c r="F368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368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368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5" t="str">
        <f>IFERROR(__xludf.DUMMYFUNCTION("""COMPUTED_VALUE"""),"diy deer blind")</f>
        <v>diy deer blind</v>
      </c>
      <c r="B369" s="15" t="str">
        <f>IFERROR(__xludf.DUMMYFUNCTION("""COMPUTED_VALUE"""),"1300")</f>
        <v>1300</v>
      </c>
      <c r="C369" s="15" t="str">
        <f>IFERROR(__xludf.DUMMYFUNCTION("""COMPUTED_VALUE"""),"40")</f>
        <v>40</v>
      </c>
      <c r="D369" s="15" t="str">
        <f>IFERROR(__xludf.DUMMYFUNCTION("""COMPUTED_VALUE"""),"Not ranking")</f>
        <v>Not ranking</v>
      </c>
      <c r="E369" s="15" t="str">
        <f>IFERROR(__xludf.DUMMYFUNCTION("""COMPUTED_VALUE"""),"37")</f>
        <v>37</v>
      </c>
      <c r="F369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369" s="18" t="str">
        <f>IFERROR(__xludf.DUMMYFUNCTION("""COMPUTED_VALUE"""),"Not ranking")</f>
        <v>Not ranking</v>
      </c>
      <c r="H369" s="17" t="str">
        <f>IFERROR(__xludf.DUMMYFUNCTION("""COMPUTED_VALUE"""),"https://www.wideopenspaces.com/deer-hunting-blind-spacious/")</f>
        <v>https://www.wideopenspaces.com/deer-hunting-blind-spacious/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5" t="str">
        <f>IFERROR(__xludf.DUMMYFUNCTION("""COMPUTED_VALUE"""),"ground deer recipes")</f>
        <v>ground deer recipes</v>
      </c>
      <c r="B370" s="15" t="str">
        <f>IFERROR(__xludf.DUMMYFUNCTION("""COMPUTED_VALUE"""),"720")</f>
        <v>720</v>
      </c>
      <c r="C370" s="15" t="str">
        <f>IFERROR(__xludf.DUMMYFUNCTION("""COMPUTED_VALUE"""),"40")</f>
        <v>40</v>
      </c>
      <c r="D370" s="15" t="str">
        <f>IFERROR(__xludf.DUMMYFUNCTION("""COMPUTED_VALUE"""),"39")</f>
        <v>39</v>
      </c>
      <c r="E370" s="15" t="str">
        <f>IFERROR(__xludf.DUMMYFUNCTION("""COMPUTED_VALUE"""),"43")</f>
        <v>43</v>
      </c>
      <c r="F370" s="17" t="str">
        <f>IFERROR(__xludf.DUMMYFUNCTION("""COMPUTED_VALUE"""),"https://www.themeateater.com/recipes/cuts/ground")</f>
        <v>https://www.themeateater.com/recipes/cuts/ground</v>
      </c>
      <c r="G370" s="17" t="str">
        <f>IFERROR(__xludf.DUMMYFUNCTION("""COMPUTED_VALUE"""),"https://realtree.com/timber-2-table-wild-game-recipes/ground-venison-and-rice-bake")</f>
        <v>https://realtree.com/timber-2-table-wild-game-recipes/ground-venison-and-rice-bake</v>
      </c>
      <c r="H370" s="17" t="str">
        <f>IFERROR(__xludf.DUMMYFUNCTION("""COMPUTED_VALUE"""),"https://www.wideopenspaces.com/5-ground-venison-recipes-that-will-become-your-new-go-to/")</f>
        <v>https://www.wideopenspaces.com/5-ground-venison-recipes-that-will-become-your-new-go-to/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5" t="str">
        <f>IFERROR(__xludf.DUMMYFUNCTION("""COMPUTED_VALUE"""),"wyoming mule deer hunts")</f>
        <v>wyoming mule deer hunts</v>
      </c>
      <c r="B371" s="15" t="str">
        <f>IFERROR(__xludf.DUMMYFUNCTION("""COMPUTED_VALUE"""),"720")</f>
        <v>720</v>
      </c>
      <c r="C371" s="15" t="str">
        <f>IFERROR(__xludf.DUMMYFUNCTION("""COMPUTED_VALUE"""),"40")</f>
        <v>40</v>
      </c>
      <c r="D371" s="15" t="str">
        <f>IFERROR(__xludf.DUMMYFUNCTION("""COMPUTED_VALUE"""),"Not ranking")</f>
        <v>Not ranking</v>
      </c>
      <c r="E371" s="15" t="str">
        <f>IFERROR(__xludf.DUMMYFUNCTION("""COMPUTED_VALUE"""),"Not ranking")</f>
        <v>Not ranking</v>
      </c>
      <c r="F371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371" s="18" t="str">
        <f>IFERROR(__xludf.DUMMYFUNCTION("""COMPUTED_VALUE"""),"Not ranking")</f>
        <v>Not ranking</v>
      </c>
      <c r="H371" s="18" t="str">
        <f>IFERROR(__xludf.DUMMYFUNCTION("""COMPUTED_VALUE"""),"Not ranking")</f>
        <v>Not ranking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5" t="str">
        <f>IFERROR(__xludf.DUMMYFUNCTION("""COMPUTED_VALUE"""),"deer meet")</f>
        <v>deer meet</v>
      </c>
      <c r="B372" s="15" t="str">
        <f>IFERROR(__xludf.DUMMYFUNCTION("""COMPUTED_VALUE"""),"590")</f>
        <v>590</v>
      </c>
      <c r="C372" s="15" t="str">
        <f>IFERROR(__xludf.DUMMYFUNCTION("""COMPUTED_VALUE"""),"40")</f>
        <v>40</v>
      </c>
      <c r="D372" s="15" t="str">
        <f>IFERROR(__xludf.DUMMYFUNCTION("""COMPUTED_VALUE"""),"27")</f>
        <v>27</v>
      </c>
      <c r="E372" s="15" t="str">
        <f>IFERROR(__xludf.DUMMYFUNCTION("""COMPUTED_VALUE"""),"Not ranking")</f>
        <v>Not ranking</v>
      </c>
      <c r="F372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372" s="17" t="str">
        <f>IFERROR(__xludf.DUMMYFUNCTION("""COMPUTED_VALUE"""),"https://realtree.com/deer-hunting/articles/how-to-can-deer-meat")</f>
        <v>https://realtree.com/deer-hunting/articles/how-to-can-deer-meat</v>
      </c>
      <c r="H372" s="18" t="str">
        <f>IFERROR(__xludf.DUMMYFUNCTION("""COMPUTED_VALUE"""),"Not ranking")</f>
        <v>Not ranking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5" t="str">
        <f>IFERROR(__xludf.DUMMYFUNCTION("""COMPUTED_VALUE"""),"shoulder mount deer")</f>
        <v>shoulder mount deer</v>
      </c>
      <c r="B373" s="15" t="str">
        <f>IFERROR(__xludf.DUMMYFUNCTION("""COMPUTED_VALUE"""),"590")</f>
        <v>590</v>
      </c>
      <c r="C373" s="15" t="str">
        <f>IFERROR(__xludf.DUMMYFUNCTION("""COMPUTED_VALUE"""),"40")</f>
        <v>40</v>
      </c>
      <c r="D373" s="15" t="str">
        <f>IFERROR(__xludf.DUMMYFUNCTION("""COMPUTED_VALUE"""),"16")</f>
        <v>16</v>
      </c>
      <c r="E373" s="15" t="str">
        <f>IFERROR(__xludf.DUMMYFUNCTION("""COMPUTED_VALUE"""),"31")</f>
        <v>31</v>
      </c>
      <c r="F373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373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373" s="17" t="str">
        <f>IFERROR(__xludf.DUMMYFUNCTION("""COMPUTED_VALUE"""),"https://www.wideopenspaces.com/whitetail-wednesday-how-much-do-people-pay-for-shoulder-mounts-in-your-area/")</f>
        <v>https://www.wideopenspaces.com/whitetail-wednesday-how-much-do-people-pay-for-shoulder-mounts-in-your-area/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5" t="str">
        <f>IFERROR(__xludf.DUMMYFUNCTION("""COMPUTED_VALUE"""),"soybeans for deer")</f>
        <v>soybeans for deer</v>
      </c>
      <c r="B374" s="15" t="str">
        <f>IFERROR(__xludf.DUMMYFUNCTION("""COMPUTED_VALUE"""),"590")</f>
        <v>590</v>
      </c>
      <c r="C374" s="15" t="str">
        <f>IFERROR(__xludf.DUMMYFUNCTION("""COMPUTED_VALUE"""),"40")</f>
        <v>40</v>
      </c>
      <c r="D374" s="15" t="str">
        <f>IFERROR(__xludf.DUMMYFUNCTION("""COMPUTED_VALUE"""),"15")</f>
        <v>15</v>
      </c>
      <c r="E374" s="15" t="str">
        <f>IFERROR(__xludf.DUMMYFUNCTION("""COMPUTED_VALUE"""),"Not ranking")</f>
        <v>Not ranking</v>
      </c>
      <c r="F374" s="17" t="str">
        <f>IFERROR(__xludf.DUMMYFUNCTION("""COMPUTED_VALUE"""),"https://www.themeateater.com/wired-to-hunt/whitetail-management/will-deer-eat-yellow-soybeans")</f>
        <v>https://www.themeateater.com/wired-to-hunt/whitetail-management/will-deer-eat-yellow-soybeans</v>
      </c>
      <c r="G374" s="17" t="str">
        <f>IFERROR(__xludf.DUMMYFUNCTION("""COMPUTED_VALUE"""),"https://realtree.com/food-plots-and-land-management/articles/food-plot-seed-how-to-plant-soybeans")</f>
        <v>https://realtree.com/food-plots-and-land-management/articles/food-plot-seed-how-to-plant-soybeans</v>
      </c>
      <c r="H374" s="18" t="str">
        <f>IFERROR(__xludf.DUMMYFUNCTION("""COMPUTED_VALUE"""),"Not ranking")</f>
        <v>Not ranking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5" t="str">
        <f>IFERROR(__xludf.DUMMYFUNCTION("""COMPUTED_VALUE"""),"deer buck")</f>
        <v>deer buck</v>
      </c>
      <c r="B375" s="15" t="str">
        <f>IFERROR(__xludf.DUMMYFUNCTION("""COMPUTED_VALUE"""),"2900")</f>
        <v>2900</v>
      </c>
      <c r="C375" s="15" t="str">
        <f>IFERROR(__xludf.DUMMYFUNCTION("""COMPUTED_VALUE"""),"41")</f>
        <v>41</v>
      </c>
      <c r="D375" s="15" t="str">
        <f>IFERROR(__xludf.DUMMYFUNCTION("""COMPUTED_VALUE"""),"49")</f>
        <v>49</v>
      </c>
      <c r="E375" s="15" t="str">
        <f>IFERROR(__xludf.DUMMYFUNCTION("""COMPUTED_VALUE"""),"Not ranking")</f>
        <v>Not ranking</v>
      </c>
      <c r="F375" s="17" t="str">
        <f>IFERROR(__xludf.DUMMYFUNCTION("""COMPUTED_VALUE"""),"https://www.themeateater.com/wired-to-hunt/whitetail-management/you-wont-believe-how-far-this-buck-traveled")</f>
        <v>https://www.themeateater.com/wired-to-hunt/whitetail-management/you-wont-believe-how-far-this-buck-traveled</v>
      </c>
      <c r="G375" s="17" t="str">
        <f>IFERROR(__xludf.DUMMYFUNCTION("""COMPUTED_VALUE"""),"https://realtree.com/deer-hunting/articles/deer-aging-criteria-is-that-buck-mature")</f>
        <v>https://realtree.com/deer-hunting/articles/deer-aging-criteria-is-that-buck-mature</v>
      </c>
      <c r="H375" s="18" t="str">
        <f>IFERROR(__xludf.DUMMYFUNCTION("""COMPUTED_VALUE"""),"Not ranking")</f>
        <v>Not ranking</v>
      </c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5" t="str">
        <f>IFERROR(__xludf.DUMMYFUNCTION("""COMPUTED_VALUE"""),"deer backstrap recipes")</f>
        <v>deer backstrap recipes</v>
      </c>
      <c r="B376" s="15" t="str">
        <f>IFERROR(__xludf.DUMMYFUNCTION("""COMPUTED_VALUE"""),"1900")</f>
        <v>1900</v>
      </c>
      <c r="C376" s="15" t="str">
        <f>IFERROR(__xludf.DUMMYFUNCTION("""COMPUTED_VALUE"""),"41")</f>
        <v>41</v>
      </c>
      <c r="D376" s="15" t="str">
        <f>IFERROR(__xludf.DUMMYFUNCTION("""COMPUTED_VALUE"""),"Not ranking")</f>
        <v>Not ranking</v>
      </c>
      <c r="E376" s="15" t="str">
        <f>IFERROR(__xludf.DUMMYFUNCTION("""COMPUTED_VALUE"""),"35")</f>
        <v>35</v>
      </c>
      <c r="F376" s="17" t="str">
        <f>IFERROR(__xludf.DUMMYFUNCTION("""COMPUTED_VALUE"""),"https://www.themeateater.com/recipes/cuts/backstrap")</f>
        <v>https://www.themeateater.com/recipes/cuts/backstrap</v>
      </c>
      <c r="G376" s="18" t="str">
        <f>IFERROR(__xludf.DUMMYFUNCTION("""COMPUTED_VALUE"""),"Not ranking")</f>
        <v>Not ranking</v>
      </c>
      <c r="H376" s="17" t="str">
        <f>IFERROR(__xludf.DUMMYFUNCTION("""COMPUTED_VALUE"""),"https://www.wideopenspaces.com/venison-backstrap-recipes/")</f>
        <v>https://www.wideopenspaces.com/venison-backstrap-recipes/</v>
      </c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5" t="str">
        <f>IFERROR(__xludf.DUMMYFUNCTION("""COMPUTED_VALUE"""),"deer hunting rifle")</f>
        <v>deer hunting rifle</v>
      </c>
      <c r="B377" s="15" t="str">
        <f>IFERROR(__xludf.DUMMYFUNCTION("""COMPUTED_VALUE"""),"1300")</f>
        <v>1300</v>
      </c>
      <c r="C377" s="15" t="str">
        <f>IFERROR(__xludf.DUMMYFUNCTION("""COMPUTED_VALUE"""),"41")</f>
        <v>41</v>
      </c>
      <c r="D377" s="15" t="str">
        <f>IFERROR(__xludf.DUMMYFUNCTION("""COMPUTED_VALUE"""),"8")</f>
        <v>8</v>
      </c>
      <c r="E377" s="15" t="str">
        <f>IFERROR(__xludf.DUMMYFUNCTION("""COMPUTED_VALUE"""),"28")</f>
        <v>28</v>
      </c>
      <c r="F377" s="17" t="str">
        <f>IFERROR(__xludf.DUMMYFUNCTION("""COMPUTED_VALUE"""),"https://www.themeateater.com/hunt/firearm-hunting/5-gun-accessories-every-deer-hunter-should-own")</f>
        <v>https://www.themeateater.com/hunt/firearm-hunting/5-gun-accessories-every-deer-hunter-should-own</v>
      </c>
      <c r="G377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377" s="17" t="str">
        <f>IFERROR(__xludf.DUMMYFUNCTION("""COMPUTED_VALUE"""),"https://www.wideopenspaces.com/best-deer-hunting-rifles/")</f>
        <v>https://www.wideopenspaces.com/best-deer-hunting-rifles/</v>
      </c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5" t="str">
        <f>IFERROR(__xludf.DUMMYFUNCTION("""COMPUTED_VALUE"""),"sitka blacktail deer")</f>
        <v>sitka blacktail deer</v>
      </c>
      <c r="B378" s="15" t="str">
        <f>IFERROR(__xludf.DUMMYFUNCTION("""COMPUTED_VALUE"""),"1000")</f>
        <v>1000</v>
      </c>
      <c r="C378" s="15" t="str">
        <f>IFERROR(__xludf.DUMMYFUNCTION("""COMPUTED_VALUE"""),"41")</f>
        <v>41</v>
      </c>
      <c r="D378" s="15" t="str">
        <f>IFERROR(__xludf.DUMMYFUNCTION("""COMPUTED_VALUE"""),"32")</f>
        <v>32</v>
      </c>
      <c r="E378" s="15" t="str">
        <f>IFERROR(__xludf.DUMMYFUNCTION("""COMPUTED_VALUE"""),"Not ranking")</f>
        <v>Not ranking</v>
      </c>
      <c r="F378" s="17" t="str">
        <f>IFERROR(__xludf.DUMMYFUNCTION("""COMPUTED_VALUE"""),"https://www.themeateater.com/shows/meateater/season-1/into-the-clouds-sitka-blacktail-deer")</f>
        <v>https://www.themeateater.com/shows/meateater/season-1/into-the-clouds-sitka-blacktail-deer</v>
      </c>
      <c r="G378" s="17" t="str">
        <f>IFERROR(__xludf.DUMMYFUNCTION("""COMPUTED_VALUE"""),"https://realtree.com/all/articles/the-sitka-adventure")</f>
        <v>https://realtree.com/all/articles/the-sitka-adventure</v>
      </c>
      <c r="H378" s="18" t="str">
        <f>IFERROR(__xludf.DUMMYFUNCTION("""COMPUTED_VALUE"""),"Not ranking")</f>
        <v>Not ranking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5" t="str">
        <f>IFERROR(__xludf.DUMMYFUNCTION("""COMPUTED_VALUE"""),"deer poo")</f>
        <v>deer poo</v>
      </c>
      <c r="B379" s="15" t="str">
        <f>IFERROR(__xludf.DUMMYFUNCTION("""COMPUTED_VALUE"""),"590")</f>
        <v>590</v>
      </c>
      <c r="C379" s="15" t="str">
        <f>IFERROR(__xludf.DUMMYFUNCTION("""COMPUTED_VALUE"""),"41")</f>
        <v>41</v>
      </c>
      <c r="D379" s="15" t="str">
        <f>IFERROR(__xludf.DUMMYFUNCTION("""COMPUTED_VALUE"""),"3")</f>
        <v>3</v>
      </c>
      <c r="E379" s="15" t="str">
        <f>IFERROR(__xludf.DUMMYFUNCTION("""COMPUTED_VALUE"""),"8")</f>
        <v>8</v>
      </c>
      <c r="F379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379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379" s="17" t="str">
        <f>IFERROR(__xludf.DUMMYFUNCTION("""COMPUTED_VALUE"""),"https://www.wideopenspaces.com/deer-poop-identification/")</f>
        <v>https://www.wideopenspaces.com/deer-poop-identification/</v>
      </c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5" t="str">
        <f>IFERROR(__xludf.DUMMYFUNCTION("""COMPUTED_VALUE"""),"deer skull mounts")</f>
        <v>deer skull mounts</v>
      </c>
      <c r="B380" s="15" t="str">
        <f>IFERROR(__xludf.DUMMYFUNCTION("""COMPUTED_VALUE"""),"590")</f>
        <v>590</v>
      </c>
      <c r="C380" s="15" t="str">
        <f>IFERROR(__xludf.DUMMYFUNCTION("""COMPUTED_VALUE"""),"41")</f>
        <v>41</v>
      </c>
      <c r="D380" s="15" t="str">
        <f>IFERROR(__xludf.DUMMYFUNCTION("""COMPUTED_VALUE"""),"89")</f>
        <v>89</v>
      </c>
      <c r="E380" s="15" t="str">
        <f>IFERROR(__xludf.DUMMYFUNCTION("""COMPUTED_VALUE"""),"73")</f>
        <v>73</v>
      </c>
      <c r="F380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380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380" s="17" t="str">
        <f>IFERROR(__xludf.DUMMYFUNCTION("""COMPUTED_VALUE"""),"https://www.wideopenspaces.com/european-skull-mount/")</f>
        <v>https://www.wideopenspaces.com/european-skull-mount/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5" t="str">
        <f>IFERROR(__xludf.DUMMYFUNCTION("""COMPUTED_VALUE"""),"deer jerky")</f>
        <v>deer jerky</v>
      </c>
      <c r="B381" s="15" t="str">
        <f>IFERROR(__xludf.DUMMYFUNCTION("""COMPUTED_VALUE"""),"4400")</f>
        <v>4400</v>
      </c>
      <c r="C381" s="15" t="str">
        <f>IFERROR(__xludf.DUMMYFUNCTION("""COMPUTED_VALUE"""),"42")</f>
        <v>42</v>
      </c>
      <c r="D381" s="15" t="str">
        <f>IFERROR(__xludf.DUMMYFUNCTION("""COMPUTED_VALUE"""),"52")</f>
        <v>52</v>
      </c>
      <c r="E381" s="15" t="str">
        <f>IFERROR(__xludf.DUMMYFUNCTION("""COMPUTED_VALUE"""),"14")</f>
        <v>14</v>
      </c>
      <c r="F381" s="17" t="str">
        <f>IFERROR(__xludf.DUMMYFUNCTION("""COMPUTED_VALUE"""),"https://www.themeateater.com/watch/6278033203001/how-to-make-venison-jerky-with-kevin-gillespie")</f>
        <v>https://www.themeateater.com/watch/6278033203001/how-to-make-venison-jerky-with-kevin-gillespie</v>
      </c>
      <c r="G381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381" s="17" t="str">
        <f>IFERROR(__xludf.DUMMYFUNCTION("""COMPUTED_VALUE"""),"https://www.wideopenspaces.com/venison-jerky-recipes/")</f>
        <v>https://www.wideopenspaces.com/venison-jerky-recipes/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5" t="str">
        <f>IFERROR(__xludf.DUMMYFUNCTION("""COMPUTED_VALUE"""),"deer meat near me")</f>
        <v>deer meat near me</v>
      </c>
      <c r="B382" s="15" t="str">
        <f>IFERROR(__xludf.DUMMYFUNCTION("""COMPUTED_VALUE"""),"1900")</f>
        <v>1900</v>
      </c>
      <c r="C382" s="15" t="str">
        <f>IFERROR(__xludf.DUMMYFUNCTION("""COMPUTED_VALUE"""),"42")</f>
        <v>42</v>
      </c>
      <c r="D382" s="15" t="str">
        <f>IFERROR(__xludf.DUMMYFUNCTION("""COMPUTED_VALUE"""),"Not ranking")</f>
        <v>Not ranking</v>
      </c>
      <c r="E382" s="15" t="str">
        <f>IFERROR(__xludf.DUMMYFUNCTION("""COMPUTED_VALUE"""),"Not ranking")</f>
        <v>Not ranking</v>
      </c>
      <c r="F382" s="17" t="str">
        <f>IFERROR(__xludf.DUMMYFUNCTION("""COMPUTED_VALUE"""),"https://www.themeateater.com/shows/meateater")</f>
        <v>https://www.themeateater.com/shows/meateater</v>
      </c>
      <c r="G382" s="18" t="str">
        <f>IFERROR(__xludf.DUMMYFUNCTION("""COMPUTED_VALUE"""),"Not ranking")</f>
        <v>Not ranking</v>
      </c>
      <c r="H382" s="18" t="str">
        <f>IFERROR(__xludf.DUMMYFUNCTION("""COMPUTED_VALUE"""),"Not ranking")</f>
        <v>Not ranking</v>
      </c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5" t="str">
        <f>IFERROR(__xludf.DUMMYFUNCTION("""COMPUTED_VALUE"""),"deer summer sausage")</f>
        <v>deer summer sausage</v>
      </c>
      <c r="B383" s="15" t="str">
        <f>IFERROR(__xludf.DUMMYFUNCTION("""COMPUTED_VALUE"""),"880")</f>
        <v>880</v>
      </c>
      <c r="C383" s="15" t="str">
        <f>IFERROR(__xludf.DUMMYFUNCTION("""COMPUTED_VALUE"""),"42")</f>
        <v>42</v>
      </c>
      <c r="D383" s="15" t="str">
        <f>IFERROR(__xludf.DUMMYFUNCTION("""COMPUTED_VALUE"""),"26")</f>
        <v>26</v>
      </c>
      <c r="E383" s="15" t="str">
        <f>IFERROR(__xludf.DUMMYFUNCTION("""COMPUTED_VALUE"""),"93")</f>
        <v>93</v>
      </c>
      <c r="F383" s="17" t="str">
        <f>IFERROR(__xludf.DUMMYFUNCTION("""COMPUTED_VALUE"""),"https://www.themeateater.com/cook/recipes/summer-sausage-recipe")</f>
        <v>https://www.themeateater.com/cook/recipes/summer-sausage-recipe</v>
      </c>
      <c r="G383" s="17" t="str">
        <f>IFERROR(__xludf.DUMMYFUNCTION("""COMPUTED_VALUE"""),"https://realtree.com/timber-2-table-articles/jalape-o-pepper-jack-venison-summer-sausage-part-2")</f>
        <v>https://realtree.com/timber-2-table-articles/jalape-o-pepper-jack-venison-summer-sausage-part-2</v>
      </c>
      <c r="H383" s="17" t="str">
        <f>IFERROR(__xludf.DUMMYFUNCTION("""COMPUTED_VALUE"""),"https://www.wideopenspaces.com/venison-summer-sausage-recipe/")</f>
        <v>https://www.wideopenspaces.com/venison-summer-sausage-recipe/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5" t="str">
        <f>IFERROR(__xludf.DUMMYFUNCTION("""COMPUTED_VALUE"""),"mounted deer antlers")</f>
        <v>mounted deer antlers</v>
      </c>
      <c r="B384" s="15" t="str">
        <f>IFERROR(__xludf.DUMMYFUNCTION("""COMPUTED_VALUE"""),"720")</f>
        <v>720</v>
      </c>
      <c r="C384" s="15" t="str">
        <f>IFERROR(__xludf.DUMMYFUNCTION("""COMPUTED_VALUE"""),"42")</f>
        <v>42</v>
      </c>
      <c r="D384" s="15" t="str">
        <f>IFERROR(__xludf.DUMMYFUNCTION("""COMPUTED_VALUE"""),"75")</f>
        <v>75</v>
      </c>
      <c r="E384" s="15" t="str">
        <f>IFERROR(__xludf.DUMMYFUNCTION("""COMPUTED_VALUE"""),"Not ranking")</f>
        <v>Not ranking</v>
      </c>
      <c r="F384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384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384" s="18" t="str">
        <f>IFERROR(__xludf.DUMMYFUNCTION("""COMPUTED_VALUE"""),"Not ranking")</f>
        <v>Not ranking</v>
      </c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5" t="str">
        <f>IFERROR(__xludf.DUMMYFUNCTION("""COMPUTED_VALUE"""),"anatomy of deer")</f>
        <v>anatomy of deer</v>
      </c>
      <c r="B385" s="15" t="str">
        <f>IFERROR(__xludf.DUMMYFUNCTION("""COMPUTED_VALUE"""),"590")</f>
        <v>590</v>
      </c>
      <c r="C385" s="15" t="str">
        <f>IFERROR(__xludf.DUMMYFUNCTION("""COMPUTED_VALUE"""),"42")</f>
        <v>42</v>
      </c>
      <c r="D385" s="15" t="str">
        <f>IFERROR(__xludf.DUMMYFUNCTION("""COMPUTED_VALUE"""),"Not ranking")</f>
        <v>Not ranking</v>
      </c>
      <c r="E385" s="15" t="str">
        <f>IFERROR(__xludf.DUMMYFUNCTION("""COMPUTED_VALUE"""),"33")</f>
        <v>33</v>
      </c>
      <c r="F385" s="17" t="str">
        <f>IFERROR(__xludf.DUMMYFUNCTION("""COMPUTED_VALUE"""),"https://www.themeateater.com/listen/wired-to-hunt/ep-546-the-story-of-deer-survival-whitetail-anatom")</f>
        <v>https://www.themeateater.com/listen/wired-to-hunt/ep-546-the-story-of-deer-survival-whitetail-anatom</v>
      </c>
      <c r="G385" s="18" t="str">
        <f>IFERROR(__xludf.DUMMYFUNCTION("""COMPUTED_VALUE"""),"Not ranking")</f>
        <v>Not ranking</v>
      </c>
      <c r="H385" s="17" t="str">
        <f>IFERROR(__xludf.DUMMYFUNCTION("""COMPUTED_VALUE"""),"https://www.wideopenspaces.com/the-great-deer-anatomy-explainer-and-what-you-need-to-know-as-a-hunter/")</f>
        <v>https://www.wideopenspaces.com/the-great-deer-anatomy-explainer-and-what-you-need-to-know-as-a-hunter/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5" t="str">
        <f>IFERROR(__xludf.DUMMYFUNCTION("""COMPUTED_VALUE"""),"kansas deer tags")</f>
        <v>kansas deer tags</v>
      </c>
      <c r="B386" s="15" t="str">
        <f>IFERROR(__xludf.DUMMYFUNCTION("""COMPUTED_VALUE"""),"590")</f>
        <v>590</v>
      </c>
      <c r="C386" s="15" t="str">
        <f>IFERROR(__xludf.DUMMYFUNCTION("""COMPUTED_VALUE"""),"42")</f>
        <v>42</v>
      </c>
      <c r="D386" s="15" t="str">
        <f>IFERROR(__xludf.DUMMYFUNCTION("""COMPUTED_VALUE"""),"Not ranking")</f>
        <v>Not ranking</v>
      </c>
      <c r="E386" s="15" t="str">
        <f>IFERROR(__xludf.DUMMYFUNCTION("""COMPUTED_VALUE"""),"91")</f>
        <v>91</v>
      </c>
      <c r="F386" s="17" t="str">
        <f>IFERROR(__xludf.DUMMYFUNCTION("""COMPUTED_VALUE"""),"https://www.themeateater.com/hunt/big-game/big-game-tags-the-over-the-counter-option")</f>
        <v>https://www.themeateater.com/hunt/big-game/big-game-tags-the-over-the-counter-option</v>
      </c>
      <c r="G386" s="18" t="str">
        <f>IFERROR(__xludf.DUMMYFUNCTION("""COMPUTED_VALUE"""),"Not ranking")</f>
        <v>Not ranking</v>
      </c>
      <c r="H386" s="17" t="str">
        <f>IFERROR(__xludf.DUMMYFUNCTION("""COMPUTED_VALUE"""),"https://www.wideopenspaces.com/kansas-deer-hunting/")</f>
        <v>https://www.wideopenspaces.com/kansas-deer-hunting/</v>
      </c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5" t="str">
        <f>IFERROR(__xludf.DUMMYFUNCTION("""COMPUTED_VALUE"""),"saber tooth deer")</f>
        <v>saber tooth deer</v>
      </c>
      <c r="B387" s="15" t="str">
        <f>IFERROR(__xludf.DUMMYFUNCTION("""COMPUTED_VALUE"""),"590")</f>
        <v>590</v>
      </c>
      <c r="C387" s="15" t="str">
        <f>IFERROR(__xludf.DUMMYFUNCTION("""COMPUTED_VALUE"""),"42")</f>
        <v>42</v>
      </c>
      <c r="D387" s="15" t="str">
        <f>IFERROR(__xludf.DUMMYFUNCTION("""COMPUTED_VALUE"""),"Not ranking")</f>
        <v>Not ranking</v>
      </c>
      <c r="E387" s="15" t="str">
        <f>IFERROR(__xludf.DUMMYFUNCTION("""COMPUTED_VALUE"""),"Not ranking")</f>
        <v>Not ranking</v>
      </c>
      <c r="F387" s="17" t="str">
        <f>IFERROR(__xludf.DUMMYFUNCTION("""COMPUTED_VALUE"""),"https://www.themeateater.com/shows/sabertooth")</f>
        <v>https://www.themeateater.com/shows/sabertooth</v>
      </c>
      <c r="G387" s="18" t="str">
        <f>IFERROR(__xludf.DUMMYFUNCTION("""COMPUTED_VALUE"""),"Not ranking")</f>
        <v>Not ranking</v>
      </c>
      <c r="H387" s="18" t="str">
        <f>IFERROR(__xludf.DUMMYFUNCTION("""COMPUTED_VALUE"""),"Not ranking")</f>
        <v>Not ranking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5" t="str">
        <f>IFERROR(__xludf.DUMMYFUNCTION("""COMPUTED_VALUE"""),"spikezilla deer")</f>
        <v>spikezilla deer</v>
      </c>
      <c r="B388" s="15" t="str">
        <f>IFERROR(__xludf.DUMMYFUNCTION("""COMPUTED_VALUE"""),"590")</f>
        <v>590</v>
      </c>
      <c r="C388" s="15" t="str">
        <f>IFERROR(__xludf.DUMMYFUNCTION("""COMPUTED_VALUE"""),"42")</f>
        <v>42</v>
      </c>
      <c r="D388" s="15" t="str">
        <f>IFERROR(__xludf.DUMMYFUNCTION("""COMPUTED_VALUE"""),"Not ranking")</f>
        <v>Not ranking</v>
      </c>
      <c r="E388" s="15" t="str">
        <f>IFERROR(__xludf.DUMMYFUNCTION("""COMPUTED_VALUE"""),"Not ranking")</f>
        <v>Not ranking</v>
      </c>
      <c r="F388" s="17" t="str">
        <f>IFERROR(__xludf.DUMMYFUNCTION("""COMPUTED_VALUE"""),"https://www.themeateater.com/watch/6209664304001/how-to-shock-pouch-a-deer-with-clay-newcomb")</f>
        <v>https://www.themeateater.com/watch/6209664304001/how-to-shock-pouch-a-deer-with-clay-newcomb</v>
      </c>
      <c r="G388" s="18" t="str">
        <f>IFERROR(__xludf.DUMMYFUNCTION("""COMPUTED_VALUE"""),"Not ranking")</f>
        <v>Not ranking</v>
      </c>
      <c r="H388" s="18" t="str">
        <f>IFERROR(__xludf.DUMMYFUNCTION("""COMPUTED_VALUE"""),"Not ranking")</f>
        <v>Not ranking</v>
      </c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5" t="str">
        <f>IFERROR(__xludf.DUMMYFUNCTION("""COMPUTED_VALUE"""),"wyoming deer")</f>
        <v>wyoming deer</v>
      </c>
      <c r="B389" s="15" t="str">
        <f>IFERROR(__xludf.DUMMYFUNCTION("""COMPUTED_VALUE"""),"590")</f>
        <v>590</v>
      </c>
      <c r="C389" s="15" t="str">
        <f>IFERROR(__xludf.DUMMYFUNCTION("""COMPUTED_VALUE"""),"42")</f>
        <v>42</v>
      </c>
      <c r="D389" s="15" t="str">
        <f>IFERROR(__xludf.DUMMYFUNCTION("""COMPUTED_VALUE"""),"Not ranking")</f>
        <v>Not ranking</v>
      </c>
      <c r="E389" s="15" t="str">
        <f>IFERROR(__xludf.DUMMYFUNCTION("""COMPUTED_VALUE"""),"72")</f>
        <v>72</v>
      </c>
      <c r="F389" s="17" t="str">
        <f>IFERROR(__xludf.DUMMYFUNCTION("""COMPUTED_VALUE"""),"https://www.themeateater.com/shows/meateater/season-9/wyoming-mule-deer-part-1")</f>
        <v>https://www.themeateater.com/shows/meateater/season-9/wyoming-mule-deer-part-1</v>
      </c>
      <c r="G389" s="18" t="str">
        <f>IFERROR(__xludf.DUMMYFUNCTION("""COMPUTED_VALUE"""),"Not ranking")</f>
        <v>Not ranking</v>
      </c>
      <c r="H389" s="17" t="str">
        <f>IFERROR(__xludf.DUMMYFUNCTION("""COMPUTED_VALUE"""),"https://www.wideopenspaces.com/wyoming-deer-hunting/")</f>
        <v>https://www.wideopenspaces.com/wyoming-deer-hunting/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5" t="str">
        <f>IFERROR(__xludf.DUMMYFUNCTION("""COMPUTED_VALUE"""),"deer rifle")</f>
        <v>deer rifle</v>
      </c>
      <c r="B390" s="15" t="str">
        <f>IFERROR(__xludf.DUMMYFUNCTION("""COMPUTED_VALUE"""),"2400")</f>
        <v>2400</v>
      </c>
      <c r="C390" s="15" t="str">
        <f>IFERROR(__xludf.DUMMYFUNCTION("""COMPUTED_VALUE"""),"43")</f>
        <v>43</v>
      </c>
      <c r="D390" s="15" t="str">
        <f>IFERROR(__xludf.DUMMYFUNCTION("""COMPUTED_VALUE"""),"13")</f>
        <v>13</v>
      </c>
      <c r="E390" s="15" t="str">
        <f>IFERROR(__xludf.DUMMYFUNCTION("""COMPUTED_VALUE"""),"90")</f>
        <v>90</v>
      </c>
      <c r="F390" s="17" t="str">
        <f>IFERROR(__xludf.DUMMYFUNCTION("""COMPUTED_VALUE"""),"https://www.themeateater.com/hunt/firearm-hunting/5-best-rifles-for-new-hunters")</f>
        <v>https://www.themeateater.com/hunt/firearm-hunting/5-best-rifles-for-new-hunters</v>
      </c>
      <c r="G390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390" s="17" t="str">
        <f>IFERROR(__xludf.DUMMYFUNCTION("""COMPUTED_VALUE"""),"https://www.wideopenspaces.com/best-deer-hunting-rifles/")</f>
        <v>https://www.wideopenspaces.com/best-deer-hunting-rifles/</v>
      </c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5" t="str">
        <f>IFERROR(__xludf.DUMMYFUNCTION("""COMPUTED_VALUE"""),"hunting deer")</f>
        <v>hunting deer</v>
      </c>
      <c r="B391" s="15" t="str">
        <f>IFERROR(__xludf.DUMMYFUNCTION("""COMPUTED_VALUE"""),"2400")</f>
        <v>2400</v>
      </c>
      <c r="C391" s="15" t="str">
        <f>IFERROR(__xludf.DUMMYFUNCTION("""COMPUTED_VALUE"""),"43")</f>
        <v>43</v>
      </c>
      <c r="D391" s="15" t="str">
        <f>IFERROR(__xludf.DUMMYFUNCTION("""COMPUTED_VALUE"""),"19")</f>
        <v>19</v>
      </c>
      <c r="E391" s="15" t="str">
        <f>IFERROR(__xludf.DUMMYFUNCTION("""COMPUTED_VALUE"""),"Not ranking")</f>
        <v>Not ranking</v>
      </c>
      <c r="F391" s="17" t="str">
        <f>IFERROR(__xludf.DUMMYFUNCTION("""COMPUTED_VALUE"""),"https://www.themeateater.com/hunt/big-game/tips-and-trick-for-hunting-whitetail-deer")</f>
        <v>https://www.themeateater.com/hunt/big-game/tips-and-trick-for-hunting-whitetail-deer</v>
      </c>
      <c r="G391" s="17" t="str">
        <f>IFERROR(__xludf.DUMMYFUNCTION("""COMPUTED_VALUE"""),"https://realtree.com/deer-hunting")</f>
        <v>https://realtree.com/deer-hunting</v>
      </c>
      <c r="H391" s="18" t="str">
        <f>IFERROR(__xludf.DUMMYFUNCTION("""COMPUTED_VALUE"""),"Not ranking")</f>
        <v>Not ranking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5" t="str">
        <f>IFERROR(__xludf.DUMMYFUNCTION("""COMPUTED_VALUE"""),"deer vs elk")</f>
        <v>deer vs elk</v>
      </c>
      <c r="B392" s="15" t="str">
        <f>IFERROR(__xludf.DUMMYFUNCTION("""COMPUTED_VALUE"""),"1900")</f>
        <v>1900</v>
      </c>
      <c r="C392" s="15" t="str">
        <f>IFERROR(__xludf.DUMMYFUNCTION("""COMPUTED_VALUE"""),"43")</f>
        <v>43</v>
      </c>
      <c r="D392" s="15" t="str">
        <f>IFERROR(__xludf.DUMMYFUNCTION("""COMPUTED_VALUE"""),"Not ranking")</f>
        <v>Not ranking</v>
      </c>
      <c r="E392" s="15" t="str">
        <f>IFERROR(__xludf.DUMMYFUNCTION("""COMPUTED_VALUE"""),"20")</f>
        <v>20</v>
      </c>
      <c r="F392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392" s="18" t="str">
        <f>IFERROR(__xludf.DUMMYFUNCTION("""COMPUTED_VALUE"""),"Not ranking")</f>
        <v>Not ranking</v>
      </c>
      <c r="H392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5" t="str">
        <f>IFERROR(__xludf.DUMMYFUNCTION("""COMPUTED_VALUE"""),"do a deer")</f>
        <v>do a deer</v>
      </c>
      <c r="B393" s="15" t="str">
        <f>IFERROR(__xludf.DUMMYFUNCTION("""COMPUTED_VALUE"""),"1900")</f>
        <v>1900</v>
      </c>
      <c r="C393" s="15" t="str">
        <f>IFERROR(__xludf.DUMMYFUNCTION("""COMPUTED_VALUE"""),"43")</f>
        <v>43</v>
      </c>
      <c r="D393" s="15" t="str">
        <f>IFERROR(__xludf.DUMMYFUNCTION("""COMPUTED_VALUE"""),"Not ranking")</f>
        <v>Not ranking</v>
      </c>
      <c r="E393" s="15" t="str">
        <f>IFERROR(__xludf.DUMMYFUNCTION("""COMPUTED_VALUE"""),"Not ranking")</f>
        <v>Not ranking</v>
      </c>
      <c r="F393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393" s="18" t="str">
        <f>IFERROR(__xludf.DUMMYFUNCTION("""COMPUTED_VALUE"""),"Not ranking")</f>
        <v>Not ranking</v>
      </c>
      <c r="H393" s="18" t="str">
        <f>IFERROR(__xludf.DUMMYFUNCTION("""COMPUTED_VALUE"""),"Not ranking")</f>
        <v>Not ranking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5" t="str">
        <f>IFERROR(__xludf.DUMMYFUNCTION("""COMPUTED_VALUE"""),"deer euro mount ideas")</f>
        <v>deer euro mount ideas</v>
      </c>
      <c r="B394" s="15" t="str">
        <f>IFERROR(__xludf.DUMMYFUNCTION("""COMPUTED_VALUE"""),"880")</f>
        <v>880</v>
      </c>
      <c r="C394" s="15" t="str">
        <f>IFERROR(__xludf.DUMMYFUNCTION("""COMPUTED_VALUE"""),"43")</f>
        <v>43</v>
      </c>
      <c r="D394" s="15" t="str">
        <f>IFERROR(__xludf.DUMMYFUNCTION("""COMPUTED_VALUE"""),"Not ranking")</f>
        <v>Not ranking</v>
      </c>
      <c r="E394" s="15" t="str">
        <f>IFERROR(__xludf.DUMMYFUNCTION("""COMPUTED_VALUE"""),"46")</f>
        <v>46</v>
      </c>
      <c r="F394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394" s="18" t="str">
        <f>IFERROR(__xludf.DUMMYFUNCTION("""COMPUTED_VALUE"""),"Not ranking")</f>
        <v>Not ranking</v>
      </c>
      <c r="H394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5" t="str">
        <f>IFERROR(__xludf.DUMMYFUNCTION("""COMPUTED_VALUE"""),"deer hunting with dogs")</f>
        <v>deer hunting with dogs</v>
      </c>
      <c r="B395" s="15" t="str">
        <f>IFERROR(__xludf.DUMMYFUNCTION("""COMPUTED_VALUE"""),"880")</f>
        <v>880</v>
      </c>
      <c r="C395" s="15" t="str">
        <f>IFERROR(__xludf.DUMMYFUNCTION("""COMPUTED_VALUE"""),"43")</f>
        <v>43</v>
      </c>
      <c r="D395" s="15" t="str">
        <f>IFERROR(__xludf.DUMMYFUNCTION("""COMPUTED_VALUE"""),"76")</f>
        <v>76</v>
      </c>
      <c r="E395" s="15" t="str">
        <f>IFERROR(__xludf.DUMMYFUNCTION("""COMPUTED_VALUE"""),"19")</f>
        <v>19</v>
      </c>
      <c r="F395" s="17" t="str">
        <f>IFERROR(__xludf.DUMMYFUNCTION("""COMPUTED_VALUE"""),"https://www.themeateater.com/listen/wired-to-hunt/the-wired-to-hunt-podcast-episode-45-deer-dogs-wit")</f>
        <v>https://www.themeateater.com/listen/wired-to-hunt/the-wired-to-hunt-podcast-episode-45-deer-dogs-wit</v>
      </c>
      <c r="G395" s="17" t="str">
        <f>IFERROR(__xludf.DUMMYFUNCTION("""COMPUTED_VALUE"""),"https://realtree.com/deer-hunting/articles/5-traits-of-a-good-blood-trailing-deer-dog")</f>
        <v>https://realtree.com/deer-hunting/articles/5-traits-of-a-good-blood-trailing-deer-dog</v>
      </c>
      <c r="H395" s="17" t="str">
        <f>IFERROR(__xludf.DUMMYFUNCTION("""COMPUTED_VALUE"""),"https://www.wideopenspaces.com/the-art-of-hunting-deer-with-dogs/")</f>
        <v>https://www.wideopenspaces.com/the-art-of-hunting-deer-with-dogs/</v>
      </c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5" t="str">
        <f>IFERROR(__xludf.DUMMYFUNCTION("""COMPUTED_VALUE"""),"head mounts for deer")</f>
        <v>head mounts for deer</v>
      </c>
      <c r="B396" s="15" t="str">
        <f>IFERROR(__xludf.DUMMYFUNCTION("""COMPUTED_VALUE"""),"880")</f>
        <v>880</v>
      </c>
      <c r="C396" s="15" t="str">
        <f>IFERROR(__xludf.DUMMYFUNCTION("""COMPUTED_VALUE"""),"43")</f>
        <v>43</v>
      </c>
      <c r="D396" s="15" t="str">
        <f>IFERROR(__xludf.DUMMYFUNCTION("""COMPUTED_VALUE"""),"16")</f>
        <v>16</v>
      </c>
      <c r="E396" s="15" t="str">
        <f>IFERROR(__xludf.DUMMYFUNCTION("""COMPUTED_VALUE"""),"92")</f>
        <v>92</v>
      </c>
      <c r="F396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396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396" s="17" t="str">
        <f>IFERROR(__xludf.DUMMYFUNCTION("""COMPUTED_VALUE"""),"https://www.wideopenspaces.com/deer-taxidermy-options/")</f>
        <v>https://www.wideopenspaces.com/deer-taxidermy-options/</v>
      </c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5" t="str">
        <f>IFERROR(__xludf.DUMMYFUNCTION("""COMPUTED_VALUE"""),"yearling deer")</f>
        <v>yearling deer</v>
      </c>
      <c r="B397" s="15" t="str">
        <f>IFERROR(__xludf.DUMMYFUNCTION("""COMPUTED_VALUE"""),"590")</f>
        <v>590</v>
      </c>
      <c r="C397" s="15" t="str">
        <f>IFERROR(__xludf.DUMMYFUNCTION("""COMPUTED_VALUE"""),"43")</f>
        <v>43</v>
      </c>
      <c r="D397" s="15" t="str">
        <f>IFERROR(__xludf.DUMMYFUNCTION("""COMPUTED_VALUE"""),"38")</f>
        <v>38</v>
      </c>
      <c r="E397" s="15" t="str">
        <f>IFERROR(__xludf.DUMMYFUNCTION("""COMPUTED_VALUE"""),"Not ranking")</f>
        <v>Not ranking</v>
      </c>
      <c r="F397" s="17" t="str">
        <f>IFERROR(__xludf.DUMMYFUNCTION("""COMPUTED_VALUE"""),"https://www.themeateater.com/hunt/big-game/ask-meateater-whats-wrong-with-shooting-young-bucks")</f>
        <v>https://www.themeateater.com/hunt/big-game/ask-meateater-whats-wrong-with-shooting-young-bucks</v>
      </c>
      <c r="G397" s="17" t="str">
        <f>IFERROR(__xludf.DUMMYFUNCTION("""COMPUTED_VALUE"""),"https://realtree.com/brow-tines-and-backstrap/where-do-the-little-bucks-go")</f>
        <v>https://realtree.com/brow-tines-and-backstrap/where-do-the-little-bucks-go</v>
      </c>
      <c r="H397" s="18" t="str">
        <f>IFERROR(__xludf.DUMMYFUNCTION("""COMPUTED_VALUE"""),"Not ranking")</f>
        <v>Not ranking</v>
      </c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5" t="str">
        <f>IFERROR(__xludf.DUMMYFUNCTION("""COMPUTED_VALUE"""),"doe a deer a female deer")</f>
        <v>doe a deer a female deer</v>
      </c>
      <c r="B398" s="15" t="str">
        <f>IFERROR(__xludf.DUMMYFUNCTION("""COMPUTED_VALUE"""),"5400")</f>
        <v>5400</v>
      </c>
      <c r="C398" s="15" t="str">
        <f>IFERROR(__xludf.DUMMYFUNCTION("""COMPUTED_VALUE"""),"44")</f>
        <v>44</v>
      </c>
      <c r="D398" s="15" t="str">
        <f>IFERROR(__xludf.DUMMYFUNCTION("""COMPUTED_VALUE"""),"Not ranking")</f>
        <v>Not ranking</v>
      </c>
      <c r="E398" s="15" t="str">
        <f>IFERROR(__xludf.DUMMYFUNCTION("""COMPUTED_VALUE"""),"Not ranking")</f>
        <v>Not ranking</v>
      </c>
      <c r="F398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398" s="18" t="str">
        <f>IFERROR(__xludf.DUMMYFUNCTION("""COMPUTED_VALUE"""),"Not ranking")</f>
        <v>Not ranking</v>
      </c>
      <c r="H398" s="18" t="str">
        <f>IFERROR(__xludf.DUMMYFUNCTION("""COMPUTED_VALUE"""),"Not ranking")</f>
        <v>Not ranking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5" t="str">
        <f>IFERROR(__xludf.DUMMYFUNCTION("""COMPUTED_VALUE"""),"rain deer")</f>
        <v>rain deer</v>
      </c>
      <c r="B399" s="15" t="str">
        <f>IFERROR(__xludf.DUMMYFUNCTION("""COMPUTED_VALUE"""),"1900")</f>
        <v>1900</v>
      </c>
      <c r="C399" s="15" t="str">
        <f>IFERROR(__xludf.DUMMYFUNCTION("""COMPUTED_VALUE"""),"44")</f>
        <v>44</v>
      </c>
      <c r="D399" s="15" t="str">
        <f>IFERROR(__xludf.DUMMYFUNCTION("""COMPUTED_VALUE"""),"Not ranking")</f>
        <v>Not ranking</v>
      </c>
      <c r="E399" s="15" t="str">
        <f>IFERROR(__xludf.DUMMYFUNCTION("""COMPUTED_VALUE"""),"Not ranking")</f>
        <v>Not ranking</v>
      </c>
      <c r="F399" s="17" t="str">
        <f>IFERROR(__xludf.DUMMYFUNCTION("""COMPUTED_VALUE"""),"https://www.themeateater.com/wired-to-hunt/whitetail-hunting/should-you-deer-hunt-in-the-rain")</f>
        <v>https://www.themeateater.com/wired-to-hunt/whitetail-hunting/should-you-deer-hunt-in-the-rain</v>
      </c>
      <c r="G399" s="18" t="str">
        <f>IFERROR(__xludf.DUMMYFUNCTION("""COMPUTED_VALUE"""),"Not ranking")</f>
        <v>Not ranking</v>
      </c>
      <c r="H399" s="18" t="str">
        <f>IFERROR(__xludf.DUMMYFUNCTION("""COMPUTED_VALUE"""),"Not ranking")</f>
        <v>Not ranking</v>
      </c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5" t="str">
        <f>IFERROR(__xludf.DUMMYFUNCTION("""COMPUTED_VALUE"""),"deer backstraps")</f>
        <v>deer backstraps</v>
      </c>
      <c r="B400" s="15" t="str">
        <f>IFERROR(__xludf.DUMMYFUNCTION("""COMPUTED_VALUE"""),"880")</f>
        <v>880</v>
      </c>
      <c r="C400" s="15" t="str">
        <f>IFERROR(__xludf.DUMMYFUNCTION("""COMPUTED_VALUE"""),"44")</f>
        <v>44</v>
      </c>
      <c r="D400" s="15" t="str">
        <f>IFERROR(__xludf.DUMMYFUNCTION("""COMPUTED_VALUE"""),"24")</f>
        <v>24</v>
      </c>
      <c r="E400" s="15" t="str">
        <f>IFERROR(__xludf.DUMMYFUNCTION("""COMPUTED_VALUE"""),"77")</f>
        <v>77</v>
      </c>
      <c r="F400" s="17" t="str">
        <f>IFERROR(__xludf.DUMMYFUNCTION("""COMPUTED_VALUE"""),"https://www.themeateater.com/recipes/cuts/backstrap")</f>
        <v>https://www.themeateater.com/recipes/cuts/backstrap</v>
      </c>
      <c r="G400" s="17" t="str">
        <f>IFERROR(__xludf.DUMMYFUNCTION("""COMPUTED_VALUE"""),"https://realtree.com/timber-2-table-wild-game-recipes/reverse-seared-smoked-venison-backstrap")</f>
        <v>https://realtree.com/timber-2-table-wild-game-recipes/reverse-seared-smoked-venison-backstrap</v>
      </c>
      <c r="H400" s="17" t="str">
        <f>IFERROR(__xludf.DUMMYFUNCTION("""COMPUTED_VALUE"""),"https://www.wideopenspaces.com/venison-backstrap-recipes/")</f>
        <v>https://www.wideopenspaces.com/venison-backstrap-recipes/</v>
      </c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5" t="str">
        <f>IFERROR(__xludf.DUMMYFUNCTION("""COMPUTED_VALUE"""),"deer tree stands")</f>
        <v>deer tree stands</v>
      </c>
      <c r="B401" s="15" t="str">
        <f>IFERROR(__xludf.DUMMYFUNCTION("""COMPUTED_VALUE"""),"720")</f>
        <v>720</v>
      </c>
      <c r="C401" s="15" t="str">
        <f>IFERROR(__xludf.DUMMYFUNCTION("""COMPUTED_VALUE"""),"44")</f>
        <v>44</v>
      </c>
      <c r="D401" s="15" t="str">
        <f>IFERROR(__xludf.DUMMYFUNCTION("""COMPUTED_VALUE"""),"64")</f>
        <v>64</v>
      </c>
      <c r="E401" s="15" t="str">
        <f>IFERROR(__xludf.DUMMYFUNCTION("""COMPUTED_VALUE"""),"72")</f>
        <v>72</v>
      </c>
      <c r="F401" s="17" t="str">
        <f>IFERROR(__xludf.DUMMYFUNCTION("""COMPUTED_VALUE"""),"https://www.themeateater.com/wired-to-hunt/whitetail-scouting/how-to-pick-the-perfect-tree-stand-location-in-summer")</f>
        <v>https://www.themeateater.com/wired-to-hunt/whitetail-scouting/how-to-pick-the-perfect-tree-stand-location-in-summer</v>
      </c>
      <c r="G401" s="17" t="str">
        <f>IFERROR(__xludf.DUMMYFUNCTION("""COMPUTED_VALUE"""),"https://realtree.com/deer-hunting/articles/15-tips-for-deer-hunting-from-a-treestand")</f>
        <v>https://realtree.com/deer-hunting/articles/15-tips-for-deer-hunting-from-a-treestand</v>
      </c>
      <c r="H401" s="17" t="str">
        <f>IFERROR(__xludf.DUMMYFUNCTION("""COMPUTED_VALUE"""),"https://www.wideopenspaces.com/treestand-vs-groundblind-when-and-where-you-should-use-either-one/")</f>
        <v>https://www.wideopenspaces.com/treestand-vs-groundblind-when-and-where-you-should-use-either-one/</v>
      </c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5" t="str">
        <f>IFERROR(__xludf.DUMMYFUNCTION("""COMPUTED_VALUE"""),"whitetail deer skull")</f>
        <v>whitetail deer skull</v>
      </c>
      <c r="B402" s="15" t="str">
        <f>IFERROR(__xludf.DUMMYFUNCTION("""COMPUTED_VALUE"""),"720")</f>
        <v>720</v>
      </c>
      <c r="C402" s="15" t="str">
        <f>IFERROR(__xludf.DUMMYFUNCTION("""COMPUTED_VALUE"""),"44")</f>
        <v>44</v>
      </c>
      <c r="D402" s="15" t="str">
        <f>IFERROR(__xludf.DUMMYFUNCTION("""COMPUTED_VALUE"""),"Not ranking")</f>
        <v>Not ranking</v>
      </c>
      <c r="E402" s="15" t="str">
        <f>IFERROR(__xludf.DUMMYFUNCTION("""COMPUTED_VALUE"""),"Not ranking")</f>
        <v>Not ranking</v>
      </c>
      <c r="F402" s="17" t="str">
        <f>IFERROR(__xludf.DUMMYFUNCTION("""COMPUTED_VALUE"""),"https://www.themeateater.com/wired-to-hunt/whitetail-management/cranial-abscess-syndrome-the-false-cwd")</f>
        <v>https://www.themeateater.com/wired-to-hunt/whitetail-management/cranial-abscess-syndrome-the-false-cwd</v>
      </c>
      <c r="G402" s="18" t="str">
        <f>IFERROR(__xludf.DUMMYFUNCTION("""COMPUTED_VALUE"""),"Not ranking")</f>
        <v>Not ranking</v>
      </c>
      <c r="H402" s="18" t="str">
        <f>IFERROR(__xludf.DUMMYFUNCTION("""COMPUTED_VALUE"""),"Not ranking")</f>
        <v>Not ranking</v>
      </c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5" t="str">
        <f>IFERROR(__xludf.DUMMYFUNCTION("""COMPUTED_VALUE"""),"gun for deer hunting")</f>
        <v>gun for deer hunting</v>
      </c>
      <c r="B403" s="15" t="str">
        <f>IFERROR(__xludf.DUMMYFUNCTION("""COMPUTED_VALUE"""),"590")</f>
        <v>590</v>
      </c>
      <c r="C403" s="15" t="str">
        <f>IFERROR(__xludf.DUMMYFUNCTION("""COMPUTED_VALUE"""),"44")</f>
        <v>44</v>
      </c>
      <c r="D403" s="15" t="str">
        <f>IFERROR(__xludf.DUMMYFUNCTION("""COMPUTED_VALUE"""),"12")</f>
        <v>12</v>
      </c>
      <c r="E403" s="15" t="str">
        <f>IFERROR(__xludf.DUMMYFUNCTION("""COMPUTED_VALUE"""),"9")</f>
        <v>9</v>
      </c>
      <c r="F403" s="17" t="str">
        <f>IFERROR(__xludf.DUMMYFUNCTION("""COMPUTED_VALUE"""),"https://www.themeateater.com/hunt/firearm-hunting/should-your-next-deer-rifle-be-an-ar-15")</f>
        <v>https://www.themeateater.com/hunt/firearm-hunting/should-your-next-deer-rifle-be-an-ar-15</v>
      </c>
      <c r="G403" s="17" t="str">
        <f>IFERROR(__xludf.DUMMYFUNCTION("""COMPUTED_VALUE"""),"https://realtree.com/deer-hunting/articles/the-new-hunter-s-guide-to-buying-your-first-deer-rifle")</f>
        <v>https://realtree.com/deer-hunting/articles/the-new-hunter-s-guide-to-buying-your-first-deer-rifle</v>
      </c>
      <c r="H403" s="17" t="str">
        <f>IFERROR(__xludf.DUMMYFUNCTION("""COMPUTED_VALUE"""),"https://www.wideopenspaces.com/best-deer-hunting-rifles/")</f>
        <v>https://www.wideopenspaces.com/best-deer-hunting-rifles/</v>
      </c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5" t="str">
        <f>IFERROR(__xludf.DUMMYFUNCTION("""COMPUTED_VALUE"""),"anatomy of a deer")</f>
        <v>anatomy of a deer</v>
      </c>
      <c r="B404" s="15" t="str">
        <f>IFERROR(__xludf.DUMMYFUNCTION("""COMPUTED_VALUE"""),"2900")</f>
        <v>2900</v>
      </c>
      <c r="C404" s="15" t="str">
        <f>IFERROR(__xludf.DUMMYFUNCTION("""COMPUTED_VALUE"""),"45")</f>
        <v>45</v>
      </c>
      <c r="D404" s="15" t="str">
        <f>IFERROR(__xludf.DUMMYFUNCTION("""COMPUTED_VALUE"""),"18")</f>
        <v>18</v>
      </c>
      <c r="E404" s="15" t="str">
        <f>IFERROR(__xludf.DUMMYFUNCTION("""COMPUTED_VALUE"""),"42")</f>
        <v>42</v>
      </c>
      <c r="F404" s="17" t="str">
        <f>IFERROR(__xludf.DUMMYFUNCTION("""COMPUTED_VALUE"""),"https://www.themeateater.com/listen/wired-to-hunt/ep-546-the-story-of-deer-survival-whitetail-anatom")</f>
        <v>https://www.themeateater.com/listen/wired-to-hunt/ep-546-the-story-of-deer-survival-whitetail-anatom</v>
      </c>
      <c r="G404" s="17" t="str">
        <f>IFERROR(__xludf.DUMMYFUNCTION("""COMPUTED_VALUE"""),"https://realtree.com/deer-hunting/articles/the-best-shot-placement-on-deer")</f>
        <v>https://realtree.com/deer-hunting/articles/the-best-shot-placement-on-deer</v>
      </c>
      <c r="H404" s="17" t="str">
        <f>IFERROR(__xludf.DUMMYFUNCTION("""COMPUTED_VALUE"""),"https://www.wideopenspaces.com/the-great-deer-anatomy-explainer-and-what-you-need-to-know-as-a-hunter/")</f>
        <v>https://www.wideopenspaces.com/the-great-deer-anatomy-explainer-and-what-you-need-to-know-as-a-hunter/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5" t="str">
        <f>IFERROR(__xludf.DUMMYFUNCTION("""COMPUTED_VALUE"""),"the deer hunting")</f>
        <v>the deer hunting</v>
      </c>
      <c r="B405" s="15" t="str">
        <f>IFERROR(__xludf.DUMMYFUNCTION("""COMPUTED_VALUE"""),"1600")</f>
        <v>1600</v>
      </c>
      <c r="C405" s="15" t="str">
        <f>IFERROR(__xludf.DUMMYFUNCTION("""COMPUTED_VALUE"""),"45")</f>
        <v>45</v>
      </c>
      <c r="D405" s="15" t="str">
        <f>IFERROR(__xludf.DUMMYFUNCTION("""COMPUTED_VALUE"""),"50")</f>
        <v>50</v>
      </c>
      <c r="E405" s="15" t="str">
        <f>IFERROR(__xludf.DUMMYFUNCTION("""COMPUTED_VALUE"""),"Not ranking")</f>
        <v>Not ranking</v>
      </c>
      <c r="F405" s="17" t="str">
        <f>IFERROR(__xludf.DUMMYFUNCTION("""COMPUTED_VALUE"""),"https://www.themeateater.com/wired-to-hunt/whitetail-hunting/why-december-deer-hunting-can-be-amazing-or-terrible")</f>
        <v>https://www.themeateater.com/wired-to-hunt/whitetail-hunting/why-december-deer-hunting-can-be-amazing-or-terrible</v>
      </c>
      <c r="G405" s="17" t="str">
        <f>IFERROR(__xludf.DUMMYFUNCTION("""COMPUTED_VALUE"""),"https://realtree.com/deer-hunting/articles/10-best-times-to-deer-hunt")</f>
        <v>https://realtree.com/deer-hunting/articles/10-best-times-to-deer-hunt</v>
      </c>
      <c r="H405" s="18" t="str">
        <f>IFERROR(__xludf.DUMMYFUNCTION("""COMPUTED_VALUE"""),"Not ranking")</f>
        <v>Not ranking</v>
      </c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5" t="str">
        <f>IFERROR(__xludf.DUMMYFUNCTION("""COMPUTED_VALUE"""),"big buck deer")</f>
        <v>big buck deer</v>
      </c>
      <c r="B406" s="15" t="str">
        <f>IFERROR(__xludf.DUMMYFUNCTION("""COMPUTED_VALUE"""),"720")</f>
        <v>720</v>
      </c>
      <c r="C406" s="15" t="str">
        <f>IFERROR(__xludf.DUMMYFUNCTION("""COMPUTED_VALUE"""),"45")</f>
        <v>45</v>
      </c>
      <c r="D406" s="15" t="str">
        <f>IFERROR(__xludf.DUMMYFUNCTION("""COMPUTED_VALUE"""),"9")</f>
        <v>9</v>
      </c>
      <c r="E406" s="15" t="str">
        <f>IFERROR(__xludf.DUMMYFUNCTION("""COMPUTED_VALUE"""),"69")</f>
        <v>69</v>
      </c>
      <c r="F406" s="17" t="str">
        <f>IFERROR(__xludf.DUMMYFUNCTION("""COMPUTED_VALUE"""),"https://www.themeateater.com/wired-to-hunt/whitetail-hunting/how-to-track-a-buck-in-the-big-woods")</f>
        <v>https://www.themeateater.com/wired-to-hunt/whitetail-hunting/how-to-track-a-buck-in-the-big-woods</v>
      </c>
      <c r="G406" s="17" t="str">
        <f>IFERROR(__xludf.DUMMYFUNCTION("""COMPUTED_VALUE"""),"https://realtree.com/deer-hunting/articles/how-to-hunt-big-old-mature-bucks")</f>
        <v>https://realtree.com/deer-hunting/articles/how-to-hunt-big-old-mature-bucks</v>
      </c>
      <c r="H406" s="17" t="str">
        <f>IFERROR(__xludf.DUMMYFUNCTION("""COMPUTED_VALUE"""),"https://www.wideopenspaces.com/5-biggest-whitetail-bucks-ever-found-dead/")</f>
        <v>https://www.wideopenspaces.com/5-biggest-whitetail-bucks-ever-found-dead/</v>
      </c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5" t="str">
        <f>IFERROR(__xludf.DUMMYFUNCTION("""COMPUTED_VALUE"""),"deer poop vs bear poop")</f>
        <v>deer poop vs bear poop</v>
      </c>
      <c r="B407" s="15" t="str">
        <f>IFERROR(__xludf.DUMMYFUNCTION("""COMPUTED_VALUE"""),"720")</f>
        <v>720</v>
      </c>
      <c r="C407" s="15" t="str">
        <f>IFERROR(__xludf.DUMMYFUNCTION("""COMPUTED_VALUE"""),"45")</f>
        <v>45</v>
      </c>
      <c r="D407" s="15" t="str">
        <f>IFERROR(__xludf.DUMMYFUNCTION("""COMPUTED_VALUE"""),"20")</f>
        <v>20</v>
      </c>
      <c r="E407" s="15" t="str">
        <f>IFERROR(__xludf.DUMMYFUNCTION("""COMPUTED_VALUE"""),"33")</f>
        <v>33</v>
      </c>
      <c r="F407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407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407" s="17" t="str">
        <f>IFERROR(__xludf.DUMMYFUNCTION("""COMPUTED_VALUE"""),"https://www.wideopenspaces.com/can-you-id-these-animals-by-their-poop/")</f>
        <v>https://www.wideopenspaces.com/can-you-id-these-animals-by-their-poop/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5" t="str">
        <f>IFERROR(__xludf.DUMMYFUNCTION("""COMPUTED_VALUE"""),"is deer meat good for you")</f>
        <v>is deer meat good for you</v>
      </c>
      <c r="B408" s="15" t="str">
        <f>IFERROR(__xludf.DUMMYFUNCTION("""COMPUTED_VALUE"""),"720")</f>
        <v>720</v>
      </c>
      <c r="C408" s="15" t="str">
        <f>IFERROR(__xludf.DUMMYFUNCTION("""COMPUTED_VALUE"""),"45")</f>
        <v>45</v>
      </c>
      <c r="D408" s="15" t="str">
        <f>IFERROR(__xludf.DUMMYFUNCTION("""COMPUTED_VALUE"""),"67")</f>
        <v>67</v>
      </c>
      <c r="E408" s="15" t="str">
        <f>IFERROR(__xludf.DUMMYFUNCTION("""COMPUTED_VALUE"""),"Not ranking")</f>
        <v>Not ranking</v>
      </c>
      <c r="F408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408" s="17" t="str">
        <f>IFERROR(__xludf.DUMMYFUNCTION("""COMPUTED_VALUE"""),"https://realtree.com/deer-hunting/articles/12-reasons-why-your-venison-tastes-like-hell")</f>
        <v>https://realtree.com/deer-hunting/articles/12-reasons-why-your-venison-tastes-like-hell</v>
      </c>
      <c r="H408" s="18" t="str">
        <f>IFERROR(__xludf.DUMMYFUNCTION("""COMPUTED_VALUE"""),"Not ranking")</f>
        <v>Not ranking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5" t="str">
        <f>IFERROR(__xludf.DUMMYFUNCTION("""COMPUTED_VALUE"""),"deer tracks")</f>
        <v>deer tracks</v>
      </c>
      <c r="B409" s="15" t="str">
        <f>IFERROR(__xludf.DUMMYFUNCTION("""COMPUTED_VALUE"""),"6600")</f>
        <v>6600</v>
      </c>
      <c r="C409" s="15" t="str">
        <f>IFERROR(__xludf.DUMMYFUNCTION("""COMPUTED_VALUE"""),"46")</f>
        <v>46</v>
      </c>
      <c r="D409" s="15" t="str">
        <f>IFERROR(__xludf.DUMMYFUNCTION("""COMPUTED_VALUE"""),"Not ranking")</f>
        <v>Not ranking</v>
      </c>
      <c r="E409" s="15" t="str">
        <f>IFERROR(__xludf.DUMMYFUNCTION("""COMPUTED_VALUE"""),"Not ranking")</f>
        <v>Not ranking</v>
      </c>
      <c r="F409" s="17" t="str">
        <f>IFERROR(__xludf.DUMMYFUNCTION("""COMPUTED_VALUE"""),"https://www.themeateater.com/wired-to-hunt/whitetail-scouting/what-you-need-to-know-about-deer-tracks")</f>
        <v>https://www.themeateater.com/wired-to-hunt/whitetail-scouting/what-you-need-to-know-about-deer-tracks</v>
      </c>
      <c r="G409" s="18" t="str">
        <f>IFERROR(__xludf.DUMMYFUNCTION("""COMPUTED_VALUE"""),"Not ranking")</f>
        <v>Not ranking</v>
      </c>
      <c r="H409" s="18" t="str">
        <f>IFERROR(__xludf.DUMMYFUNCTION("""COMPUTED_VALUE"""),"Not ranking")</f>
        <v>Not ranking</v>
      </c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5" t="str">
        <f>IFERROR(__xludf.DUMMYFUNCTION("""COMPUTED_VALUE"""),"what does deer sound like")</f>
        <v>what does deer sound like</v>
      </c>
      <c r="B410" s="15" t="str">
        <f>IFERROR(__xludf.DUMMYFUNCTION("""COMPUTED_VALUE"""),"720")</f>
        <v>720</v>
      </c>
      <c r="C410" s="15" t="str">
        <f>IFERROR(__xludf.DUMMYFUNCTION("""COMPUTED_VALUE"""),"46")</f>
        <v>46</v>
      </c>
      <c r="D410" s="15" t="str">
        <f>IFERROR(__xludf.DUMMYFUNCTION("""COMPUTED_VALUE"""),"30")</f>
        <v>30</v>
      </c>
      <c r="E410" s="15" t="str">
        <f>IFERROR(__xludf.DUMMYFUNCTION("""COMPUTED_VALUE"""),"3")</f>
        <v>3</v>
      </c>
      <c r="F410" s="17" t="str">
        <f>IFERROR(__xludf.DUMMYFUNCTION("""COMPUTED_VALUE"""),"https://www.themeateater.com/hunt/whitetail-deer/video-rutting-buck-makes-crazy-vocalizations")</f>
        <v>https://www.themeateater.com/hunt/whitetail-deer/video-rutting-buck-makes-crazy-vocalizations</v>
      </c>
      <c r="G410" s="17" t="str">
        <f>IFERROR(__xludf.DUMMYFUNCTION("""COMPUTED_VALUE"""),"https://realtree.com/deer-hunting/articles/can-you-talk-deer")</f>
        <v>https://realtree.com/deer-hunting/articles/can-you-talk-deer</v>
      </c>
      <c r="H410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5" t="str">
        <f>IFERROR(__xludf.DUMMYFUNCTION("""COMPUTED_VALUE"""),"couse deer")</f>
        <v>couse deer</v>
      </c>
      <c r="B411" s="15" t="str">
        <f>IFERROR(__xludf.DUMMYFUNCTION("""COMPUTED_VALUE"""),"590")</f>
        <v>590</v>
      </c>
      <c r="C411" s="15" t="str">
        <f>IFERROR(__xludf.DUMMYFUNCTION("""COMPUTED_VALUE"""),"46")</f>
        <v>46</v>
      </c>
      <c r="D411" s="15" t="str">
        <f>IFERROR(__xludf.DUMMYFUNCTION("""COMPUTED_VALUE"""),"13")</f>
        <v>13</v>
      </c>
      <c r="E411" s="15" t="str">
        <f>IFERROR(__xludf.DUMMYFUNCTION("""COMPUTED_VALUE"""),"Not ranking")</f>
        <v>Not ranking</v>
      </c>
      <c r="F411" s="17" t="str">
        <f>IFERROR(__xludf.DUMMYFUNCTION("""COMPUTED_VALUE"""),"https://www.themeateater.com/watch/6174832058001/steven-rinella-tracks-coues-deer-in-arizona")</f>
        <v>https://www.themeateater.com/watch/6174832058001/steven-rinella-tracks-coues-deer-in-arizona</v>
      </c>
      <c r="G411" s="17" t="str">
        <f>IFERROR(__xludf.DUMMYFUNCTION("""COMPUTED_VALUE"""),"https://realtree.com/deer-hunting/articles/the-toughest-deer")</f>
        <v>https://realtree.com/deer-hunting/articles/the-toughest-deer</v>
      </c>
      <c r="H411" s="18" t="str">
        <f>IFERROR(__xludf.DUMMYFUNCTION("""COMPUTED_VALUE"""),"Not ranking")</f>
        <v>Not ranking</v>
      </c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5" t="str">
        <f>IFERROR(__xludf.DUMMYFUNCTION("""COMPUTED_VALUE"""),"do deer move when its windy")</f>
        <v>do deer move when its windy</v>
      </c>
      <c r="B412" s="15" t="str">
        <f>IFERROR(__xludf.DUMMYFUNCTION("""COMPUTED_VALUE"""),"590")</f>
        <v>590</v>
      </c>
      <c r="C412" s="15" t="str">
        <f>IFERROR(__xludf.DUMMYFUNCTION("""COMPUTED_VALUE"""),"46")</f>
        <v>46</v>
      </c>
      <c r="D412" s="15" t="str">
        <f>IFERROR(__xludf.DUMMYFUNCTION("""COMPUTED_VALUE"""),"3")</f>
        <v>3</v>
      </c>
      <c r="E412" s="15" t="str">
        <f>IFERROR(__xludf.DUMMYFUNCTION("""COMPUTED_VALUE"""),"Not ranking")</f>
        <v>Not ranking</v>
      </c>
      <c r="F412" s="17" t="str">
        <f>IFERROR(__xludf.DUMMYFUNCTION("""COMPUTED_VALUE"""),"https://www.themeateater.com/wired-to-hunt/whitetail-hunting/how-to-kill-a-buck-in-high-wind")</f>
        <v>https://www.themeateater.com/wired-to-hunt/whitetail-hunting/how-to-kill-a-buck-in-high-wind</v>
      </c>
      <c r="G412" s="17" t="str">
        <f>IFERROR(__xludf.DUMMYFUNCTION("""COMPUTED_VALUE"""),"https://realtree.com/brow-tines-and-backstrap/why-windy-days-are-great-for-deer-hunting")</f>
        <v>https://realtree.com/brow-tines-and-backstrap/why-windy-days-are-great-for-deer-hunting</v>
      </c>
      <c r="H412" s="18" t="str">
        <f>IFERROR(__xludf.DUMMYFUNCTION("""COMPUTED_VALUE"""),"Not ranking")</f>
        <v>Not ranking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5" t="str">
        <f>IFERROR(__xludf.DUMMYFUNCTION("""COMPUTED_VALUE"""),"deer poop images")</f>
        <v>deer poop images</v>
      </c>
      <c r="B413" s="15" t="str">
        <f>IFERROR(__xludf.DUMMYFUNCTION("""COMPUTED_VALUE"""),"2400")</f>
        <v>2400</v>
      </c>
      <c r="C413" s="15" t="str">
        <f>IFERROR(__xludf.DUMMYFUNCTION("""COMPUTED_VALUE"""),"47")</f>
        <v>47</v>
      </c>
      <c r="D413" s="15" t="str">
        <f>IFERROR(__xludf.DUMMYFUNCTION("""COMPUTED_VALUE"""),"53")</f>
        <v>53</v>
      </c>
      <c r="E413" s="15" t="str">
        <f>IFERROR(__xludf.DUMMYFUNCTION("""COMPUTED_VALUE"""),"71")</f>
        <v>71</v>
      </c>
      <c r="F413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413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413" s="17" t="str">
        <f>IFERROR(__xludf.DUMMYFUNCTION("""COMPUTED_VALUE"""),"https://www.wideopenspaces.com/deer-poop-identification/")</f>
        <v>https://www.wideopenspaces.com/deer-poop-identification/</v>
      </c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5" t="str">
        <f>IFERROR(__xludf.DUMMYFUNCTION("""COMPUTED_VALUE"""),"pet deer")</f>
        <v>pet deer</v>
      </c>
      <c r="B414" s="15" t="str">
        <f>IFERROR(__xludf.DUMMYFUNCTION("""COMPUTED_VALUE"""),"1300")</f>
        <v>1300</v>
      </c>
      <c r="C414" s="15" t="str">
        <f>IFERROR(__xludf.DUMMYFUNCTION("""COMPUTED_VALUE"""),"47")</f>
        <v>47</v>
      </c>
      <c r="D414" s="15" t="str">
        <f>IFERROR(__xludf.DUMMYFUNCTION("""COMPUTED_VALUE"""),"Not ranking")</f>
        <v>Not ranking</v>
      </c>
      <c r="E414" s="15" t="str">
        <f>IFERROR(__xludf.DUMMYFUNCTION("""COMPUTED_VALUE"""),"8")</f>
        <v>8</v>
      </c>
      <c r="F414" s="17" t="str">
        <f>IFERROR(__xludf.DUMMYFUNCTION("""COMPUTED_VALUE"""),"https://www.themeateater.com/conservation/wildlife-management/video-game-warden-shoots-familys-pet-deer")</f>
        <v>https://www.themeateater.com/conservation/wildlife-management/video-game-warden-shoots-familys-pet-deer</v>
      </c>
      <c r="G414" s="18" t="str">
        <f>IFERROR(__xludf.DUMMYFUNCTION("""COMPUTED_VALUE"""),"Not ranking")</f>
        <v>Not ranking</v>
      </c>
      <c r="H414" s="17" t="str">
        <f>IFERROR(__xludf.DUMMYFUNCTION("""COMPUTED_VALUE"""),"https://www.wideopenspaces.com/deer-as-pets/")</f>
        <v>https://www.wideopenspaces.com/deer-as-pets/</v>
      </c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5" t="str">
        <f>IFERROR(__xludf.DUMMYFUNCTION("""COMPUTED_VALUE"""),"deer woods")</f>
        <v>deer woods</v>
      </c>
      <c r="B415" s="15" t="str">
        <f>IFERROR(__xludf.DUMMYFUNCTION("""COMPUTED_VALUE"""),"880")</f>
        <v>880</v>
      </c>
      <c r="C415" s="15" t="str">
        <f>IFERROR(__xludf.DUMMYFUNCTION("""COMPUTED_VALUE"""),"47")</f>
        <v>47</v>
      </c>
      <c r="D415" s="15" t="str">
        <f>IFERROR(__xludf.DUMMYFUNCTION("""COMPUTED_VALUE"""),"43")</f>
        <v>43</v>
      </c>
      <c r="E415" s="15" t="str">
        <f>IFERROR(__xludf.DUMMYFUNCTION("""COMPUTED_VALUE"""),"Not ranking")</f>
        <v>Not ranking</v>
      </c>
      <c r="F415" s="17" t="str">
        <f>IFERROR(__xludf.DUMMYFUNCTION("""COMPUTED_VALUE"""),"https://www.themeateater.com/wired-to-hunt/whitetail-hunting/3-ways-to-get-your-deer-out-of-the-woods")</f>
        <v>https://www.themeateater.com/wired-to-hunt/whitetail-hunting/3-ways-to-get-your-deer-out-of-the-woods</v>
      </c>
      <c r="G415" s="17" t="str">
        <f>IFERROR(__xludf.DUMMYFUNCTION("""COMPUTED_VALUE"""),"https://realtree.com/deer-hunting/articles/don-t-get-killed-in-the-deer-woods")</f>
        <v>https://realtree.com/deer-hunting/articles/don-t-get-killed-in-the-deer-woods</v>
      </c>
      <c r="H415" s="18" t="str">
        <f>IFERROR(__xludf.DUMMYFUNCTION("""COMPUTED_VALUE"""),"Not ranking")</f>
        <v>Not ranking</v>
      </c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5" t="str">
        <f>IFERROR(__xludf.DUMMYFUNCTION("""COMPUTED_VALUE"""),"best feed for deer")</f>
        <v>best feed for deer</v>
      </c>
      <c r="B416" s="15" t="str">
        <f>IFERROR(__xludf.DUMMYFUNCTION("""COMPUTED_VALUE"""),"720")</f>
        <v>720</v>
      </c>
      <c r="C416" s="15" t="str">
        <f>IFERROR(__xludf.DUMMYFUNCTION("""COMPUTED_VALUE"""),"47")</f>
        <v>47</v>
      </c>
      <c r="D416" s="15" t="str">
        <f>IFERROR(__xludf.DUMMYFUNCTION("""COMPUTED_VALUE"""),"93")</f>
        <v>93</v>
      </c>
      <c r="E416" s="15" t="str">
        <f>IFERROR(__xludf.DUMMYFUNCTION("""COMPUTED_VALUE"""),"Not ranking")</f>
        <v>Not ranking</v>
      </c>
      <c r="F416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416" s="17" t="str">
        <f>IFERROR(__xludf.DUMMYFUNCTION("""COMPUTED_VALUE"""),"https://realtree.com/brow-tines-and-backstrap/10-feeding-habits-of-mature-deer")</f>
        <v>https://realtree.com/brow-tines-and-backstrap/10-feeding-habits-of-mature-deer</v>
      </c>
      <c r="H416" s="18" t="str">
        <f>IFERROR(__xludf.DUMMYFUNCTION("""COMPUTED_VALUE"""),"Not ranking")</f>
        <v>Not ranking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5" t="str">
        <f>IFERROR(__xludf.DUMMYFUNCTION("""COMPUTED_VALUE"""),"food plot seed for deer")</f>
        <v>food plot seed for deer</v>
      </c>
      <c r="B417" s="15" t="str">
        <f>IFERROR(__xludf.DUMMYFUNCTION("""COMPUTED_VALUE"""),"720")</f>
        <v>720</v>
      </c>
      <c r="C417" s="15" t="str">
        <f>IFERROR(__xludf.DUMMYFUNCTION("""COMPUTED_VALUE"""),"47")</f>
        <v>47</v>
      </c>
      <c r="D417" s="15" t="str">
        <f>IFERROR(__xludf.DUMMYFUNCTION("""COMPUTED_VALUE"""),"37")</f>
        <v>37</v>
      </c>
      <c r="E417" s="15" t="str">
        <f>IFERROR(__xludf.DUMMYFUNCTION("""COMPUTED_VALUE"""),"Not ranking")</f>
        <v>Not ranking</v>
      </c>
      <c r="F417" s="17" t="str">
        <f>IFERROR(__xludf.DUMMYFUNCTION("""COMPUTED_VALUE"""),"https://www.themeateater.com/wired-to-hunt/whitetail-management/how-to-plant-a-food-plot-on-a-budget")</f>
        <v>https://www.themeateater.com/wired-to-hunt/whitetail-management/how-to-plant-a-food-plot-on-a-budget</v>
      </c>
      <c r="G417" s="17" t="str">
        <f>IFERROR(__xludf.DUMMYFUNCTION("""COMPUTED_VALUE"""),"https://realtree.com/food-plots-and-land-management/galleries/how-to-plant-a-micro-kill-plot-for-deer")</f>
        <v>https://realtree.com/food-plots-and-land-management/galleries/how-to-plant-a-micro-kill-plot-for-deer</v>
      </c>
      <c r="H417" s="18" t="str">
        <f>IFERROR(__xludf.DUMMYFUNCTION("""COMPUTED_VALUE"""),"Not ranking")</f>
        <v>Not ranking</v>
      </c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5" t="str">
        <f>IFERROR(__xludf.DUMMYFUNCTION("""COMPUTED_VALUE"""),"cellular deer camera")</f>
        <v>cellular deer camera</v>
      </c>
      <c r="B418" s="15" t="str">
        <f>IFERROR(__xludf.DUMMYFUNCTION("""COMPUTED_VALUE"""),"590")</f>
        <v>590</v>
      </c>
      <c r="C418" s="15" t="str">
        <f>IFERROR(__xludf.DUMMYFUNCTION("""COMPUTED_VALUE"""),"47")</f>
        <v>47</v>
      </c>
      <c r="D418" s="15" t="str">
        <f>IFERROR(__xludf.DUMMYFUNCTION("""COMPUTED_VALUE"""),"21")</f>
        <v>21</v>
      </c>
      <c r="E418" s="15" t="str">
        <f>IFERROR(__xludf.DUMMYFUNCTION("""COMPUTED_VALUE"""),"Not ranking")</f>
        <v>Not ranking</v>
      </c>
      <c r="F418" s="17" t="str">
        <f>IFERROR(__xludf.DUMMYFUNCTION("""COMPUTED_VALUE"""),"https://www.themeateater.com/gear/general/best-trail-cameras")</f>
        <v>https://www.themeateater.com/gear/general/best-trail-cameras</v>
      </c>
      <c r="G418" s="17" t="str">
        <f>IFERROR(__xludf.DUMMYFUNCTION("""COMPUTED_VALUE"""),"https://realtree.com/brow-tines-and-backstrap/is-a-trail-camera-ban-coming-to-a-state-near-you")</f>
        <v>https://realtree.com/brow-tines-and-backstrap/is-a-trail-camera-ban-coming-to-a-state-near-you</v>
      </c>
      <c r="H418" s="18" t="str">
        <f>IFERROR(__xludf.DUMMYFUNCTION("""COMPUTED_VALUE"""),"Not ranking")</f>
        <v>Not ranking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5" t="str">
        <f>IFERROR(__xludf.DUMMYFUNCTION("""COMPUTED_VALUE"""),"lock on deer stand")</f>
        <v>lock on deer stand</v>
      </c>
      <c r="B419" s="15" t="str">
        <f>IFERROR(__xludf.DUMMYFUNCTION("""COMPUTED_VALUE"""),"590")</f>
        <v>590</v>
      </c>
      <c r="C419" s="15" t="str">
        <f>IFERROR(__xludf.DUMMYFUNCTION("""COMPUTED_VALUE"""),"47")</f>
        <v>47</v>
      </c>
      <c r="D419" s="15" t="str">
        <f>IFERROR(__xludf.DUMMYFUNCTION("""COMPUTED_VALUE"""),"48")</f>
        <v>48</v>
      </c>
      <c r="E419" s="15" t="str">
        <f>IFERROR(__xludf.DUMMYFUNCTION("""COMPUTED_VALUE"""),"Not ranking")</f>
        <v>Not ranking</v>
      </c>
      <c r="F419" s="17" t="str">
        <f>IFERROR(__xludf.DUMMYFUNCTION("""COMPUTED_VALUE"""),"https://www.themeateater.com/wired-to-hunt/whitetail-scouting/ask-meateater-how-high-do-you-hang-tree-stands")</f>
        <v>https://www.themeateater.com/wired-to-hunt/whitetail-scouting/ask-meateater-how-high-do-you-hang-tree-stands</v>
      </c>
      <c r="G419" s="17" t="str">
        <f>IFERROR(__xludf.DUMMYFUNCTION("""COMPUTED_VALUE"""),"https://realtree.com/brow-tines-and-backstrap/is-it-safe-to-leave-treestands-out-all-year")</f>
        <v>https://realtree.com/brow-tines-and-backstrap/is-it-safe-to-leave-treestands-out-all-year</v>
      </c>
      <c r="H419" s="18" t="str">
        <f>IFERROR(__xludf.DUMMYFUNCTION("""COMPUTED_VALUE"""),"Not ranking")</f>
        <v>Not ranking</v>
      </c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5" t="str">
        <f>IFERROR(__xludf.DUMMYFUNCTION("""COMPUTED_VALUE"""),"oklahoma deer hunting")</f>
        <v>oklahoma deer hunting</v>
      </c>
      <c r="B420" s="15" t="str">
        <f>IFERROR(__xludf.DUMMYFUNCTION("""COMPUTED_VALUE"""),"590")</f>
        <v>590</v>
      </c>
      <c r="C420" s="15" t="str">
        <f>IFERROR(__xludf.DUMMYFUNCTION("""COMPUTED_VALUE"""),"47")</f>
        <v>47</v>
      </c>
      <c r="D420" s="15" t="str">
        <f>IFERROR(__xludf.DUMMYFUNCTION("""COMPUTED_VALUE"""),"Not ranking")</f>
        <v>Not ranking</v>
      </c>
      <c r="E420" s="15" t="str">
        <f>IFERROR(__xludf.DUMMYFUNCTION("""COMPUTED_VALUE"""),"35")</f>
        <v>35</v>
      </c>
      <c r="F420" s="17" t="str">
        <f>IFERROR(__xludf.DUMMYFUNCTION("""COMPUTED_VALUE"""),"https://www.themeateater.com/hunt/whitetail-deer/deer-fart-almost-ruins-hunt-for-potential-oklahoma-record-buck")</f>
        <v>https://www.themeateater.com/hunt/whitetail-deer/deer-fart-almost-ruins-hunt-for-potential-oklahoma-record-buck</v>
      </c>
      <c r="G420" s="18" t="str">
        <f>IFERROR(__xludf.DUMMYFUNCTION("""COMPUTED_VALUE"""),"Not ranking")</f>
        <v>Not ranking</v>
      </c>
      <c r="H420" s="17" t="str">
        <f>IFERROR(__xludf.DUMMYFUNCTION("""COMPUTED_VALUE"""),"https://www.wideopenspaces.com/the-great-big-oklahoma-deer-hunting-guide/")</f>
        <v>https://www.wideopenspaces.com/the-great-big-oklahoma-deer-hunting-guide/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5" t="str">
        <f>IFERROR(__xludf.DUMMYFUNCTION("""COMPUTED_VALUE"""),"deer anatomy")</f>
        <v>deer anatomy</v>
      </c>
      <c r="B421" s="15" t="str">
        <f>IFERROR(__xludf.DUMMYFUNCTION("""COMPUTED_VALUE"""),"6600")</f>
        <v>6600</v>
      </c>
      <c r="C421" s="15" t="str">
        <f>IFERROR(__xludf.DUMMYFUNCTION("""COMPUTED_VALUE"""),"48")</f>
        <v>48</v>
      </c>
      <c r="D421" s="15" t="str">
        <f>IFERROR(__xludf.DUMMYFUNCTION("""COMPUTED_VALUE"""),"91")</f>
        <v>91</v>
      </c>
      <c r="E421" s="15" t="str">
        <f>IFERROR(__xludf.DUMMYFUNCTION("""COMPUTED_VALUE"""),"41")</f>
        <v>41</v>
      </c>
      <c r="F421" s="17" t="str">
        <f>IFERROR(__xludf.DUMMYFUNCTION("""COMPUTED_VALUE"""),"https://www.themeateater.com/listen/wired-to-hunt/ep-546-the-story-of-deer-survival-whitetail-anatom")</f>
        <v>https://www.themeateater.com/listen/wired-to-hunt/ep-546-the-story-of-deer-survival-whitetail-anatom</v>
      </c>
      <c r="G421" s="17" t="str">
        <f>IFERROR(__xludf.DUMMYFUNCTION("""COMPUTED_VALUE"""),"https://realtree.com/deer-hunting/articles/the-best-shot-placement-on-deer")</f>
        <v>https://realtree.com/deer-hunting/articles/the-best-shot-placement-on-deer</v>
      </c>
      <c r="H421" s="17" t="str">
        <f>IFERROR(__xludf.DUMMYFUNCTION("""COMPUTED_VALUE"""),"https://www.wideopenspaces.com/the-great-deer-anatomy-explainer-and-what-you-need-to-know-as-a-hunter/")</f>
        <v>https://www.wideopenspaces.com/the-great-deer-anatomy-explainer-and-what-you-need-to-know-as-a-hunter/</v>
      </c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5" t="str">
        <f>IFERROR(__xludf.DUMMYFUNCTION("""COMPUTED_VALUE"""),"coues deer")</f>
        <v>coues deer</v>
      </c>
      <c r="B422" s="15" t="str">
        <f>IFERROR(__xludf.DUMMYFUNCTION("""COMPUTED_VALUE"""),"4400")</f>
        <v>4400</v>
      </c>
      <c r="C422" s="15" t="str">
        <f>IFERROR(__xludf.DUMMYFUNCTION("""COMPUTED_VALUE"""),"48")</f>
        <v>48</v>
      </c>
      <c r="D422" s="15" t="str">
        <f>IFERROR(__xludf.DUMMYFUNCTION("""COMPUTED_VALUE"""),"11")</f>
        <v>11</v>
      </c>
      <c r="E422" s="15" t="str">
        <f>IFERROR(__xludf.DUMMYFUNCTION("""COMPUTED_VALUE"""),"Not ranking")</f>
        <v>Not ranking</v>
      </c>
      <c r="F422" s="17" t="str">
        <f>IFERROR(__xludf.DUMMYFUNCTION("""COMPUTED_VALUE"""),"https://www.themeateater.com/watch/6174832058001/steven-rinella-tracks-coues-deer-in-arizona")</f>
        <v>https://www.themeateater.com/watch/6174832058001/steven-rinella-tracks-coues-deer-in-arizona</v>
      </c>
      <c r="G422" s="17" t="str">
        <f>IFERROR(__xludf.DUMMYFUNCTION("""COMPUTED_VALUE"""),"https://realtree.com/deer-hunting/articles/the-toughest-deer")</f>
        <v>https://realtree.com/deer-hunting/articles/the-toughest-deer</v>
      </c>
      <c r="H422" s="18" t="str">
        <f>IFERROR(__xludf.DUMMYFUNCTION("""COMPUTED_VALUE"""),"Not ranking")</f>
        <v>Not ranking</v>
      </c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5" t="str">
        <f>IFERROR(__xludf.DUMMYFUNCTION("""COMPUTED_VALUE"""),"mounted deer head")</f>
        <v>mounted deer head</v>
      </c>
      <c r="B423" s="15" t="str">
        <f>IFERROR(__xludf.DUMMYFUNCTION("""COMPUTED_VALUE"""),"1600")</f>
        <v>1600</v>
      </c>
      <c r="C423" s="15" t="str">
        <f>IFERROR(__xludf.DUMMYFUNCTION("""COMPUTED_VALUE"""),"48")</f>
        <v>48</v>
      </c>
      <c r="D423" s="15" t="str">
        <f>IFERROR(__xludf.DUMMYFUNCTION("""COMPUTED_VALUE"""),"9")</f>
        <v>9</v>
      </c>
      <c r="E423" s="15" t="str">
        <f>IFERROR(__xludf.DUMMYFUNCTION("""COMPUTED_VALUE"""),"81")</f>
        <v>81</v>
      </c>
      <c r="F423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423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423" s="17" t="str">
        <f>IFERROR(__xludf.DUMMYFUNCTION("""COMPUTED_VALUE"""),"https://www.wideopenspaces.com/deer-taxidermy-options/")</f>
        <v>https://www.wideopenspaces.com/deer-taxidermy-options/</v>
      </c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5" t="str">
        <f>IFERROR(__xludf.DUMMYFUNCTION("""COMPUTED_VALUE"""),"deer tenderloin")</f>
        <v>deer tenderloin</v>
      </c>
      <c r="B424" s="15" t="str">
        <f>IFERROR(__xludf.DUMMYFUNCTION("""COMPUTED_VALUE"""),"1300")</f>
        <v>1300</v>
      </c>
      <c r="C424" s="15" t="str">
        <f>IFERROR(__xludf.DUMMYFUNCTION("""COMPUTED_VALUE"""),"48")</f>
        <v>48</v>
      </c>
      <c r="D424" s="15" t="str">
        <f>IFERROR(__xludf.DUMMYFUNCTION("""COMPUTED_VALUE"""),"17")</f>
        <v>17</v>
      </c>
      <c r="E424" s="15" t="str">
        <f>IFERROR(__xludf.DUMMYFUNCTION("""COMPUTED_VALUE"""),"15")</f>
        <v>15</v>
      </c>
      <c r="F424" s="17" t="str">
        <f>IFERROR(__xludf.DUMMYFUNCTION("""COMPUTED_VALUE"""),"https://www.themeateater.com/recipes/cuts/loin")</f>
        <v>https://www.themeateater.com/recipes/cuts/loin</v>
      </c>
      <c r="G424" s="17" t="str">
        <f>IFERROR(__xludf.DUMMYFUNCTION("""COMPUTED_VALUE"""),"https://realtree.com/timber-2-table-wild-game-recipes/bourbon-buttermilk-fried-deer-tenderloin")</f>
        <v>https://realtree.com/timber-2-table-wild-game-recipes/bourbon-buttermilk-fried-deer-tenderloin</v>
      </c>
      <c r="H424" s="17" t="str">
        <f>IFERROR(__xludf.DUMMYFUNCTION("""COMPUTED_VALUE"""),"https://www.wideopenspaces.com/top-6-venison-tenderloin-recipes/")</f>
        <v>https://www.wideopenspaces.com/top-6-venison-tenderloin-recipes/</v>
      </c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5" t="str">
        <f>IFERROR(__xludf.DUMMYFUNCTION("""COMPUTED_VALUE"""),"colorado deer")</f>
        <v>colorado deer</v>
      </c>
      <c r="B425" s="15" t="str">
        <f>IFERROR(__xludf.DUMMYFUNCTION("""COMPUTED_VALUE"""),"1000")</f>
        <v>1000</v>
      </c>
      <c r="C425" s="15" t="str">
        <f>IFERROR(__xludf.DUMMYFUNCTION("""COMPUTED_VALUE"""),"48")</f>
        <v>48</v>
      </c>
      <c r="D425" s="15" t="str">
        <f>IFERROR(__xludf.DUMMYFUNCTION("""COMPUTED_VALUE"""),"Not ranking")</f>
        <v>Not ranking</v>
      </c>
      <c r="E425" s="15" t="str">
        <f>IFERROR(__xludf.DUMMYFUNCTION("""COMPUTED_VALUE"""),"Not ranking")</f>
        <v>Not ranking</v>
      </c>
      <c r="F425" s="17" t="str">
        <f>IFERROR(__xludf.DUMMYFUNCTION("""COMPUTED_VALUE"""),"https://www.themeateater.com/watch/6252076018001/s2-e03-big-beautiful-bucks-colorado-mule-deer")</f>
        <v>https://www.themeateater.com/watch/6252076018001/s2-e03-big-beautiful-bucks-colorado-mule-deer</v>
      </c>
      <c r="G425" s="18" t="str">
        <f>IFERROR(__xludf.DUMMYFUNCTION("""COMPUTED_VALUE"""),"Not ranking")</f>
        <v>Not ranking</v>
      </c>
      <c r="H425" s="18" t="str">
        <f>IFERROR(__xludf.DUMMYFUNCTION("""COMPUTED_VALUE"""),"Not ranking")</f>
        <v>Not ranking</v>
      </c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5" t="str">
        <f>IFERROR(__xludf.DUMMYFUNCTION("""COMPUTED_VALUE"""),"deer shot placement neck")</f>
        <v>deer shot placement neck</v>
      </c>
      <c r="B426" s="15" t="str">
        <f>IFERROR(__xludf.DUMMYFUNCTION("""COMPUTED_VALUE"""),"590")</f>
        <v>590</v>
      </c>
      <c r="C426" s="15" t="str">
        <f>IFERROR(__xludf.DUMMYFUNCTION("""COMPUTED_VALUE"""),"48")</f>
        <v>48</v>
      </c>
      <c r="D426" s="15" t="str">
        <f>IFERROR(__xludf.DUMMYFUNCTION("""COMPUTED_VALUE"""),"26")</f>
        <v>26</v>
      </c>
      <c r="E426" s="15" t="str">
        <f>IFERROR(__xludf.DUMMYFUNCTION("""COMPUTED_VALUE"""),"8")</f>
        <v>8</v>
      </c>
      <c r="F426" s="17" t="str">
        <f>IFERROR(__xludf.DUMMYFUNCTION("""COMPUTED_VALUE"""),"https://www.themeateater.com/wired-to-hunt/whitetail-hunting/the-truth-about-frontal-shots-on-deer")</f>
        <v>https://www.themeateater.com/wired-to-hunt/whitetail-hunting/the-truth-about-frontal-shots-on-deer</v>
      </c>
      <c r="G426" s="17" t="str">
        <f>IFERROR(__xludf.DUMMYFUNCTION("""COMPUTED_VALUE"""),"https://realtree.com/deer-hunting/articles/the-best-shot-placement-on-deer")</f>
        <v>https://realtree.com/deer-hunting/articles/the-best-shot-placement-on-deer</v>
      </c>
      <c r="H426" s="17" t="str">
        <f>IFERROR(__xludf.DUMMYFUNCTION("""COMPUTED_VALUE"""),"https://www.wideopenspaces.com/where-to-shoot-a-deer-for-the-best-odds-of-a-quick-kill/")</f>
        <v>https://www.wideopenspaces.com/where-to-shoot-a-deer-for-the-best-odds-of-a-quick-kill/</v>
      </c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5" t="str">
        <f>IFERROR(__xludf.DUMMYFUNCTION("""COMPUTED_VALUE"""),"are deer nocturnal")</f>
        <v>are deer nocturnal</v>
      </c>
      <c r="B427" s="15" t="str">
        <f>IFERROR(__xludf.DUMMYFUNCTION("""COMPUTED_VALUE"""),"2900")</f>
        <v>2900</v>
      </c>
      <c r="C427" s="15" t="str">
        <f>IFERROR(__xludf.DUMMYFUNCTION("""COMPUTED_VALUE"""),"49")</f>
        <v>49</v>
      </c>
      <c r="D427" s="15" t="str">
        <f>IFERROR(__xludf.DUMMYFUNCTION("""COMPUTED_VALUE"""),"21")</f>
        <v>21</v>
      </c>
      <c r="E427" s="15" t="str">
        <f>IFERROR(__xludf.DUMMYFUNCTION("""COMPUTED_VALUE"""),"5")</f>
        <v>5</v>
      </c>
      <c r="F427" s="17" t="str">
        <f>IFERROR(__xludf.DUMMYFUNCTION("""COMPUTED_VALUE"""),"https://www.themeateater.com/wired-to-hunt/whitetail-hunting/how-to-kill-a-nocturnal-buck")</f>
        <v>https://www.themeateater.com/wired-to-hunt/whitetail-hunting/how-to-kill-a-nocturnal-buck</v>
      </c>
      <c r="G427" s="17" t="str">
        <f>IFERROR(__xludf.DUMMYFUNCTION("""COMPUTED_VALUE"""),"https://realtree.com/deer-hunting/articles/the-myth-of-the-nocturnal-buck")</f>
        <v>https://realtree.com/deer-hunting/articles/the-myth-of-the-nocturnal-buck</v>
      </c>
      <c r="H427" s="17" t="str">
        <f>IFERROR(__xludf.DUMMYFUNCTION("""COMPUTED_VALUE"""),"https://www.wideopenspaces.com/are-deer-nocturnal/")</f>
        <v>https://www.wideopenspaces.com/are-deer-nocturnal/</v>
      </c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5" t="str">
        <f>IFERROR(__xludf.DUMMYFUNCTION("""COMPUTED_VALUE"""),"deer running")</f>
        <v>deer running</v>
      </c>
      <c r="B428" s="15" t="str">
        <f>IFERROR(__xludf.DUMMYFUNCTION("""COMPUTED_VALUE"""),"2900")</f>
        <v>2900</v>
      </c>
      <c r="C428" s="15" t="str">
        <f>IFERROR(__xludf.DUMMYFUNCTION("""COMPUTED_VALUE"""),"49")</f>
        <v>49</v>
      </c>
      <c r="D428" s="15" t="str">
        <f>IFERROR(__xludf.DUMMYFUNCTION("""COMPUTED_VALUE"""),"Not ranking")</f>
        <v>Not ranking</v>
      </c>
      <c r="E428" s="15" t="str">
        <f>IFERROR(__xludf.DUMMYFUNCTION("""COMPUTED_VALUE"""),"Not ranking")</f>
        <v>Not ranking</v>
      </c>
      <c r="F428" s="17" t="str">
        <f>IFERROR(__xludf.DUMMYFUNCTION("""COMPUTED_VALUE"""),"https://www.themeateater.com/hunt/big-game/ask-meateater-will-you-shoot-at-running-game")</f>
        <v>https://www.themeateater.com/hunt/big-game/ask-meateater-will-you-shoot-at-running-game</v>
      </c>
      <c r="G428" s="18" t="str">
        <f>IFERROR(__xludf.DUMMYFUNCTION("""COMPUTED_VALUE"""),"Not ranking")</f>
        <v>Not ranking</v>
      </c>
      <c r="H428" s="18" t="str">
        <f>IFERROR(__xludf.DUMMYFUNCTION("""COMPUTED_VALUE"""),"Not ranking")</f>
        <v>Not ranking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5" t="str">
        <f>IFERROR(__xludf.DUMMYFUNCTION("""COMPUTED_VALUE"""),"images deer poop")</f>
        <v>images deer poop</v>
      </c>
      <c r="B429" s="15" t="str">
        <f>IFERROR(__xludf.DUMMYFUNCTION("""COMPUTED_VALUE"""),"1300")</f>
        <v>1300</v>
      </c>
      <c r="C429" s="15" t="str">
        <f>IFERROR(__xludf.DUMMYFUNCTION("""COMPUTED_VALUE"""),"49")</f>
        <v>49</v>
      </c>
      <c r="D429" s="15" t="str">
        <f>IFERROR(__xludf.DUMMYFUNCTION("""COMPUTED_VALUE"""),"24")</f>
        <v>24</v>
      </c>
      <c r="E429" s="15" t="str">
        <f>IFERROR(__xludf.DUMMYFUNCTION("""COMPUTED_VALUE"""),"23")</f>
        <v>23</v>
      </c>
      <c r="F429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429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429" s="17" t="str">
        <f>IFERROR(__xludf.DUMMYFUNCTION("""COMPUTED_VALUE"""),"https://www.wideopenspaces.com/deer-poop-identification/")</f>
        <v>https://www.wideopenspaces.com/deer-poop-identification/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5" t="str">
        <f>IFERROR(__xludf.DUMMYFUNCTION("""COMPUTED_VALUE"""),"deer blinds for sale near me")</f>
        <v>deer blinds for sale near me</v>
      </c>
      <c r="B430" s="15" t="str">
        <f>IFERROR(__xludf.DUMMYFUNCTION("""COMPUTED_VALUE"""),"720")</f>
        <v>720</v>
      </c>
      <c r="C430" s="15" t="str">
        <f>IFERROR(__xludf.DUMMYFUNCTION("""COMPUTED_VALUE"""),"49")</f>
        <v>49</v>
      </c>
      <c r="D430" s="15" t="str">
        <f>IFERROR(__xludf.DUMMYFUNCTION("""COMPUTED_VALUE"""),"Not ranking")</f>
        <v>Not ranking</v>
      </c>
      <c r="E430" s="15" t="str">
        <f>IFERROR(__xludf.DUMMYFUNCTION("""COMPUTED_VALUE"""),"Not ranking")</f>
        <v>Not ranking</v>
      </c>
      <c r="F430" s="17" t="str">
        <f>IFERROR(__xludf.DUMMYFUNCTION("""COMPUTED_VALUE"""),"https://www.themeateater.com/wired-to-hunt/whitetail-scouting/how-to-set-up-a-ground-blind-that-wont-spook-deer")</f>
        <v>https://www.themeateater.com/wired-to-hunt/whitetail-scouting/how-to-set-up-a-ground-blind-that-wont-spook-deer</v>
      </c>
      <c r="G430" s="18" t="str">
        <f>IFERROR(__xludf.DUMMYFUNCTION("""COMPUTED_VALUE"""),"Not ranking")</f>
        <v>Not ranking</v>
      </c>
      <c r="H430" s="18" t="str">
        <f>IFERROR(__xludf.DUMMYFUNCTION("""COMPUTED_VALUE"""),"Not ranking")</f>
        <v>Not ranking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5" t="str">
        <f>IFERROR(__xludf.DUMMYFUNCTION("""COMPUTED_VALUE"""),"montana mule deer hunts")</f>
        <v>montana mule deer hunts</v>
      </c>
      <c r="B431" s="15" t="str">
        <f>IFERROR(__xludf.DUMMYFUNCTION("""COMPUTED_VALUE"""),"720")</f>
        <v>720</v>
      </c>
      <c r="C431" s="15" t="str">
        <f>IFERROR(__xludf.DUMMYFUNCTION("""COMPUTED_VALUE"""),"49")</f>
        <v>49</v>
      </c>
      <c r="D431" s="15" t="str">
        <f>IFERROR(__xludf.DUMMYFUNCTION("""COMPUTED_VALUE"""),"Not ranking")</f>
        <v>Not ranking</v>
      </c>
      <c r="E431" s="15" t="str">
        <f>IFERROR(__xludf.DUMMYFUNCTION("""COMPUTED_VALUE"""),"Not ranking")</f>
        <v>Not ranking</v>
      </c>
      <c r="F431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431" s="18" t="str">
        <f>IFERROR(__xludf.DUMMYFUNCTION("""COMPUTED_VALUE"""),"Not ranking")</f>
        <v>Not ranking</v>
      </c>
      <c r="H431" s="18" t="str">
        <f>IFERROR(__xludf.DUMMYFUNCTION("""COMPUTED_VALUE"""),"Not ranking")</f>
        <v>Not ranking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5" t="str">
        <f>IFERROR(__xludf.DUMMYFUNCTION("""COMPUTED_VALUE"""),"deer hunts")</f>
        <v>deer hunts</v>
      </c>
      <c r="B432" s="15" t="str">
        <f>IFERROR(__xludf.DUMMYFUNCTION("""COMPUTED_VALUE"""),"3600")</f>
        <v>3600</v>
      </c>
      <c r="C432" s="15" t="str">
        <f>IFERROR(__xludf.DUMMYFUNCTION("""COMPUTED_VALUE"""),"50")</f>
        <v>50</v>
      </c>
      <c r="D432" s="15" t="str">
        <f>IFERROR(__xludf.DUMMYFUNCTION("""COMPUTED_VALUE"""),"Not ranking")</f>
        <v>Not ranking</v>
      </c>
      <c r="E432" s="15" t="str">
        <f>IFERROR(__xludf.DUMMYFUNCTION("""COMPUTED_VALUE"""),"Not ranking")</f>
        <v>Not ranking</v>
      </c>
      <c r="F432" s="17" t="str">
        <f>IFERROR(__xludf.DUMMYFUNCTION("""COMPUTED_VALUE"""),"https://www.themeateater.com/wired-to-hunt/whitetail-hunting/the-reality-of-outfitted-deer-hunts")</f>
        <v>https://www.themeateater.com/wired-to-hunt/whitetail-hunting/the-reality-of-outfitted-deer-hunts</v>
      </c>
      <c r="G432" s="18" t="str">
        <f>IFERROR(__xludf.DUMMYFUNCTION("""COMPUTED_VALUE"""),"Not ranking")</f>
        <v>Not ranking</v>
      </c>
      <c r="H432" s="18" t="str">
        <f>IFERROR(__xludf.DUMMYFUNCTION("""COMPUTED_VALUE"""),"Not ranking")</f>
        <v>Not ranking</v>
      </c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5" t="str">
        <f>IFERROR(__xludf.DUMMYFUNCTION("""COMPUTED_VALUE"""),"what sound does a deer make")</f>
        <v>what sound does a deer make</v>
      </c>
      <c r="B433" s="15" t="str">
        <f>IFERROR(__xludf.DUMMYFUNCTION("""COMPUTED_VALUE"""),"1900")</f>
        <v>1900</v>
      </c>
      <c r="C433" s="15" t="str">
        <f>IFERROR(__xludf.DUMMYFUNCTION("""COMPUTED_VALUE"""),"50")</f>
        <v>50</v>
      </c>
      <c r="D433" s="15" t="str">
        <f>IFERROR(__xludf.DUMMYFUNCTION("""COMPUTED_VALUE"""),"26")</f>
        <v>26</v>
      </c>
      <c r="E433" s="15" t="str">
        <f>IFERROR(__xludf.DUMMYFUNCTION("""COMPUTED_VALUE"""),"4")</f>
        <v>4</v>
      </c>
      <c r="F433" s="17" t="str">
        <f>IFERROR(__xludf.DUMMYFUNCTION("""COMPUTED_VALUE"""),"https://www.themeateater.com/hunt/whitetail-deer/video-rutting-buck-makes-crazy-vocalizations")</f>
        <v>https://www.themeateater.com/hunt/whitetail-deer/video-rutting-buck-makes-crazy-vocalizations</v>
      </c>
      <c r="G433" s="17" t="str">
        <f>IFERROR(__xludf.DUMMYFUNCTION("""COMPUTED_VALUE"""),"https://realtree.com/deer-hunting/articles/can-you-talk-deer")</f>
        <v>https://realtree.com/deer-hunting/articles/can-you-talk-deer</v>
      </c>
      <c r="H433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5" t="str">
        <f>IFERROR(__xludf.DUMMYFUNCTION("""COMPUTED_VALUE"""),"deer european mount")</f>
        <v>deer european mount</v>
      </c>
      <c r="B434" s="15" t="str">
        <f>IFERROR(__xludf.DUMMYFUNCTION("""COMPUTED_VALUE"""),"1300")</f>
        <v>1300</v>
      </c>
      <c r="C434" s="15" t="str">
        <f>IFERROR(__xludf.DUMMYFUNCTION("""COMPUTED_VALUE"""),"50")</f>
        <v>50</v>
      </c>
      <c r="D434" s="15" t="str">
        <f>IFERROR(__xludf.DUMMYFUNCTION("""COMPUTED_VALUE"""),"Not ranking")</f>
        <v>Not ranking</v>
      </c>
      <c r="E434" s="15" t="str">
        <f>IFERROR(__xludf.DUMMYFUNCTION("""COMPUTED_VALUE"""),"75")</f>
        <v>75</v>
      </c>
      <c r="F434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434" s="18" t="str">
        <f>IFERROR(__xludf.DUMMYFUNCTION("""COMPUTED_VALUE"""),"Not ranking")</f>
        <v>Not ranking</v>
      </c>
      <c r="H434" s="17" t="str">
        <f>IFERROR(__xludf.DUMMYFUNCTION("""COMPUTED_VALUE"""),"https://www.wideopenspaces.com/european-skull-mount/")</f>
        <v>https://www.wideopenspaces.com/european-skull-mount/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5" t="str">
        <f>IFERROR(__xludf.DUMMYFUNCTION("""COMPUTED_VALUE"""),"does deer")</f>
        <v>does deer</v>
      </c>
      <c r="B435" s="15" t="str">
        <f>IFERROR(__xludf.DUMMYFUNCTION("""COMPUTED_VALUE"""),"1000")</f>
        <v>1000</v>
      </c>
      <c r="C435" s="15" t="str">
        <f>IFERROR(__xludf.DUMMYFUNCTION("""COMPUTED_VALUE"""),"50")</f>
        <v>50</v>
      </c>
      <c r="D435" s="15" t="str">
        <f>IFERROR(__xludf.DUMMYFUNCTION("""COMPUTED_VALUE"""),"54")</f>
        <v>54</v>
      </c>
      <c r="E435" s="15" t="str">
        <f>IFERROR(__xludf.DUMMYFUNCTION("""COMPUTED_VALUE"""),"Not ranking")</f>
        <v>Not ranking</v>
      </c>
      <c r="F435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435" s="17" t="str">
        <f>IFERROR(__xludf.DUMMYFUNCTION("""COMPUTED_VALUE"""),"https://realtree.com/brow-tines-and-backstrap/does-a-snorting-deer-mean-your-hunt-s-over")</f>
        <v>https://realtree.com/brow-tines-and-backstrap/does-a-snorting-deer-mean-your-hunt-s-over</v>
      </c>
      <c r="H435" s="18" t="str">
        <f>IFERROR(__xludf.DUMMYFUNCTION("""COMPUTED_VALUE"""),"Not ranking")</f>
        <v>Not ranking</v>
      </c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5" t="str">
        <f>IFERROR(__xludf.DUMMYFUNCTION("""COMPUTED_VALUE"""),"how to cook deer backstrap")</f>
        <v>how to cook deer backstrap</v>
      </c>
      <c r="B436" s="15" t="str">
        <f>IFERROR(__xludf.DUMMYFUNCTION("""COMPUTED_VALUE"""),"1000")</f>
        <v>1000</v>
      </c>
      <c r="C436" s="15" t="str">
        <f>IFERROR(__xludf.DUMMYFUNCTION("""COMPUTED_VALUE"""),"50")</f>
        <v>50</v>
      </c>
      <c r="D436" s="15" t="str">
        <f>IFERROR(__xludf.DUMMYFUNCTION("""COMPUTED_VALUE"""),"28")</f>
        <v>28</v>
      </c>
      <c r="E436" s="15" t="str">
        <f>IFERROR(__xludf.DUMMYFUNCTION("""COMPUTED_VALUE"""),"78")</f>
        <v>78</v>
      </c>
      <c r="F436" s="17" t="str">
        <f>IFERROR(__xludf.DUMMYFUNCTION("""COMPUTED_VALUE"""),"https://www.themeateater.com/cook/cooking-techniques/how-to-cook-a-backstrap-steak")</f>
        <v>https://www.themeateater.com/cook/cooking-techniques/how-to-cook-a-backstrap-steak</v>
      </c>
      <c r="G436" s="17" t="str">
        <f>IFERROR(__xludf.DUMMYFUNCTION("""COMPUTED_VALUE"""),"https://realtree.com/timber-2-table-wild-game-recipes/reverse-seared-smoked-venison-backstrap")</f>
        <v>https://realtree.com/timber-2-table-wild-game-recipes/reverse-seared-smoked-venison-backstrap</v>
      </c>
      <c r="H436" s="17" t="str">
        <f>IFERROR(__xludf.DUMMYFUNCTION("""COMPUTED_VALUE"""),"https://www.wideopenspaces.com/venison-backstrap-recipes/")</f>
        <v>https://www.wideopenspaces.com/venison-backstrap-recipes/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5" t="str">
        <f>IFERROR(__xludf.DUMMYFUNCTION("""COMPUTED_VALUE"""),"deer predators")</f>
        <v>deer predators</v>
      </c>
      <c r="B437" s="15" t="str">
        <f>IFERROR(__xludf.DUMMYFUNCTION("""COMPUTED_VALUE"""),"880")</f>
        <v>880</v>
      </c>
      <c r="C437" s="15" t="str">
        <f>IFERROR(__xludf.DUMMYFUNCTION("""COMPUTED_VALUE"""),"50")</f>
        <v>50</v>
      </c>
      <c r="D437" s="15" t="str">
        <f>IFERROR(__xludf.DUMMYFUNCTION("""COMPUTED_VALUE"""),"53")</f>
        <v>53</v>
      </c>
      <c r="E437" s="15" t="str">
        <f>IFERROR(__xludf.DUMMYFUNCTION("""COMPUTED_VALUE"""),"Not ranking")</f>
        <v>Not ranking</v>
      </c>
      <c r="F437" s="17" t="str">
        <f>IFERROR(__xludf.DUMMYFUNCTION("""COMPUTED_VALUE"""),"https://www.themeateater.com/wired-to-hunt/whitetail-management/the-predator-that-deer-fear-most")</f>
        <v>https://www.themeateater.com/wired-to-hunt/whitetail-management/the-predator-that-deer-fear-most</v>
      </c>
      <c r="G437" s="17" t="str">
        <f>IFERROR(__xludf.DUMMYFUNCTION("""COMPUTED_VALUE"""),"https://realtree.com/deer-hunting/articles/predators-are-decimating-mule-deer-herds")</f>
        <v>https://realtree.com/deer-hunting/articles/predators-are-decimating-mule-deer-herds</v>
      </c>
      <c r="H437" s="18" t="str">
        <f>IFERROR(__xludf.DUMMYFUNCTION("""COMPUTED_VALUE"""),"Not ranking")</f>
        <v>Not ranking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5" t="str">
        <f>IFERROR(__xludf.DUMMYFUNCTION("""COMPUTED_VALUE"""),"deer stand plans")</f>
        <v>deer stand plans</v>
      </c>
      <c r="B438" s="15" t="str">
        <f>IFERROR(__xludf.DUMMYFUNCTION("""COMPUTED_VALUE"""),"880")</f>
        <v>880</v>
      </c>
      <c r="C438" s="15" t="str">
        <f>IFERROR(__xludf.DUMMYFUNCTION("""COMPUTED_VALUE"""),"50")</f>
        <v>50</v>
      </c>
      <c r="D438" s="15" t="str">
        <f>IFERROR(__xludf.DUMMYFUNCTION("""COMPUTED_VALUE"""),"Not ranking")</f>
        <v>Not ranking</v>
      </c>
      <c r="E438" s="15" t="str">
        <f>IFERROR(__xludf.DUMMYFUNCTION("""COMPUTED_VALUE"""),"43")</f>
        <v>43</v>
      </c>
      <c r="F438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438" s="18" t="str">
        <f>IFERROR(__xludf.DUMMYFUNCTION("""COMPUTED_VALUE"""),"Not ranking")</f>
        <v>Not ranking</v>
      </c>
      <c r="H438" s="17" t="str">
        <f>IFERROR(__xludf.DUMMYFUNCTION("""COMPUTED_VALUE"""),"https://www.wideopenspaces.com/8-homemade-hunting-blinds-pics/")</f>
        <v>https://www.wideopenspaces.com/8-homemade-hunting-blinds-pics/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5" t="str">
        <f>IFERROR(__xludf.DUMMYFUNCTION("""COMPUTED_VALUE"""),"deer movement times chart")</f>
        <v>deer movement times chart</v>
      </c>
      <c r="B439" s="15" t="str">
        <f>IFERROR(__xludf.DUMMYFUNCTION("""COMPUTED_VALUE"""),"720")</f>
        <v>720</v>
      </c>
      <c r="C439" s="15" t="str">
        <f>IFERROR(__xludf.DUMMYFUNCTION("""COMPUTED_VALUE"""),"50")</f>
        <v>50</v>
      </c>
      <c r="D439" s="15" t="str">
        <f>IFERROR(__xludf.DUMMYFUNCTION("""COMPUTED_VALUE"""),"13")</f>
        <v>13</v>
      </c>
      <c r="E439" s="15" t="str">
        <f>IFERROR(__xludf.DUMMYFUNCTION("""COMPUTED_VALUE"""),"26")</f>
        <v>26</v>
      </c>
      <c r="F439" s="17" t="str">
        <f>IFERROR(__xludf.DUMMYFUNCTION("""COMPUTED_VALUE"""),"https://www.themeateater.com/wired-to-hunt/whitetail-hunting/the-debate-about-lunar-effects-on-whitetails")</f>
        <v>https://www.themeateater.com/wired-to-hunt/whitetail-hunting/the-debate-about-lunar-effects-on-whitetails</v>
      </c>
      <c r="G439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439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5" t="str">
        <f>IFERROR(__xludf.DUMMYFUNCTION("""COMPUTED_VALUE"""),"deer hunting california")</f>
        <v>deer hunting california</v>
      </c>
      <c r="B440" s="15" t="str">
        <f>IFERROR(__xludf.DUMMYFUNCTION("""COMPUTED_VALUE"""),"590")</f>
        <v>590</v>
      </c>
      <c r="C440" s="15" t="str">
        <f>IFERROR(__xludf.DUMMYFUNCTION("""COMPUTED_VALUE"""),"50")</f>
        <v>50</v>
      </c>
      <c r="D440" s="15" t="str">
        <f>IFERROR(__xludf.DUMMYFUNCTION("""COMPUTED_VALUE"""),"Not ranking")</f>
        <v>Not ranking</v>
      </c>
      <c r="E440" s="15" t="str">
        <f>IFERROR(__xludf.DUMMYFUNCTION("""COMPUTED_VALUE"""),"Not ranking")</f>
        <v>Not ranking</v>
      </c>
      <c r="F440" s="17" t="str">
        <f>IFERROR(__xludf.DUMMYFUNCTION("""COMPUTED_VALUE"""),"https://www.themeateater.com/watch/6175630772001/steven-rinella-hunts-his-first-columbia-blacktail-deer-in-california")</f>
        <v>https://www.themeateater.com/watch/6175630772001/steven-rinella-hunts-his-first-columbia-blacktail-deer-in-california</v>
      </c>
      <c r="G440" s="18" t="str">
        <f>IFERROR(__xludf.DUMMYFUNCTION("""COMPUTED_VALUE"""),"Not ranking")</f>
        <v>Not ranking</v>
      </c>
      <c r="H440" s="18" t="str">
        <f>IFERROR(__xludf.DUMMYFUNCTION("""COMPUTED_VALUE"""),"Not ranking")</f>
        <v>Not ranking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5" t="str">
        <f>IFERROR(__xludf.DUMMYFUNCTION("""COMPUTED_VALUE"""),"deer shed")</f>
        <v>deer shed</v>
      </c>
      <c r="B441" s="15" t="str">
        <f>IFERROR(__xludf.DUMMYFUNCTION("""COMPUTED_VALUE"""),"590")</f>
        <v>590</v>
      </c>
      <c r="C441" s="15" t="str">
        <f>IFERROR(__xludf.DUMMYFUNCTION("""COMPUTED_VALUE"""),"50")</f>
        <v>50</v>
      </c>
      <c r="D441" s="15" t="str">
        <f>IFERROR(__xludf.DUMMYFUNCTION("""COMPUTED_VALUE"""),"26")</f>
        <v>26</v>
      </c>
      <c r="E441" s="15" t="str">
        <f>IFERROR(__xludf.DUMMYFUNCTION("""COMPUTED_VALUE"""),"31")</f>
        <v>31</v>
      </c>
      <c r="F441" s="17" t="str">
        <f>IFERROR(__xludf.DUMMYFUNCTION("""COMPUTED_VALUE"""),"https://www.themeateater.com/wired-to-hunt/whitetail-scouting/ask-wired-to-hunt-when-should-you-start-shed-hunting")</f>
        <v>https://www.themeateater.com/wired-to-hunt/whitetail-scouting/ask-wired-to-hunt-when-should-you-start-shed-hunting</v>
      </c>
      <c r="G441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441" s="17" t="str">
        <f>IFERROR(__xludf.DUMMYFUNCTION("""COMPUTED_VALUE"""),"https://www.wideopenspaces.com/deer-shed-antlers-pics/")</f>
        <v>https://www.wideopenspaces.com/deer-shed-antlers-pics/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5" t="str">
        <f>IFERROR(__xludf.DUMMYFUNCTION("""COMPUTED_VALUE"""),"how do deer stay warm in the winter")</f>
        <v>how do deer stay warm in the winter</v>
      </c>
      <c r="B442" s="15" t="str">
        <f>IFERROR(__xludf.DUMMYFUNCTION("""COMPUTED_VALUE"""),"590")</f>
        <v>590</v>
      </c>
      <c r="C442" s="15" t="str">
        <f>IFERROR(__xludf.DUMMYFUNCTION("""COMPUTED_VALUE"""),"50")</f>
        <v>50</v>
      </c>
      <c r="D442" s="15" t="str">
        <f>IFERROR(__xludf.DUMMYFUNCTION("""COMPUTED_VALUE"""),"38")</f>
        <v>38</v>
      </c>
      <c r="E442" s="15" t="str">
        <f>IFERROR(__xludf.DUMMYFUNCTION("""COMPUTED_VALUE"""),"41")</f>
        <v>41</v>
      </c>
      <c r="F442" s="17" t="str">
        <f>IFERROR(__xludf.DUMMYFUNCTION("""COMPUTED_VALUE"""),"https://www.themeateater.com/wired-to-hunt/whitetail-hunting/does-temperature-affect-deer-movement")</f>
        <v>https://www.themeateater.com/wired-to-hunt/whitetail-hunting/does-temperature-affect-deer-movement</v>
      </c>
      <c r="G442" s="17" t="str">
        <f>IFERROR(__xludf.DUMMYFUNCTION("""COMPUTED_VALUE"""),"https://realtree.com/brow-tines-and-backstrap/7-hot-tactics-for-cold-weather-deer-hunting")</f>
        <v>https://realtree.com/brow-tines-and-backstrap/7-hot-tactics-for-cold-weather-deer-hunting</v>
      </c>
      <c r="H442" s="17" t="str">
        <f>IFERROR(__xludf.DUMMYFUNCTION("""COMPUTED_VALUE"""),"https://www.wideopenspaces.com/deer-survive-winter/")</f>
        <v>https://www.wideopenspaces.com/deer-survive-winter/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5" t="str">
        <f>IFERROR(__xludf.DUMMYFUNCTION("""COMPUTED_VALUE"""),"mule deer range")</f>
        <v>mule deer range</v>
      </c>
      <c r="B443" s="15" t="str">
        <f>IFERROR(__xludf.DUMMYFUNCTION("""COMPUTED_VALUE"""),"590")</f>
        <v>590</v>
      </c>
      <c r="C443" s="15" t="str">
        <f>IFERROR(__xludf.DUMMYFUNCTION("""COMPUTED_VALUE"""),"50")</f>
        <v>50</v>
      </c>
      <c r="D443" s="15" t="str">
        <f>IFERROR(__xludf.DUMMYFUNCTION("""COMPUTED_VALUE"""),"40")</f>
        <v>40</v>
      </c>
      <c r="E443" s="15" t="str">
        <f>IFERROR(__xludf.DUMMYFUNCTION("""COMPUTED_VALUE"""),"Not ranking")</f>
        <v>Not ranking</v>
      </c>
      <c r="F443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443" s="17" t="str">
        <f>IFERROR(__xludf.DUMMYFUNCTION("""COMPUTED_VALUE"""),"https://realtree.com/all/articles/are-mule-deer-getting-the-boot-from-whitetails")</f>
        <v>https://realtree.com/all/articles/are-mule-deer-getting-the-boot-from-whitetails</v>
      </c>
      <c r="H443" s="18" t="str">
        <f>IFERROR(__xludf.DUMMYFUNCTION("""COMPUTED_VALUE"""),"Not ranking")</f>
        <v>Not ranking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5" t="str">
        <f>IFERROR(__xludf.DUMMYFUNCTION("""COMPUTED_VALUE"""),"do a deer a female deer")</f>
        <v>do a deer a female deer</v>
      </c>
      <c r="B444" s="15" t="str">
        <f>IFERROR(__xludf.DUMMYFUNCTION("""COMPUTED_VALUE"""),"4400")</f>
        <v>4400</v>
      </c>
      <c r="C444" s="15" t="str">
        <f>IFERROR(__xludf.DUMMYFUNCTION("""COMPUTED_VALUE"""),"51")</f>
        <v>51</v>
      </c>
      <c r="D444" s="15" t="str">
        <f>IFERROR(__xludf.DUMMYFUNCTION("""COMPUTED_VALUE"""),"Not ranking")</f>
        <v>Not ranking</v>
      </c>
      <c r="E444" s="15" t="str">
        <f>IFERROR(__xludf.DUMMYFUNCTION("""COMPUTED_VALUE"""),"Not ranking")</f>
        <v>Not ranking</v>
      </c>
      <c r="F444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444" s="18" t="str">
        <f>IFERROR(__xludf.DUMMYFUNCTION("""COMPUTED_VALUE"""),"Not ranking")</f>
        <v>Not ranking</v>
      </c>
      <c r="H444" s="18" t="str">
        <f>IFERROR(__xludf.DUMMYFUNCTION("""COMPUTED_VALUE"""),"Not ranking")</f>
        <v>Not ranking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5" t="str">
        <f>IFERROR(__xludf.DUMMYFUNCTION("""COMPUTED_VALUE"""),"picture of a deer buck")</f>
        <v>picture of a deer buck</v>
      </c>
      <c r="B445" s="15" t="str">
        <f>IFERROR(__xludf.DUMMYFUNCTION("""COMPUTED_VALUE"""),"720")</f>
        <v>720</v>
      </c>
      <c r="C445" s="15" t="str">
        <f>IFERROR(__xludf.DUMMYFUNCTION("""COMPUTED_VALUE"""),"51")</f>
        <v>51</v>
      </c>
      <c r="D445" s="15" t="str">
        <f>IFERROR(__xludf.DUMMYFUNCTION("""COMPUTED_VALUE"""),"Not ranking")</f>
        <v>Not ranking</v>
      </c>
      <c r="E445" s="15" t="str">
        <f>IFERROR(__xludf.DUMMYFUNCTION("""COMPUTED_VALUE"""),"49")</f>
        <v>49</v>
      </c>
      <c r="F445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445" s="18" t="str">
        <f>IFERROR(__xludf.DUMMYFUNCTION("""COMPUTED_VALUE"""),"Not ranking")</f>
        <v>Not ranking</v>
      </c>
      <c r="H445" s="17" t="str">
        <f>IFERROR(__xludf.DUMMYFUNCTION("""COMPUTED_VALUE"""),"https://www.wideopenspaces.com/check-25-awesome-vintage-deer-hunting-photos-whitetailwednesday/")</f>
        <v>https://www.wideopenspaces.com/check-25-awesome-vintage-deer-hunting-photos-whitetailwednesday/</v>
      </c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5" t="str">
        <f>IFERROR(__xludf.DUMMYFUNCTION("""COMPUTED_VALUE"""),"deer meat")</f>
        <v>deer meat</v>
      </c>
      <c r="B446" s="15" t="str">
        <f>IFERROR(__xludf.DUMMYFUNCTION("""COMPUTED_VALUE"""),"12100")</f>
        <v>12100</v>
      </c>
      <c r="C446" s="15" t="str">
        <f>IFERROR(__xludf.DUMMYFUNCTION("""COMPUTED_VALUE"""),"52")</f>
        <v>52</v>
      </c>
      <c r="D446" s="15" t="str">
        <f>IFERROR(__xludf.DUMMYFUNCTION("""COMPUTED_VALUE"""),"46")</f>
        <v>46</v>
      </c>
      <c r="E446" s="15" t="str">
        <f>IFERROR(__xludf.DUMMYFUNCTION("""COMPUTED_VALUE"""),"Not ranking")</f>
        <v>Not ranking</v>
      </c>
      <c r="F446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446" s="17" t="str">
        <f>IFERROR(__xludf.DUMMYFUNCTION("""COMPUTED_VALUE"""),"https://realtree.com/deer-hunting/articles/how-to-can-deer-meat")</f>
        <v>https://realtree.com/deer-hunting/articles/how-to-can-deer-meat</v>
      </c>
      <c r="H446" s="18" t="str">
        <f>IFERROR(__xludf.DUMMYFUNCTION("""COMPUTED_VALUE"""),"Not ranking")</f>
        <v>Not ranking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5" t="str">
        <f>IFERROR(__xludf.DUMMYFUNCTION("""COMPUTED_VALUE"""),"deer meat for sale")</f>
        <v>deer meat for sale</v>
      </c>
      <c r="B447" s="15" t="str">
        <f>IFERROR(__xludf.DUMMYFUNCTION("""COMPUTED_VALUE"""),"1900")</f>
        <v>1900</v>
      </c>
      <c r="C447" s="15" t="str">
        <f>IFERROR(__xludf.DUMMYFUNCTION("""COMPUTED_VALUE"""),"52")</f>
        <v>52</v>
      </c>
      <c r="D447" s="15" t="str">
        <f>IFERROR(__xludf.DUMMYFUNCTION("""COMPUTED_VALUE"""),"Not ranking")</f>
        <v>Not ranking</v>
      </c>
      <c r="E447" s="15" t="str">
        <f>IFERROR(__xludf.DUMMYFUNCTION("""COMPUTED_VALUE"""),"Not ranking")</f>
        <v>Not ranking</v>
      </c>
      <c r="F447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447" s="18" t="str">
        <f>IFERROR(__xludf.DUMMYFUNCTION("""COMPUTED_VALUE"""),"Not ranking")</f>
        <v>Not ranking</v>
      </c>
      <c r="H447" s="18" t="str">
        <f>IFERROR(__xludf.DUMMYFUNCTION("""COMPUTED_VALUE"""),"Not ranking")</f>
        <v>Not ranking</v>
      </c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5" t="str">
        <f>IFERROR(__xludf.DUMMYFUNCTION("""COMPUTED_VALUE"""),"columbian black tailed deer")</f>
        <v>columbian black tailed deer</v>
      </c>
      <c r="B448" s="15" t="str">
        <f>IFERROR(__xludf.DUMMYFUNCTION("""COMPUTED_VALUE"""),"720")</f>
        <v>720</v>
      </c>
      <c r="C448" s="15" t="str">
        <f>IFERROR(__xludf.DUMMYFUNCTION("""COMPUTED_VALUE"""),"52")</f>
        <v>52</v>
      </c>
      <c r="D448" s="15" t="str">
        <f>IFERROR(__xludf.DUMMYFUNCTION("""COMPUTED_VALUE"""),"Not ranking")</f>
        <v>Not ranking</v>
      </c>
      <c r="E448" s="15" t="str">
        <f>IFERROR(__xludf.DUMMYFUNCTION("""COMPUTED_VALUE"""),"Not ranking")</f>
        <v>Not ranking</v>
      </c>
      <c r="F448" s="17" t="str">
        <f>IFERROR(__xludf.DUMMYFUNCTION("""COMPUTED_VALUE"""),"https://www.themeateater.com/watch/6175630772001/steven-rinella-hunts-his-first-columbia-blacktail-deer-in-california")</f>
        <v>https://www.themeateater.com/watch/6175630772001/steven-rinella-hunts-his-first-columbia-blacktail-deer-in-california</v>
      </c>
      <c r="G448" s="18" t="str">
        <f>IFERROR(__xludf.DUMMYFUNCTION("""COMPUTED_VALUE"""),"Not ranking")</f>
        <v>Not ranking</v>
      </c>
      <c r="H448" s="18" t="str">
        <f>IFERROR(__xludf.DUMMYFUNCTION("""COMPUTED_VALUE"""),"Not ranking")</f>
        <v>Not ranking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5" t="str">
        <f>IFERROR(__xludf.DUMMYFUNCTION("""COMPUTED_VALUE"""),"taxidermy deer")</f>
        <v>taxidermy deer</v>
      </c>
      <c r="B449" s="15" t="str">
        <f>IFERROR(__xludf.DUMMYFUNCTION("""COMPUTED_VALUE"""),"720")</f>
        <v>720</v>
      </c>
      <c r="C449" s="15" t="str">
        <f>IFERROR(__xludf.DUMMYFUNCTION("""COMPUTED_VALUE"""),"52")</f>
        <v>52</v>
      </c>
      <c r="D449" s="15" t="str">
        <f>IFERROR(__xludf.DUMMYFUNCTION("""COMPUTED_VALUE"""),"8")</f>
        <v>8</v>
      </c>
      <c r="E449" s="15" t="str">
        <f>IFERROR(__xludf.DUMMYFUNCTION("""COMPUTED_VALUE"""),"53")</f>
        <v>53</v>
      </c>
      <c r="F449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449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449" s="17" t="str">
        <f>IFERROR(__xludf.DUMMYFUNCTION("""COMPUTED_VALUE"""),"https://www.wideopenspaces.com/deer-taxidermy-options/")</f>
        <v>https://www.wideopenspaces.com/deer-taxidermy-options/</v>
      </c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5" t="str">
        <f>IFERROR(__xludf.DUMMYFUNCTION("""COMPUTED_VALUE"""),"what do deer eat in the wild")</f>
        <v>what do deer eat in the wild</v>
      </c>
      <c r="B450" s="15" t="str">
        <f>IFERROR(__xludf.DUMMYFUNCTION("""COMPUTED_VALUE"""),"590")</f>
        <v>590</v>
      </c>
      <c r="C450" s="15" t="str">
        <f>IFERROR(__xludf.DUMMYFUNCTION("""COMPUTED_VALUE"""),"52")</f>
        <v>52</v>
      </c>
      <c r="D450" s="15" t="str">
        <f>IFERROR(__xludf.DUMMYFUNCTION("""COMPUTED_VALUE"""),"81")</f>
        <v>81</v>
      </c>
      <c r="E450" s="15" t="str">
        <f>IFERROR(__xludf.DUMMYFUNCTION("""COMPUTED_VALUE"""),"67")</f>
        <v>67</v>
      </c>
      <c r="F450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450" s="17" t="str">
        <f>IFERROR(__xludf.DUMMYFUNCTION("""COMPUTED_VALUE"""),"https://realtree.com/the-realblog-with-stephanie-mallory/did-you-know-deer-eat-meat")</f>
        <v>https://realtree.com/the-realblog-with-stephanie-mallory/did-you-know-deer-eat-meat</v>
      </c>
      <c r="H450" s="17" t="str">
        <f>IFERROR(__xludf.DUMMYFUNCTION("""COMPUTED_VALUE"""),"https://www.wideopenspaces.com/do-deer-eat-meat/")</f>
        <v>https://www.wideopenspaces.com/do-deer-eat-meat/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5" t="str">
        <f>IFERROR(__xludf.DUMMYFUNCTION("""COMPUTED_VALUE"""),"what do deers like to eat")</f>
        <v>what do deers like to eat</v>
      </c>
      <c r="B451" s="15" t="str">
        <f>IFERROR(__xludf.DUMMYFUNCTION("""COMPUTED_VALUE"""),"590")</f>
        <v>590</v>
      </c>
      <c r="C451" s="15" t="str">
        <f>IFERROR(__xludf.DUMMYFUNCTION("""COMPUTED_VALUE"""),"52")</f>
        <v>52</v>
      </c>
      <c r="D451" s="15" t="str">
        <f>IFERROR(__xludf.DUMMYFUNCTION("""COMPUTED_VALUE"""),"Not ranking")</f>
        <v>Not ranking</v>
      </c>
      <c r="E451" s="15" t="str">
        <f>IFERROR(__xludf.DUMMYFUNCTION("""COMPUTED_VALUE"""),"25")</f>
        <v>25</v>
      </c>
      <c r="F451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451" s="18" t="str">
        <f>IFERROR(__xludf.DUMMYFUNCTION("""COMPUTED_VALUE"""),"Not ranking")</f>
        <v>Not ranking</v>
      </c>
      <c r="H451" s="17" t="str">
        <f>IFERROR(__xludf.DUMMYFUNCTION("""COMPUTED_VALUE"""),"https://www.wideopenspaces.com/what-do-deer-eat/")</f>
        <v>https://www.wideopenspaces.com/what-do-deer-eat/</v>
      </c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5" t="str">
        <f>IFERROR(__xludf.DUMMYFUNCTION("""COMPUTED_VALUE"""),"whitetail deer mounts")</f>
        <v>whitetail deer mounts</v>
      </c>
      <c r="B452" s="15" t="str">
        <f>IFERROR(__xludf.DUMMYFUNCTION("""COMPUTED_VALUE"""),"590")</f>
        <v>590</v>
      </c>
      <c r="C452" s="15" t="str">
        <f>IFERROR(__xludf.DUMMYFUNCTION("""COMPUTED_VALUE"""),"52")</f>
        <v>52</v>
      </c>
      <c r="D452" s="15" t="str">
        <f>IFERROR(__xludf.DUMMYFUNCTION("""COMPUTED_VALUE"""),"34")</f>
        <v>34</v>
      </c>
      <c r="E452" s="15" t="str">
        <f>IFERROR(__xludf.DUMMYFUNCTION("""COMPUTED_VALUE"""),"22")</f>
        <v>22</v>
      </c>
      <c r="F452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452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452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5" t="str">
        <f>IFERROR(__xludf.DUMMYFUNCTION("""COMPUTED_VALUE"""),"deer cameras")</f>
        <v>deer cameras</v>
      </c>
      <c r="B453" s="15" t="str">
        <f>IFERROR(__xludf.DUMMYFUNCTION("""COMPUTED_VALUE"""),"2400")</f>
        <v>2400</v>
      </c>
      <c r="C453" s="15" t="str">
        <f>IFERROR(__xludf.DUMMYFUNCTION("""COMPUTED_VALUE"""),"53")</f>
        <v>53</v>
      </c>
      <c r="D453" s="15" t="str">
        <f>IFERROR(__xludf.DUMMYFUNCTION("""COMPUTED_VALUE"""),"47")</f>
        <v>47</v>
      </c>
      <c r="E453" s="15" t="str">
        <f>IFERROR(__xludf.DUMMYFUNCTION("""COMPUTED_VALUE"""),"40")</f>
        <v>40</v>
      </c>
      <c r="F453" s="17" t="str">
        <f>IFERROR(__xludf.DUMMYFUNCTION("""COMPUTED_VALUE"""),"https://www.themeateater.com/gear/general/best-trail-cameras")</f>
        <v>https://www.themeateater.com/gear/general/best-trail-cameras</v>
      </c>
      <c r="G453" s="17" t="str">
        <f>IFERROR(__xludf.DUMMYFUNCTION("""COMPUTED_VALUE"""),"https://realtree.com/deer-hunting/articles/5-advanced-trail-camera-tactics")</f>
        <v>https://realtree.com/deer-hunting/articles/5-advanced-trail-camera-tactics</v>
      </c>
      <c r="H453" s="17" t="str">
        <f>IFERROR(__xludf.DUMMYFUNCTION("""COMPUTED_VALUE"""),"https://www.wideopenspaces.com/11-trail-cameras-tested-quality-distance-trigger-speed/")</f>
        <v>https://www.wideopenspaces.com/11-trail-cameras-tested-quality-distance-trigger-speed/</v>
      </c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5" t="str">
        <f>IFERROR(__xludf.DUMMYFUNCTION("""COMPUTED_VALUE"""),"deer with antlers")</f>
        <v>deer with antlers</v>
      </c>
      <c r="B454" s="15" t="str">
        <f>IFERROR(__xludf.DUMMYFUNCTION("""COMPUTED_VALUE"""),"2400")</f>
        <v>2400</v>
      </c>
      <c r="C454" s="15" t="str">
        <f>IFERROR(__xludf.DUMMYFUNCTION("""COMPUTED_VALUE"""),"53")</f>
        <v>53</v>
      </c>
      <c r="D454" s="15" t="str">
        <f>IFERROR(__xludf.DUMMYFUNCTION("""COMPUTED_VALUE"""),"67")</f>
        <v>67</v>
      </c>
      <c r="E454" s="15" t="str">
        <f>IFERROR(__xludf.DUMMYFUNCTION("""COMPUTED_VALUE"""),"Not ranking")</f>
        <v>Not ranking</v>
      </c>
      <c r="F454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454" s="17" t="str">
        <f>IFERROR(__xludf.DUMMYFUNCTION("""COMPUTED_VALUE"""),"https://realtree.com/all/articles/antler-trivia")</f>
        <v>https://realtree.com/all/articles/antler-trivia</v>
      </c>
      <c r="H454" s="18" t="str">
        <f>IFERROR(__xludf.DUMMYFUNCTION("""COMPUTED_VALUE"""),"Not ranking")</f>
        <v>Not ranking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5" t="str">
        <f>IFERROR(__xludf.DUMMYFUNCTION("""COMPUTED_VALUE"""),"deer cams")</f>
        <v>deer cams</v>
      </c>
      <c r="B455" s="15" t="str">
        <f>IFERROR(__xludf.DUMMYFUNCTION("""COMPUTED_VALUE"""),"1300")</f>
        <v>1300</v>
      </c>
      <c r="C455" s="15" t="str">
        <f>IFERROR(__xludf.DUMMYFUNCTION("""COMPUTED_VALUE"""),"53")</f>
        <v>53</v>
      </c>
      <c r="D455" s="15" t="str">
        <f>IFERROR(__xludf.DUMMYFUNCTION("""COMPUTED_VALUE"""),"28")</f>
        <v>28</v>
      </c>
      <c r="E455" s="15" t="str">
        <f>IFERROR(__xludf.DUMMYFUNCTION("""COMPUTED_VALUE"""),"80")</f>
        <v>80</v>
      </c>
      <c r="F455" s="17" t="str">
        <f>IFERROR(__xludf.DUMMYFUNCTION("""COMPUTED_VALUE"""),"https://www.themeateater.com/gear/general/best-trail-cameras")</f>
        <v>https://www.themeateater.com/gear/general/best-trail-cameras</v>
      </c>
      <c r="G455" s="17" t="str">
        <f>IFERROR(__xludf.DUMMYFUNCTION("""COMPUTED_VALUE"""),"https://realtree.com/brow-tines-and-backstrap/is-a-trail-camera-ban-coming-to-a-state-near-you")</f>
        <v>https://realtree.com/brow-tines-and-backstrap/is-a-trail-camera-ban-coming-to-a-state-near-you</v>
      </c>
      <c r="H455" s="17" t="str">
        <f>IFERROR(__xludf.DUMMYFUNCTION("""COMPUTED_VALUE"""),"https://www.wideopenspaces.com/11-trail-cameras-tested-quality-distance-trigger-speed/")</f>
        <v>https://www.wideopenspaces.com/11-trail-cameras-tested-quality-distance-trigger-speed/</v>
      </c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5" t="str">
        <f>IFERROR(__xludf.DUMMYFUNCTION("""COMPUTED_VALUE"""),"back straps deer")</f>
        <v>back straps deer</v>
      </c>
      <c r="B456" s="15" t="str">
        <f>IFERROR(__xludf.DUMMYFUNCTION("""COMPUTED_VALUE"""),"1000")</f>
        <v>1000</v>
      </c>
      <c r="C456" s="15" t="str">
        <f>IFERROR(__xludf.DUMMYFUNCTION("""COMPUTED_VALUE"""),"53")</f>
        <v>53</v>
      </c>
      <c r="D456" s="15" t="str">
        <f>IFERROR(__xludf.DUMMYFUNCTION("""COMPUTED_VALUE"""),"24")</f>
        <v>24</v>
      </c>
      <c r="E456" s="15" t="str">
        <f>IFERROR(__xludf.DUMMYFUNCTION("""COMPUTED_VALUE"""),"54")</f>
        <v>54</v>
      </c>
      <c r="F456" s="17" t="str">
        <f>IFERROR(__xludf.DUMMYFUNCTION("""COMPUTED_VALUE"""),"https://www.themeateater.com/recipes/cuts/backstrap")</f>
        <v>https://www.themeateater.com/recipes/cuts/backstrap</v>
      </c>
      <c r="G456" s="17" t="str">
        <f>IFERROR(__xludf.DUMMYFUNCTION("""COMPUTED_VALUE"""),"https://realtree.com/timber-2-table-wild-game-recipes/reverse-seared-smoked-venison-backstrap")</f>
        <v>https://realtree.com/timber-2-table-wild-game-recipes/reverse-seared-smoked-venison-backstrap</v>
      </c>
      <c r="H456" s="17" t="str">
        <f>IFERROR(__xludf.DUMMYFUNCTION("""COMPUTED_VALUE"""),"https://www.wideopenspaces.com/venison-backstrap-recipes/")</f>
        <v>https://www.wideopenspaces.com/venison-backstrap-recipes/</v>
      </c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5" t="str">
        <f>IFERROR(__xludf.DUMMYFUNCTION("""COMPUTED_VALUE"""),"bear poop vs deer poop")</f>
        <v>bear poop vs deer poop</v>
      </c>
      <c r="B457" s="15" t="str">
        <f>IFERROR(__xludf.DUMMYFUNCTION("""COMPUTED_VALUE"""),"720")</f>
        <v>720</v>
      </c>
      <c r="C457" s="15" t="str">
        <f>IFERROR(__xludf.DUMMYFUNCTION("""COMPUTED_VALUE"""),"53")</f>
        <v>53</v>
      </c>
      <c r="D457" s="15" t="str">
        <f>IFERROR(__xludf.DUMMYFUNCTION("""COMPUTED_VALUE"""),"33")</f>
        <v>33</v>
      </c>
      <c r="E457" s="15" t="str">
        <f>IFERROR(__xludf.DUMMYFUNCTION("""COMPUTED_VALUE"""),"29")</f>
        <v>29</v>
      </c>
      <c r="F457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457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457" s="17" t="str">
        <f>IFERROR(__xludf.DUMMYFUNCTION("""COMPUTED_VALUE"""),"https://www.wideopenspaces.com/bear-scat-how-to-identify-poop-from-the-most-common-species/")</f>
        <v>https://www.wideopenspaces.com/bear-scat-how-to-identify-poop-from-the-most-common-species/</v>
      </c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5" t="str">
        <f>IFERROR(__xludf.DUMMYFUNCTION("""COMPUTED_VALUE"""),"do deer eat acorns")</f>
        <v>do deer eat acorns</v>
      </c>
      <c r="B458" s="15" t="str">
        <f>IFERROR(__xludf.DUMMYFUNCTION("""COMPUTED_VALUE"""),"720")</f>
        <v>720</v>
      </c>
      <c r="C458" s="15" t="str">
        <f>IFERROR(__xludf.DUMMYFUNCTION("""COMPUTED_VALUE"""),"53")</f>
        <v>53</v>
      </c>
      <c r="D458" s="15" t="str">
        <f>IFERROR(__xludf.DUMMYFUNCTION("""COMPUTED_VALUE"""),"5")</f>
        <v>5</v>
      </c>
      <c r="E458" s="15" t="str">
        <f>IFERROR(__xludf.DUMMYFUNCTION("""COMPUTED_VALUE"""),"56")</f>
        <v>56</v>
      </c>
      <c r="F458" s="17" t="str">
        <f>IFERROR(__xludf.DUMMYFUNCTION("""COMPUTED_VALUE"""),"https://www.themeateater.com/wired-to-hunt/whitetail-scouting/how-to-whitetail-hunt-around-acorns")</f>
        <v>https://www.themeateater.com/wired-to-hunt/whitetail-scouting/how-to-whitetail-hunt-around-acorns</v>
      </c>
      <c r="G458" s="17" t="str">
        <f>IFERROR(__xludf.DUMMYFUNCTION("""COMPUTED_VALUE"""),"https://realtree.com/deer-hunting/articles/everything-you-need-to-know-about-acorns")</f>
        <v>https://realtree.com/deer-hunting/articles/everything-you-need-to-know-about-acorns</v>
      </c>
      <c r="H458" s="17" t="str">
        <f>IFERROR(__xludf.DUMMYFUNCTION("""COMPUTED_VALUE"""),"https://www.wideopenspaces.com/oak-trees-deer/")</f>
        <v>https://www.wideopenspaces.com/oak-trees-deer/</v>
      </c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5" t="str">
        <f>IFERROR(__xludf.DUMMYFUNCTION("""COMPUTED_VALUE"""),"easy drawings of a deer")</f>
        <v>easy drawings of a deer</v>
      </c>
      <c r="B459" s="15" t="str">
        <f>IFERROR(__xludf.DUMMYFUNCTION("""COMPUTED_VALUE"""),"720")</f>
        <v>720</v>
      </c>
      <c r="C459" s="15" t="str">
        <f>IFERROR(__xludf.DUMMYFUNCTION("""COMPUTED_VALUE"""),"53")</f>
        <v>53</v>
      </c>
      <c r="D459" s="15" t="str">
        <f>IFERROR(__xludf.DUMMYFUNCTION("""COMPUTED_VALUE"""),"Not ranking")</f>
        <v>Not ranking</v>
      </c>
      <c r="E459" s="15" t="str">
        <f>IFERROR(__xludf.DUMMYFUNCTION("""COMPUTED_VALUE"""),"Not ranking")</f>
        <v>Not ranking</v>
      </c>
      <c r="F459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459" s="18" t="str">
        <f>IFERROR(__xludf.DUMMYFUNCTION("""COMPUTED_VALUE"""),"Not ranking")</f>
        <v>Not ranking</v>
      </c>
      <c r="H459" s="18" t="str">
        <f>IFERROR(__xludf.DUMMYFUNCTION("""COMPUTED_VALUE"""),"Not ranking")</f>
        <v>Not ranking</v>
      </c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5" t="str">
        <f>IFERROR(__xludf.DUMMYFUNCTION("""COMPUTED_VALUE"""),"deer with horns")</f>
        <v>deer with horns</v>
      </c>
      <c r="B460" s="15" t="str">
        <f>IFERROR(__xludf.DUMMYFUNCTION("""COMPUTED_VALUE"""),"590")</f>
        <v>590</v>
      </c>
      <c r="C460" s="15" t="str">
        <f>IFERROR(__xludf.DUMMYFUNCTION("""COMPUTED_VALUE"""),"53")</f>
        <v>53</v>
      </c>
      <c r="D460" s="15" t="str">
        <f>IFERROR(__xludf.DUMMYFUNCTION("""COMPUTED_VALUE"""),"96")</f>
        <v>96</v>
      </c>
      <c r="E460" s="15" t="str">
        <f>IFERROR(__xludf.DUMMYFUNCTION("""COMPUTED_VALUE"""),"Not ranking")</f>
        <v>Not ranking</v>
      </c>
      <c r="F460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460" s="17" t="str">
        <f>IFERROR(__xludf.DUMMYFUNCTION("""COMPUTED_VALUE"""),"https://realtree.com/all/articles/antler-trivia")</f>
        <v>https://realtree.com/all/articles/antler-trivia</v>
      </c>
      <c r="H460" s="18" t="str">
        <f>IFERROR(__xludf.DUMMYFUNCTION("""COMPUTED_VALUE"""),"Not ranking")</f>
        <v>Not ranking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5" t="str">
        <f>IFERROR(__xludf.DUMMYFUNCTION("""COMPUTED_VALUE"""),"pooping deer")</f>
        <v>pooping deer</v>
      </c>
      <c r="B461" s="15" t="str">
        <f>IFERROR(__xludf.DUMMYFUNCTION("""COMPUTED_VALUE"""),"6600")</f>
        <v>6600</v>
      </c>
      <c r="C461" s="15" t="str">
        <f>IFERROR(__xludf.DUMMYFUNCTION("""COMPUTED_VALUE"""),"54")</f>
        <v>54</v>
      </c>
      <c r="D461" s="15" t="str">
        <f>IFERROR(__xludf.DUMMYFUNCTION("""COMPUTED_VALUE"""),"2")</f>
        <v>2</v>
      </c>
      <c r="E461" s="15" t="str">
        <f>IFERROR(__xludf.DUMMYFUNCTION("""COMPUTED_VALUE"""),"18")</f>
        <v>18</v>
      </c>
      <c r="F461" s="17" t="str">
        <f>IFERROR(__xludf.DUMMYFUNCTION("""COMPUTED_VALUE"""),"https://www.themeateater.com/hunt/whitetail-deer/how-to-crap-in-the-woods-like-a-pro")</f>
        <v>https://www.themeateater.com/hunt/whitetail-deer/how-to-crap-in-the-woods-like-a-pro</v>
      </c>
      <c r="G461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461" s="17" t="str">
        <f>IFERROR(__xludf.DUMMYFUNCTION("""COMPUTED_VALUE"""),"https://www.wideopenspaces.com/deer-poop-identification/")</f>
        <v>https://www.wideopenspaces.com/deer-poop-identification/</v>
      </c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5" t="str">
        <f>IFERROR(__xludf.DUMMYFUNCTION("""COMPUTED_VALUE"""),"deer scat")</f>
        <v>deer scat</v>
      </c>
      <c r="B462" s="15" t="str">
        <f>IFERROR(__xludf.DUMMYFUNCTION("""COMPUTED_VALUE"""),"2900")</f>
        <v>2900</v>
      </c>
      <c r="C462" s="15" t="str">
        <f>IFERROR(__xludf.DUMMYFUNCTION("""COMPUTED_VALUE"""),"54")</f>
        <v>54</v>
      </c>
      <c r="D462" s="15" t="str">
        <f>IFERROR(__xludf.DUMMYFUNCTION("""COMPUTED_VALUE"""),"3")</f>
        <v>3</v>
      </c>
      <c r="E462" s="15" t="str">
        <f>IFERROR(__xludf.DUMMYFUNCTION("""COMPUTED_VALUE"""),"13")</f>
        <v>13</v>
      </c>
      <c r="F462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462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462" s="17" t="str">
        <f>IFERROR(__xludf.DUMMYFUNCTION("""COMPUTED_VALUE"""),"https://www.wideopenspaces.com/deer-poop-identification/")</f>
        <v>https://www.wideopenspaces.com/deer-poop-identification/</v>
      </c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5" t="str">
        <f>IFERROR(__xludf.DUMMYFUNCTION("""COMPUTED_VALUE"""),"what is deer meat called")</f>
        <v>what is deer meat called</v>
      </c>
      <c r="B463" s="15" t="str">
        <f>IFERROR(__xludf.DUMMYFUNCTION("""COMPUTED_VALUE"""),"1600")</f>
        <v>1600</v>
      </c>
      <c r="C463" s="15" t="str">
        <f>IFERROR(__xludf.DUMMYFUNCTION("""COMPUTED_VALUE"""),"54")</f>
        <v>54</v>
      </c>
      <c r="D463" s="15" t="str">
        <f>IFERROR(__xludf.DUMMYFUNCTION("""COMPUTED_VALUE"""),"59")</f>
        <v>59</v>
      </c>
      <c r="E463" s="15" t="str">
        <f>IFERROR(__xludf.DUMMYFUNCTION("""COMPUTED_VALUE"""),"Not ranking")</f>
        <v>Not ranking</v>
      </c>
      <c r="F463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463" s="17" t="str">
        <f>IFERROR(__xludf.DUMMYFUNCTION("""COMPUTED_VALUE"""),"https://realtree.com/deer-hunting/articles/12-reasons-why-your-venison-tastes-like-hell")</f>
        <v>https://realtree.com/deer-hunting/articles/12-reasons-why-your-venison-tastes-like-hell</v>
      </c>
      <c r="H463" s="18" t="str">
        <f>IFERROR(__xludf.DUMMYFUNCTION("""COMPUTED_VALUE"""),"Not ranking")</f>
        <v>Not ranking</v>
      </c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5" t="str">
        <f>IFERROR(__xludf.DUMMYFUNCTION("""COMPUTED_VALUE"""),"what sound does the deer make")</f>
        <v>what sound does the deer make</v>
      </c>
      <c r="B464" s="15" t="str">
        <f>IFERROR(__xludf.DUMMYFUNCTION("""COMPUTED_VALUE"""),"1300")</f>
        <v>1300</v>
      </c>
      <c r="C464" s="15" t="str">
        <f>IFERROR(__xludf.DUMMYFUNCTION("""COMPUTED_VALUE"""),"54")</f>
        <v>54</v>
      </c>
      <c r="D464" s="15" t="str">
        <f>IFERROR(__xludf.DUMMYFUNCTION("""COMPUTED_VALUE"""),"Not ranking")</f>
        <v>Not ranking</v>
      </c>
      <c r="E464" s="15" t="str">
        <f>IFERROR(__xludf.DUMMYFUNCTION("""COMPUTED_VALUE"""),"13")</f>
        <v>13</v>
      </c>
      <c r="F464" s="17" t="str">
        <f>IFERROR(__xludf.DUMMYFUNCTION("""COMPUTED_VALUE"""),"https://www.themeateater.com/hunt/whitetail-deer/video-rutting-buck-makes-crazy-vocalizations")</f>
        <v>https://www.themeateater.com/hunt/whitetail-deer/video-rutting-buck-makes-crazy-vocalizations</v>
      </c>
      <c r="G464" s="18" t="str">
        <f>IFERROR(__xludf.DUMMYFUNCTION("""COMPUTED_VALUE"""),"Not ranking")</f>
        <v>Not ranking</v>
      </c>
      <c r="H464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5" t="str">
        <f>IFERROR(__xludf.DUMMYFUNCTION("""COMPUTED_VALUE"""),"deer pics")</f>
        <v>deer pics</v>
      </c>
      <c r="B465" s="15" t="str">
        <f>IFERROR(__xludf.DUMMYFUNCTION("""COMPUTED_VALUE"""),"1000")</f>
        <v>1000</v>
      </c>
      <c r="C465" s="15" t="str">
        <f>IFERROR(__xludf.DUMMYFUNCTION("""COMPUTED_VALUE"""),"54")</f>
        <v>54</v>
      </c>
      <c r="D465" s="15" t="str">
        <f>IFERROR(__xludf.DUMMYFUNCTION("""COMPUTED_VALUE"""),"91")</f>
        <v>91</v>
      </c>
      <c r="E465" s="15" t="str">
        <f>IFERROR(__xludf.DUMMYFUNCTION("""COMPUTED_VALUE"""),"36")</f>
        <v>36</v>
      </c>
      <c r="F465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465" s="17" t="str">
        <f>IFERROR(__xludf.DUMMYFUNCTION("""COMPUTED_VALUE"""),"https://realtree.com/deer-hunting/articles/10-tips-for-great-deer-pictures")</f>
        <v>https://realtree.com/deer-hunting/articles/10-tips-for-great-deer-pictures</v>
      </c>
      <c r="H465" s="17" t="str">
        <f>IFERROR(__xludf.DUMMYFUNCTION("""COMPUTED_VALUE"""),"https://www.wideopenspaces.com/check-25-awesome-vintage-deer-hunting-photos-whitetailwednesday/")</f>
        <v>https://www.wideopenspaces.com/check-25-awesome-vintage-deer-hunting-photos-whitetailwednesday/</v>
      </c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5" t="str">
        <f>IFERROR(__xludf.DUMMYFUNCTION("""COMPUTED_VALUE"""),"what deer eat")</f>
        <v>what deer eat</v>
      </c>
      <c r="B466" s="15" t="str">
        <f>IFERROR(__xludf.DUMMYFUNCTION("""COMPUTED_VALUE"""),"1000")</f>
        <v>1000</v>
      </c>
      <c r="C466" s="15" t="str">
        <f>IFERROR(__xludf.DUMMYFUNCTION("""COMPUTED_VALUE"""),"54")</f>
        <v>54</v>
      </c>
      <c r="D466" s="15" t="str">
        <f>IFERROR(__xludf.DUMMYFUNCTION("""COMPUTED_VALUE"""),"59")</f>
        <v>59</v>
      </c>
      <c r="E466" s="15" t="str">
        <f>IFERROR(__xludf.DUMMYFUNCTION("""COMPUTED_VALUE"""),"65")</f>
        <v>65</v>
      </c>
      <c r="F466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466" s="17" t="str">
        <f>IFERROR(__xludf.DUMMYFUNCTION("""COMPUTED_VALUE"""),"https://realtree.com/brow-tines-and-backstrap/10-feeding-habits-of-mature-deer")</f>
        <v>https://realtree.com/brow-tines-and-backstrap/10-feeding-habits-of-mature-deer</v>
      </c>
      <c r="H466" s="17" t="str">
        <f>IFERROR(__xludf.DUMMYFUNCTION("""COMPUTED_VALUE"""),"https://www.wideopenspaces.com/what-do-deer-eat/")</f>
        <v>https://www.wideopenspaces.com/what-do-deer-eat/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5" t="str">
        <f>IFERROR(__xludf.DUMMYFUNCTION("""COMPUTED_VALUE"""),"monster mule deer")</f>
        <v>monster mule deer</v>
      </c>
      <c r="B467" s="15" t="str">
        <f>IFERROR(__xludf.DUMMYFUNCTION("""COMPUTED_VALUE"""),"880")</f>
        <v>880</v>
      </c>
      <c r="C467" s="15" t="str">
        <f>IFERROR(__xludf.DUMMYFUNCTION("""COMPUTED_VALUE"""),"54")</f>
        <v>54</v>
      </c>
      <c r="D467" s="15" t="str">
        <f>IFERROR(__xludf.DUMMYFUNCTION("""COMPUTED_VALUE"""),"Not ranking")</f>
        <v>Not ranking</v>
      </c>
      <c r="E467" s="15" t="str">
        <f>IFERROR(__xludf.DUMMYFUNCTION("""COMPUTED_VALUE"""),"92")</f>
        <v>92</v>
      </c>
      <c r="F467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467" s="18" t="str">
        <f>IFERROR(__xludf.DUMMYFUNCTION("""COMPUTED_VALUE"""),"Not ranking")</f>
        <v>Not ranking</v>
      </c>
      <c r="H467" s="17" t="str">
        <f>IFERROR(__xludf.DUMMYFUNCTION("""COMPUTED_VALUE"""),"https://www.wideopenspaces.com/mule-deer-hunt-velvet-mule-deer/")</f>
        <v>https://www.wideopenspaces.com/mule-deer-hunt-velvet-mule-deer/</v>
      </c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5" t="str">
        <f>IFERROR(__xludf.DUMMYFUNCTION("""COMPUTED_VALUE"""),"ms deer season")</f>
        <v>ms deer season</v>
      </c>
      <c r="B468" s="15" t="str">
        <f>IFERROR(__xludf.DUMMYFUNCTION("""COMPUTED_VALUE"""),"880")</f>
        <v>880</v>
      </c>
      <c r="C468" s="15" t="str">
        <f>IFERROR(__xludf.DUMMYFUNCTION("""COMPUTED_VALUE"""),"54")</f>
        <v>54</v>
      </c>
      <c r="D468" s="15" t="str">
        <f>IFERROR(__xludf.DUMMYFUNCTION("""COMPUTED_VALUE"""),"43")</f>
        <v>43</v>
      </c>
      <c r="E468" s="15" t="str">
        <f>IFERROR(__xludf.DUMMYFUNCTION("""COMPUTED_VALUE"""),"70")</f>
        <v>70</v>
      </c>
      <c r="F468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468" s="17" t="str">
        <f>IFERROR(__xludf.DUMMYFUNCTION("""COMPUTED_VALUE"""),"https://realtree.com/deer-hunting/articles/where-to-deer-hunt-in-february")</f>
        <v>https://realtree.com/deer-hunting/articles/where-to-deer-hunt-in-february</v>
      </c>
      <c r="H468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5" t="str">
        <f>IFERROR(__xludf.DUMMYFUNCTION("""COMPUTED_VALUE"""),"deer movement times today")</f>
        <v>deer movement times today</v>
      </c>
      <c r="B469" s="15" t="str">
        <f>IFERROR(__xludf.DUMMYFUNCTION("""COMPUTED_VALUE"""),"720")</f>
        <v>720</v>
      </c>
      <c r="C469" s="15" t="str">
        <f>IFERROR(__xludf.DUMMYFUNCTION("""COMPUTED_VALUE"""),"54")</f>
        <v>54</v>
      </c>
      <c r="D469" s="15" t="str">
        <f>IFERROR(__xludf.DUMMYFUNCTION("""COMPUTED_VALUE"""),"14")</f>
        <v>14</v>
      </c>
      <c r="E469" s="15" t="str">
        <f>IFERROR(__xludf.DUMMYFUNCTION("""COMPUTED_VALUE"""),"17")</f>
        <v>17</v>
      </c>
      <c r="F469" s="17" t="str">
        <f>IFERROR(__xludf.DUMMYFUNCTION("""COMPUTED_VALUE"""),"https://www.themeateater.com/wired-to-hunt/whitetail-hunting/the-debate-about-lunar-effects-on-whitetails")</f>
        <v>https://www.themeateater.com/wired-to-hunt/whitetail-hunting/the-debate-about-lunar-effects-on-whitetails</v>
      </c>
      <c r="G469" s="17" t="str">
        <f>IFERROR(__xludf.DUMMYFUNCTION("""COMPUTED_VALUE"""),"https://realtree.com/deer-hunting/articles/10-best-times-to-deer-hunt")</f>
        <v>https://realtree.com/deer-hunting/articles/10-best-times-to-deer-hunt</v>
      </c>
      <c r="H469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5" t="str">
        <f>IFERROR(__xludf.DUMMYFUNCTION("""COMPUTED_VALUE"""),"dead deer get well soon")</f>
        <v>dead deer get well soon</v>
      </c>
      <c r="B470" s="15" t="str">
        <f>IFERROR(__xludf.DUMMYFUNCTION("""COMPUTED_VALUE"""),"590")</f>
        <v>590</v>
      </c>
      <c r="C470" s="15" t="str">
        <f>IFERROR(__xludf.DUMMYFUNCTION("""COMPUTED_VALUE"""),"54")</f>
        <v>54</v>
      </c>
      <c r="D470" s="15" t="str">
        <f>IFERROR(__xludf.DUMMYFUNCTION("""COMPUTED_VALUE"""),"72")</f>
        <v>72</v>
      </c>
      <c r="E470" s="15" t="str">
        <f>IFERROR(__xludf.DUMMYFUNCTION("""COMPUTED_VALUE"""),"Not ranking")</f>
        <v>Not ranking</v>
      </c>
      <c r="F470" s="17" t="str">
        <f>IFERROR(__xludf.DUMMYFUNCTION("""COMPUTED_VALUE"""),"https://www.themeateater.com/cook/butchering-and-processing/do-you-need-to-bleed-deer")</f>
        <v>https://www.themeateater.com/cook/butchering-and-processing/do-you-need-to-bleed-deer</v>
      </c>
      <c r="G470" s="17" t="str">
        <f>IFERROR(__xludf.DUMMYFUNCTION("""COMPUTED_VALUE"""),"https://realtree.com/brow-tines-and-backstrap/just-how-bad-has-winter-kill-been-on-deer-this-year")</f>
        <v>https://realtree.com/brow-tines-and-backstrap/just-how-bad-has-winter-kill-been-on-deer-this-year</v>
      </c>
      <c r="H470" s="18" t="str">
        <f>IFERROR(__xludf.DUMMYFUNCTION("""COMPUTED_VALUE"""),"Not ranking")</f>
        <v>Not ranking</v>
      </c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5" t="str">
        <f>IFERROR(__xludf.DUMMYFUNCTION("""COMPUTED_VALUE"""),"deer stock")</f>
        <v>deer stock</v>
      </c>
      <c r="B471" s="15" t="str">
        <f>IFERROR(__xludf.DUMMYFUNCTION("""COMPUTED_VALUE"""),"590")</f>
        <v>590</v>
      </c>
      <c r="C471" s="15" t="str">
        <f>IFERROR(__xludf.DUMMYFUNCTION("""COMPUTED_VALUE"""),"54")</f>
        <v>54</v>
      </c>
      <c r="D471" s="15" t="str">
        <f>IFERROR(__xludf.DUMMYFUNCTION("""COMPUTED_VALUE"""),"Not ranking")</f>
        <v>Not ranking</v>
      </c>
      <c r="E471" s="15" t="str">
        <f>IFERROR(__xludf.DUMMYFUNCTION("""COMPUTED_VALUE"""),"Not ranking")</f>
        <v>Not ranking</v>
      </c>
      <c r="F471" s="17" t="str">
        <f>IFERROR(__xludf.DUMMYFUNCTION("""COMPUTED_VALUE"""),"https://www.themeateater.com/cook/recipes/how-to-make-wild-game-stock")</f>
        <v>https://www.themeateater.com/cook/recipes/how-to-make-wild-game-stock</v>
      </c>
      <c r="G471" s="18" t="str">
        <f>IFERROR(__xludf.DUMMYFUNCTION("""COMPUTED_VALUE"""),"Not ranking")</f>
        <v>Not ranking</v>
      </c>
      <c r="H471" s="18" t="str">
        <f>IFERROR(__xludf.DUMMYFUNCTION("""COMPUTED_VALUE"""),"Not ranking")</f>
        <v>Not ranking</v>
      </c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5" t="str">
        <f>IFERROR(__xludf.DUMMYFUNCTION("""COMPUTED_VALUE"""),"homemade deer stand")</f>
        <v>homemade deer stand</v>
      </c>
      <c r="B472" s="15" t="str">
        <f>IFERROR(__xludf.DUMMYFUNCTION("""COMPUTED_VALUE"""),"590")</f>
        <v>590</v>
      </c>
      <c r="C472" s="15" t="str">
        <f>IFERROR(__xludf.DUMMYFUNCTION("""COMPUTED_VALUE"""),"54")</f>
        <v>54</v>
      </c>
      <c r="D472" s="15" t="str">
        <f>IFERROR(__xludf.DUMMYFUNCTION("""COMPUTED_VALUE"""),"Not ranking")</f>
        <v>Not ranking</v>
      </c>
      <c r="E472" s="15" t="str">
        <f>IFERROR(__xludf.DUMMYFUNCTION("""COMPUTED_VALUE"""),"27")</f>
        <v>27</v>
      </c>
      <c r="F472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472" s="18" t="str">
        <f>IFERROR(__xludf.DUMMYFUNCTION("""COMPUTED_VALUE"""),"Not ranking")</f>
        <v>Not ranking</v>
      </c>
      <c r="H472" s="17" t="str">
        <f>IFERROR(__xludf.DUMMYFUNCTION("""COMPUTED_VALUE"""),"https://www.wideopenspaces.com/8-homemade-hunting-blinds-pics/")</f>
        <v>https://www.wideopenspaces.com/8-homemade-hunting-blinds-pics/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5" t="str">
        <f>IFERROR(__xludf.DUMMYFUNCTION("""COMPUTED_VALUE"""),"skinwalker deer")</f>
        <v>skinwalker deer</v>
      </c>
      <c r="B473" s="15" t="str">
        <f>IFERROR(__xludf.DUMMYFUNCTION("""COMPUTED_VALUE"""),"3600")</f>
        <v>3600</v>
      </c>
      <c r="C473" s="15" t="str">
        <f>IFERROR(__xludf.DUMMYFUNCTION("""COMPUTED_VALUE"""),"55")</f>
        <v>55</v>
      </c>
      <c r="D473" s="15" t="str">
        <f>IFERROR(__xludf.DUMMYFUNCTION("""COMPUTED_VALUE"""),"Not ranking")</f>
        <v>Not ranking</v>
      </c>
      <c r="E473" s="15" t="str">
        <f>IFERROR(__xludf.DUMMYFUNCTION("""COMPUTED_VALUE"""),"Not ranking")</f>
        <v>Not ranking</v>
      </c>
      <c r="F473" s="17" t="str">
        <f>IFERROR(__xludf.DUMMYFUNCTION("""COMPUTED_VALUE"""),"https://www.themeateater.com/hunt/whitetail-deer/video-zombie-deer-with-unbelievable-wound-caught-on-trail-camera")</f>
        <v>https://www.themeateater.com/hunt/whitetail-deer/video-zombie-deer-with-unbelievable-wound-caught-on-trail-camera</v>
      </c>
      <c r="G473" s="18" t="str">
        <f>IFERROR(__xludf.DUMMYFUNCTION("""COMPUTED_VALUE"""),"Not ranking")</f>
        <v>Not ranking</v>
      </c>
      <c r="H473" s="18" t="str">
        <f>IFERROR(__xludf.DUMMYFUNCTION("""COMPUTED_VALUE"""),"Not ranking")</f>
        <v>Not ranking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5" t="str">
        <f>IFERROR(__xludf.DUMMYFUNCTION("""COMPUTED_VALUE"""),"ground deer meat recipes")</f>
        <v>ground deer meat recipes</v>
      </c>
      <c r="B474" s="15" t="str">
        <f>IFERROR(__xludf.DUMMYFUNCTION("""COMPUTED_VALUE"""),"2400")</f>
        <v>2400</v>
      </c>
      <c r="C474" s="15" t="str">
        <f>IFERROR(__xludf.DUMMYFUNCTION("""COMPUTED_VALUE"""),"55")</f>
        <v>55</v>
      </c>
      <c r="D474" s="15" t="str">
        <f>IFERROR(__xludf.DUMMYFUNCTION("""COMPUTED_VALUE"""),"47")</f>
        <v>47</v>
      </c>
      <c r="E474" s="15" t="str">
        <f>IFERROR(__xludf.DUMMYFUNCTION("""COMPUTED_VALUE"""),"Not ranking")</f>
        <v>Not ranking</v>
      </c>
      <c r="F474" s="17" t="str">
        <f>IFERROR(__xludf.DUMMYFUNCTION("""COMPUTED_VALUE"""),"https://www.themeateater.com/recipes/cuts/ground")</f>
        <v>https://www.themeateater.com/recipes/cuts/ground</v>
      </c>
      <c r="G474" s="17" t="str">
        <f>IFERROR(__xludf.DUMMYFUNCTION("""COMPUTED_VALUE"""),"https://realtree.com/timber-2-table-wild-game-recipes/ground-venison-and-rice-bake")</f>
        <v>https://realtree.com/timber-2-table-wild-game-recipes/ground-venison-and-rice-bake</v>
      </c>
      <c r="H474" s="18" t="str">
        <f>IFERROR(__xludf.DUMMYFUNCTION("""COMPUTED_VALUE"""),"Not ranking")</f>
        <v>Not ranking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5" t="str">
        <f>IFERROR(__xludf.DUMMYFUNCTION("""COMPUTED_VALUE"""),"deer burger recipe")</f>
        <v>deer burger recipe</v>
      </c>
      <c r="B475" s="15" t="str">
        <f>IFERROR(__xludf.DUMMYFUNCTION("""COMPUTED_VALUE"""),"1000")</f>
        <v>1000</v>
      </c>
      <c r="C475" s="15" t="str">
        <f>IFERROR(__xludf.DUMMYFUNCTION("""COMPUTED_VALUE"""),"55")</f>
        <v>55</v>
      </c>
      <c r="D475" s="15" t="str">
        <f>IFERROR(__xludf.DUMMYFUNCTION("""COMPUTED_VALUE"""),"Not ranking")</f>
        <v>Not ranking</v>
      </c>
      <c r="E475" s="15" t="str">
        <f>IFERROR(__xludf.DUMMYFUNCTION("""COMPUTED_VALUE"""),"35")</f>
        <v>35</v>
      </c>
      <c r="F475" s="17" t="str">
        <f>IFERROR(__xludf.DUMMYFUNCTION("""COMPUTED_VALUE"""),"https://www.themeateater.com/cook/recipes/copycat-white-castle-venison-burgers")</f>
        <v>https://www.themeateater.com/cook/recipes/copycat-white-castle-venison-burgers</v>
      </c>
      <c r="G475" s="18" t="str">
        <f>IFERROR(__xludf.DUMMYFUNCTION("""COMPUTED_VALUE"""),"Not ranking")</f>
        <v>Not ranking</v>
      </c>
      <c r="H475" s="17" t="str">
        <f>IFERROR(__xludf.DUMMYFUNCTION("""COMPUTED_VALUE"""),"https://www.wideopenspaces.com/axis-venison-burgers/")</f>
        <v>https://www.wideopenspaces.com/axis-venison-burgers/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5" t="str">
        <f>IFERROR(__xludf.DUMMYFUNCTION("""COMPUTED_VALUE"""),"michigan deer hunting")</f>
        <v>michigan deer hunting</v>
      </c>
      <c r="B476" s="15" t="str">
        <f>IFERROR(__xludf.DUMMYFUNCTION("""COMPUTED_VALUE"""),"880")</f>
        <v>880</v>
      </c>
      <c r="C476" s="15" t="str">
        <f>IFERROR(__xludf.DUMMYFUNCTION("""COMPUTED_VALUE"""),"55")</f>
        <v>55</v>
      </c>
      <c r="D476" s="15" t="str">
        <f>IFERROR(__xludf.DUMMYFUNCTION("""COMPUTED_VALUE"""),"Not ranking")</f>
        <v>Not ranking</v>
      </c>
      <c r="E476" s="15" t="str">
        <f>IFERROR(__xludf.DUMMYFUNCTION("""COMPUTED_VALUE"""),"96")</f>
        <v>96</v>
      </c>
      <c r="F476" s="17" t="str">
        <f>IFERROR(__xludf.DUMMYFUNCTION("""COMPUTED_VALUE"""),"https://www.themeateater.com/listen/wired-to-hunt/ep-341-planning-a-once-in-a-lifetime-michigan-deer-hunt-with-dan-johnson")</f>
        <v>https://www.themeateater.com/listen/wired-to-hunt/ep-341-planning-a-once-in-a-lifetime-michigan-deer-hunt-with-dan-johnson</v>
      </c>
      <c r="G476" s="18" t="str">
        <f>IFERROR(__xludf.DUMMYFUNCTION("""COMPUTED_VALUE"""),"Not ranking")</f>
        <v>Not ranking</v>
      </c>
      <c r="H476" s="17" t="str">
        <f>IFERROR(__xludf.DUMMYFUNCTION("""COMPUTED_VALUE"""),"https://www.wideopenspaces.com/an-outsiders-look-at-michigan-deer-hunting/")</f>
        <v>https://www.wideopenspaces.com/an-outsiders-look-at-michigan-deer-hunting/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5" t="str">
        <f>IFERROR(__xludf.DUMMYFUNCTION("""COMPUTED_VALUE"""),"food for deer")</f>
        <v>food for deer</v>
      </c>
      <c r="B477" s="15" t="str">
        <f>IFERROR(__xludf.DUMMYFUNCTION("""COMPUTED_VALUE"""),"720")</f>
        <v>720</v>
      </c>
      <c r="C477" s="15" t="str">
        <f>IFERROR(__xludf.DUMMYFUNCTION("""COMPUTED_VALUE"""),"55")</f>
        <v>55</v>
      </c>
      <c r="D477" s="15" t="str">
        <f>IFERROR(__xludf.DUMMYFUNCTION("""COMPUTED_VALUE"""),"Not ranking")</f>
        <v>Not ranking</v>
      </c>
      <c r="E477" s="15" t="str">
        <f>IFERROR(__xludf.DUMMYFUNCTION("""COMPUTED_VALUE"""),"Not ranking")</f>
        <v>Not ranking</v>
      </c>
      <c r="F477" s="17" t="str">
        <f>IFERROR(__xludf.DUMMYFUNCTION("""COMPUTED_VALUE"""),"https://www.themeateater.com/wired-to-hunt/whitetail-scouting/best-food-sources-to-deer-hunt-in-october")</f>
        <v>https://www.themeateater.com/wired-to-hunt/whitetail-scouting/best-food-sources-to-deer-hunt-in-october</v>
      </c>
      <c r="G477" s="18" t="str">
        <f>IFERROR(__xludf.DUMMYFUNCTION("""COMPUTED_VALUE"""),"Not ranking")</f>
        <v>Not ranking</v>
      </c>
      <c r="H477" s="18" t="str">
        <f>IFERROR(__xludf.DUMMYFUNCTION("""COMPUTED_VALUE"""),"Not ranking")</f>
        <v>Not ranking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5" t="str">
        <f>IFERROR(__xludf.DUMMYFUNCTION("""COMPUTED_VALUE"""),"buck deer pictures")</f>
        <v>buck deer pictures</v>
      </c>
      <c r="B478" s="15" t="str">
        <f>IFERROR(__xludf.DUMMYFUNCTION("""COMPUTED_VALUE"""),"590")</f>
        <v>590</v>
      </c>
      <c r="C478" s="15" t="str">
        <f>IFERROR(__xludf.DUMMYFUNCTION("""COMPUTED_VALUE"""),"55")</f>
        <v>55</v>
      </c>
      <c r="D478" s="15" t="str">
        <f>IFERROR(__xludf.DUMMYFUNCTION("""COMPUTED_VALUE"""),"Not ranking")</f>
        <v>Not ranking</v>
      </c>
      <c r="E478" s="15" t="str">
        <f>IFERROR(__xludf.DUMMYFUNCTION("""COMPUTED_VALUE"""),"56")</f>
        <v>56</v>
      </c>
      <c r="F478" s="17" t="str">
        <f>IFERROR(__xludf.DUMMYFUNCTION("""COMPUTED_VALUE"""),"https://www.themeateater.com/hunt/whitetail-deer/photos-this-buck-might-crush-the-indiana-state-record")</f>
        <v>https://www.themeateater.com/hunt/whitetail-deer/photos-this-buck-might-crush-the-indiana-state-record</v>
      </c>
      <c r="G478" s="18" t="str">
        <f>IFERROR(__xludf.DUMMYFUNCTION("""COMPUTED_VALUE"""),"Not ranking")</f>
        <v>Not ranking</v>
      </c>
      <c r="H478" s="17" t="str">
        <f>IFERROR(__xludf.DUMMYFUNCTION("""COMPUTED_VALUE"""),"https://www.wideopenspaces.com/8-ways-take-bad-photo-trophy-buck-pics/")</f>
        <v>https://www.wideopenspaces.com/8-ways-take-bad-photo-trophy-buck-pics/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5" t="str">
        <f>IFERROR(__xludf.DUMMYFUNCTION("""COMPUTED_VALUE"""),"european deer mount")</f>
        <v>european deer mount</v>
      </c>
      <c r="B479" s="15" t="str">
        <f>IFERROR(__xludf.DUMMYFUNCTION("""COMPUTED_VALUE"""),"5400")</f>
        <v>5400</v>
      </c>
      <c r="C479" s="15" t="str">
        <f>IFERROR(__xludf.DUMMYFUNCTION("""COMPUTED_VALUE"""),"56")</f>
        <v>56</v>
      </c>
      <c r="D479" s="15" t="str">
        <f>IFERROR(__xludf.DUMMYFUNCTION("""COMPUTED_VALUE"""),"Not ranking")</f>
        <v>Not ranking</v>
      </c>
      <c r="E479" s="15" t="str">
        <f>IFERROR(__xludf.DUMMYFUNCTION("""COMPUTED_VALUE"""),"30")</f>
        <v>30</v>
      </c>
      <c r="F479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479" s="18" t="str">
        <f>IFERROR(__xludf.DUMMYFUNCTION("""COMPUTED_VALUE"""),"Not ranking")</f>
        <v>Not ranking</v>
      </c>
      <c r="H479" s="17" t="str">
        <f>IFERROR(__xludf.DUMMYFUNCTION("""COMPUTED_VALUE"""),"https://www.wideopenspaces.com/european-skull-mount/")</f>
        <v>https://www.wideopenspaces.com/european-skull-mount/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5" t="str">
        <f>IFERROR(__xludf.DUMMYFUNCTION("""COMPUTED_VALUE"""),"deer call")</f>
        <v>deer call</v>
      </c>
      <c r="B480" s="15" t="str">
        <f>IFERROR(__xludf.DUMMYFUNCTION("""COMPUTED_VALUE"""),"4400")</f>
        <v>4400</v>
      </c>
      <c r="C480" s="15" t="str">
        <f>IFERROR(__xludf.DUMMYFUNCTION("""COMPUTED_VALUE"""),"56")</f>
        <v>56</v>
      </c>
      <c r="D480" s="15" t="str">
        <f>IFERROR(__xludf.DUMMYFUNCTION("""COMPUTED_VALUE"""),"46")</f>
        <v>46</v>
      </c>
      <c r="E480" s="15" t="str">
        <f>IFERROR(__xludf.DUMMYFUNCTION("""COMPUTED_VALUE"""),"Not ranking")</f>
        <v>Not ranking</v>
      </c>
      <c r="F480" s="17" t="str">
        <f>IFERROR(__xludf.DUMMYFUNCTION("""COMPUTED_VALUE"""),"https://www.themeateater.com/wired-to-hunt/whitetail-hunting/how-to-call-in-bucks-during-each-phase-of-the-season")</f>
        <v>https://www.themeateater.com/wired-to-hunt/whitetail-hunting/how-to-call-in-bucks-during-each-phase-of-the-season</v>
      </c>
      <c r="G480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480" s="18" t="str">
        <f>IFERROR(__xludf.DUMMYFUNCTION("""COMPUTED_VALUE"""),"Not ranking")</f>
        <v>Not ranking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5" t="str">
        <f>IFERROR(__xludf.DUMMYFUNCTION("""COMPUTED_VALUE"""),"deer camera")</f>
        <v>deer camera</v>
      </c>
      <c r="B481" s="15" t="str">
        <f>IFERROR(__xludf.DUMMYFUNCTION("""COMPUTED_VALUE"""),"4400")</f>
        <v>4400</v>
      </c>
      <c r="C481" s="15" t="str">
        <f>IFERROR(__xludf.DUMMYFUNCTION("""COMPUTED_VALUE"""),"56")</f>
        <v>56</v>
      </c>
      <c r="D481" s="15" t="str">
        <f>IFERROR(__xludf.DUMMYFUNCTION("""COMPUTED_VALUE"""),"23")</f>
        <v>23</v>
      </c>
      <c r="E481" s="15" t="str">
        <f>IFERROR(__xludf.DUMMYFUNCTION("""COMPUTED_VALUE"""),"54")</f>
        <v>54</v>
      </c>
      <c r="F481" s="17" t="str">
        <f>IFERROR(__xludf.DUMMYFUNCTION("""COMPUTED_VALUE"""),"https://www.themeateater.com/wired-to-hunt/whitetail-scouting/youre-using-trail-camera-photos-wrong")</f>
        <v>https://www.themeateater.com/wired-to-hunt/whitetail-scouting/youre-using-trail-camera-photos-wrong</v>
      </c>
      <c r="G481" s="17" t="str">
        <f>IFERROR(__xludf.DUMMYFUNCTION("""COMPUTED_VALUE"""),"https://realtree.com/brow-tines-and-backstrap/how-to-use-a-trail-camera")</f>
        <v>https://realtree.com/brow-tines-and-backstrap/how-to-use-a-trail-camera</v>
      </c>
      <c r="H481" s="17" t="str">
        <f>IFERROR(__xludf.DUMMYFUNCTION("""COMPUTED_VALUE"""),"https://www.wideopenspaces.com/11-trail-cameras-tested-quality-distance-trigger-speed/")</f>
        <v>https://www.wideopenspaces.com/11-trail-cameras-tested-quality-distance-trigger-speed/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5" t="str">
        <f>IFERROR(__xludf.DUMMYFUNCTION("""COMPUTED_VALUE"""),"doh deer")</f>
        <v>doh deer</v>
      </c>
      <c r="B482" s="15" t="str">
        <f>IFERROR(__xludf.DUMMYFUNCTION("""COMPUTED_VALUE"""),"1300")</f>
        <v>1300</v>
      </c>
      <c r="C482" s="15" t="str">
        <f>IFERROR(__xludf.DUMMYFUNCTION("""COMPUTED_VALUE"""),"56")</f>
        <v>56</v>
      </c>
      <c r="D482" s="15" t="str">
        <f>IFERROR(__xludf.DUMMYFUNCTION("""COMPUTED_VALUE"""),"Not ranking")</f>
        <v>Not ranking</v>
      </c>
      <c r="E482" s="15" t="str">
        <f>IFERROR(__xludf.DUMMYFUNCTION("""COMPUTED_VALUE"""),"Not ranking")</f>
        <v>Not ranking</v>
      </c>
      <c r="F482" s="17" t="str">
        <f>IFERROR(__xludf.DUMMYFUNCTION("""COMPUTED_VALUE"""),"https://www.themeateater.com/wired-to-hunt/whitetail-scouting/where-do-deer-sleep")</f>
        <v>https://www.themeateater.com/wired-to-hunt/whitetail-scouting/where-do-deer-sleep</v>
      </c>
      <c r="G482" s="18" t="str">
        <f>IFERROR(__xludf.DUMMYFUNCTION("""COMPUTED_VALUE"""),"Not ranking")</f>
        <v>Not ranking</v>
      </c>
      <c r="H482" s="18" t="str">
        <f>IFERROR(__xludf.DUMMYFUNCTION("""COMPUTED_VALUE"""),"Not ranking")</f>
        <v>Not ranking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5" t="str">
        <f>IFERROR(__xludf.DUMMYFUNCTION("""COMPUTED_VALUE"""),"arizona deer")</f>
        <v>arizona deer</v>
      </c>
      <c r="B483" s="15" t="str">
        <f>IFERROR(__xludf.DUMMYFUNCTION("""COMPUTED_VALUE"""),"590")</f>
        <v>590</v>
      </c>
      <c r="C483" s="15" t="str">
        <f>IFERROR(__xludf.DUMMYFUNCTION("""COMPUTED_VALUE"""),"56")</f>
        <v>56</v>
      </c>
      <c r="D483" s="15" t="str">
        <f>IFERROR(__xludf.DUMMYFUNCTION("""COMPUTED_VALUE"""),"Not ranking")</f>
        <v>Not ranking</v>
      </c>
      <c r="E483" s="15" t="str">
        <f>IFERROR(__xludf.DUMMYFUNCTION("""COMPUTED_VALUE"""),"Not ranking")</f>
        <v>Not ranking</v>
      </c>
      <c r="F483" s="17" t="str">
        <f>IFERROR(__xludf.DUMMYFUNCTION("""COMPUTED_VALUE"""),"https://www.themeateater.com/watch/6174832058001/steven-rinella-tracks-coues-deer-in-arizona")</f>
        <v>https://www.themeateater.com/watch/6174832058001/steven-rinella-tracks-coues-deer-in-arizona</v>
      </c>
      <c r="G483" s="18" t="str">
        <f>IFERROR(__xludf.DUMMYFUNCTION("""COMPUTED_VALUE"""),"Not ranking")</f>
        <v>Not ranking</v>
      </c>
      <c r="H483" s="18" t="str">
        <f>IFERROR(__xludf.DUMMYFUNCTION("""COMPUTED_VALUE"""),"Not ranking")</f>
        <v>Not ranking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5" t="str">
        <f>IFERROR(__xludf.DUMMYFUNCTION("""COMPUTED_VALUE"""),"deer femur")</f>
        <v>deer femur</v>
      </c>
      <c r="B484" s="15" t="str">
        <f>IFERROR(__xludf.DUMMYFUNCTION("""COMPUTED_VALUE"""),"590")</f>
        <v>590</v>
      </c>
      <c r="C484" s="15" t="str">
        <f>IFERROR(__xludf.DUMMYFUNCTION("""COMPUTED_VALUE"""),"56")</f>
        <v>56</v>
      </c>
      <c r="D484" s="15" t="str">
        <f>IFERROR(__xludf.DUMMYFUNCTION("""COMPUTED_VALUE"""),"Not ranking")</f>
        <v>Not ranking</v>
      </c>
      <c r="E484" s="15" t="str">
        <f>IFERROR(__xludf.DUMMYFUNCTION("""COMPUTED_VALUE"""),"43")</f>
        <v>43</v>
      </c>
      <c r="F484" s="17" t="str">
        <f>IFERROR(__xludf.DUMMYFUNCTION("""COMPUTED_VALUE"""),"https://www.themeateater.com/cook/butchering-and-processing/video-how-to-remove-a-venison-hindquarter")</f>
        <v>https://www.themeateater.com/cook/butchering-and-processing/video-how-to-remove-a-venison-hindquarter</v>
      </c>
      <c r="G484" s="18" t="str">
        <f>IFERROR(__xludf.DUMMYFUNCTION("""COMPUTED_VALUE"""),"Not ranking")</f>
        <v>Not ranking</v>
      </c>
      <c r="H484" s="17" t="str">
        <f>IFERROR(__xludf.DUMMYFUNCTION("""COMPUTED_VALUE"""),"https://www.wideopenspaces.com/deer-bone-marrow/")</f>
        <v>https://www.wideopenspaces.com/deer-bone-marrow/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5" t="str">
        <f>IFERROR(__xludf.DUMMYFUNCTION("""COMPUTED_VALUE"""),"ticks on deer")</f>
        <v>ticks on deer</v>
      </c>
      <c r="B485" s="15" t="str">
        <f>IFERROR(__xludf.DUMMYFUNCTION("""COMPUTED_VALUE"""),"590")</f>
        <v>590</v>
      </c>
      <c r="C485" s="15" t="str">
        <f>IFERROR(__xludf.DUMMYFUNCTION("""COMPUTED_VALUE"""),"56")</f>
        <v>56</v>
      </c>
      <c r="D485" s="15" t="str">
        <f>IFERROR(__xludf.DUMMYFUNCTION("""COMPUTED_VALUE"""),"Not ranking")</f>
        <v>Not ranking</v>
      </c>
      <c r="E485" s="15" t="str">
        <f>IFERROR(__xludf.DUMMYFUNCTION("""COMPUTED_VALUE"""),"Not ranking")</f>
        <v>Not ranking</v>
      </c>
      <c r="F485" s="17" t="str">
        <f>IFERROR(__xludf.DUMMYFUNCTION("""COMPUTED_VALUE"""),"https://www.themeateater.com/conservation/wildlife-management/is-killing-more-deer-the-answer-to-reducing-tick-diseases")</f>
        <v>https://www.themeateater.com/conservation/wildlife-management/is-killing-more-deer-the-answer-to-reducing-tick-diseases</v>
      </c>
      <c r="G485" s="18" t="str">
        <f>IFERROR(__xludf.DUMMYFUNCTION("""COMPUTED_VALUE"""),"Not ranking")</f>
        <v>Not ranking</v>
      </c>
      <c r="H485" s="18" t="str">
        <f>IFERROR(__xludf.DUMMYFUNCTION("""COMPUTED_VALUE"""),"Not ranking")</f>
        <v>Not ranking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5" t="str">
        <f>IFERROR(__xludf.DUMMYFUNCTION("""COMPUTED_VALUE"""),"whitetail deer pictures")</f>
        <v>whitetail deer pictures</v>
      </c>
      <c r="B486" s="15" t="str">
        <f>IFERROR(__xludf.DUMMYFUNCTION("""COMPUTED_VALUE"""),"590")</f>
        <v>590</v>
      </c>
      <c r="C486" s="15" t="str">
        <f>IFERROR(__xludf.DUMMYFUNCTION("""COMPUTED_VALUE"""),"56")</f>
        <v>56</v>
      </c>
      <c r="D486" s="15" t="str">
        <f>IFERROR(__xludf.DUMMYFUNCTION("""COMPUTED_VALUE"""),"Not ranking")</f>
        <v>Not ranking</v>
      </c>
      <c r="E486" s="15" t="str">
        <f>IFERROR(__xludf.DUMMYFUNCTION("""COMPUTED_VALUE"""),"58")</f>
        <v>58</v>
      </c>
      <c r="F486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486" s="18" t="str">
        <f>IFERROR(__xludf.DUMMYFUNCTION("""COMPUTED_VALUE"""),"Not ranking")</f>
        <v>Not ranking</v>
      </c>
      <c r="H486" s="17" t="str">
        <f>IFERROR(__xludf.DUMMYFUNCTION("""COMPUTED_VALUE"""),"https://www.wideopenspaces.com/check-25-awesome-vintage-deer-hunting-photos-whitetailwednesday/")</f>
        <v>https://www.wideopenspaces.com/check-25-awesome-vintage-deer-hunting-photos-whitetailwednesday/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5" t="str">
        <f>IFERROR(__xludf.DUMMYFUNCTION("""COMPUTED_VALUE"""),"deer mount")</f>
        <v>deer mount</v>
      </c>
      <c r="B487" s="15" t="str">
        <f>IFERROR(__xludf.DUMMYFUNCTION("""COMPUTED_VALUE"""),"5400")</f>
        <v>5400</v>
      </c>
      <c r="C487" s="15" t="str">
        <f>IFERROR(__xludf.DUMMYFUNCTION("""COMPUTED_VALUE"""),"57")</f>
        <v>57</v>
      </c>
      <c r="D487" s="15" t="str">
        <f>IFERROR(__xludf.DUMMYFUNCTION("""COMPUTED_VALUE"""),"17")</f>
        <v>17</v>
      </c>
      <c r="E487" s="15" t="str">
        <f>IFERROR(__xludf.DUMMYFUNCTION("""COMPUTED_VALUE"""),"56")</f>
        <v>56</v>
      </c>
      <c r="F487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487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487" s="17" t="str">
        <f>IFERROR(__xludf.DUMMYFUNCTION("""COMPUTED_VALUE"""),"https://www.wideopenspaces.com/taxidermy-deer-mount-how-much/")</f>
        <v>https://www.wideopenspaces.com/taxidermy-deer-mount-how-much/</v>
      </c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5" t="str">
        <f>IFERROR(__xludf.DUMMYFUNCTION("""COMPUTED_VALUE"""),"backstrap deer")</f>
        <v>backstrap deer</v>
      </c>
      <c r="B488" s="15" t="str">
        <f>IFERROR(__xludf.DUMMYFUNCTION("""COMPUTED_VALUE"""),"4400")</f>
        <v>4400</v>
      </c>
      <c r="C488" s="15" t="str">
        <f>IFERROR(__xludf.DUMMYFUNCTION("""COMPUTED_VALUE"""),"57")</f>
        <v>57</v>
      </c>
      <c r="D488" s="15" t="str">
        <f>IFERROR(__xludf.DUMMYFUNCTION("""COMPUTED_VALUE"""),"25")</f>
        <v>25</v>
      </c>
      <c r="E488" s="15" t="str">
        <f>IFERROR(__xludf.DUMMYFUNCTION("""COMPUTED_VALUE"""),"90")</f>
        <v>90</v>
      </c>
      <c r="F488" s="17" t="str">
        <f>IFERROR(__xludf.DUMMYFUNCTION("""COMPUTED_VALUE"""),"https://www.themeateater.com/recipes/cuts/backstrap")</f>
        <v>https://www.themeateater.com/recipes/cuts/backstrap</v>
      </c>
      <c r="G488" s="17" t="str">
        <f>IFERROR(__xludf.DUMMYFUNCTION("""COMPUTED_VALUE"""),"https://realtree.com/timber-2-table-wild-game-recipes/reverse-seared-smoked-venison-backstrap")</f>
        <v>https://realtree.com/timber-2-table-wild-game-recipes/reverse-seared-smoked-venison-backstrap</v>
      </c>
      <c r="H488" s="17" t="str">
        <f>IFERROR(__xludf.DUMMYFUNCTION("""COMPUTED_VALUE"""),"https://www.wideopenspaces.com/grilled-venison-backstrap-recipe-is-a-mouthwatering-favorite/")</f>
        <v>https://www.wideopenspaces.com/grilled-venison-backstrap-recipe-is-a-mouthwatering-favorite/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5" t="str">
        <f>IFERROR(__xludf.DUMMYFUNCTION("""COMPUTED_VALUE"""),"black tailed deer")</f>
        <v>black tailed deer</v>
      </c>
      <c r="B489" s="15" t="str">
        <f>IFERROR(__xludf.DUMMYFUNCTION("""COMPUTED_VALUE"""),"4400")</f>
        <v>4400</v>
      </c>
      <c r="C489" s="15" t="str">
        <f>IFERROR(__xludf.DUMMYFUNCTION("""COMPUTED_VALUE"""),"57")</f>
        <v>57</v>
      </c>
      <c r="D489" s="15" t="str">
        <f>IFERROR(__xludf.DUMMYFUNCTION("""COMPUTED_VALUE"""),"Not ranking")</f>
        <v>Not ranking</v>
      </c>
      <c r="E489" s="15" t="str">
        <f>IFERROR(__xludf.DUMMYFUNCTION("""COMPUTED_VALUE"""),"Not ranking")</f>
        <v>Not ranking</v>
      </c>
      <c r="F489" s="17" t="str">
        <f>IFERROR(__xludf.DUMMYFUNCTION("""COMPUTED_VALUE"""),"https://www.themeateater.com/hunt/black-tailed-deer/a-guide-to-hunting-blacktail-deer")</f>
        <v>https://www.themeateater.com/hunt/black-tailed-deer/a-guide-to-hunting-blacktail-deer</v>
      </c>
      <c r="G489" s="18" t="str">
        <f>IFERROR(__xludf.DUMMYFUNCTION("""COMPUTED_VALUE"""),"Not ranking")</f>
        <v>Not ranking</v>
      </c>
      <c r="H489" s="18" t="str">
        <f>IFERROR(__xludf.DUMMYFUNCTION("""COMPUTED_VALUE"""),"Not ranking")</f>
        <v>Not ranking</v>
      </c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5" t="str">
        <f>IFERROR(__xludf.DUMMYFUNCTION("""COMPUTED_VALUE"""),"deercast")</f>
        <v>deercast</v>
      </c>
      <c r="B490" s="15" t="str">
        <f>IFERROR(__xludf.DUMMYFUNCTION("""COMPUTED_VALUE"""),"2900")</f>
        <v>2900</v>
      </c>
      <c r="C490" s="15" t="str">
        <f>IFERROR(__xludf.DUMMYFUNCTION("""COMPUTED_VALUE"""),"57")</f>
        <v>57</v>
      </c>
      <c r="D490" s="15" t="str">
        <f>IFERROR(__xludf.DUMMYFUNCTION("""COMPUTED_VALUE"""),"Not ranking")</f>
        <v>Not ranking</v>
      </c>
      <c r="E490" s="15" t="str">
        <f>IFERROR(__xludf.DUMMYFUNCTION("""COMPUTED_VALUE"""),"18")</f>
        <v>18</v>
      </c>
      <c r="F490" s="17" t="str">
        <f>IFERROR(__xludf.DUMMYFUNCTION("""COMPUTED_VALUE"""),"https://www.themeateater.com/wired-to-hunt/whitetail-hunting/how-mark-drury-predicts-buck-movement-based-on-wind")</f>
        <v>https://www.themeateater.com/wired-to-hunt/whitetail-hunting/how-mark-drury-predicts-buck-movement-based-on-wind</v>
      </c>
      <c r="G490" s="18" t="str">
        <f>IFERROR(__xludf.DUMMYFUNCTION("""COMPUTED_VALUE"""),"Not ranking")</f>
        <v>Not ranking</v>
      </c>
      <c r="H490" s="17" t="str">
        <f>IFERROR(__xludf.DUMMYFUNCTION("""COMPUTED_VALUE"""),"https://www.wideopenspaces.com/a-more-detailed-look-at-the-drury-outdoors-deercast-hunting-app/")</f>
        <v>https://www.wideopenspaces.com/a-more-detailed-look-at-the-drury-outdoors-deercast-hunting-app/</v>
      </c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5" t="str">
        <f>IFERROR(__xludf.DUMMYFUNCTION("""COMPUTED_VALUE"""),"deer stew")</f>
        <v>deer stew</v>
      </c>
      <c r="B491" s="15" t="str">
        <f>IFERROR(__xludf.DUMMYFUNCTION("""COMPUTED_VALUE"""),"1000")</f>
        <v>1000</v>
      </c>
      <c r="C491" s="15" t="str">
        <f>IFERROR(__xludf.DUMMYFUNCTION("""COMPUTED_VALUE"""),"57")</f>
        <v>57</v>
      </c>
      <c r="D491" s="15" t="str">
        <f>IFERROR(__xludf.DUMMYFUNCTION("""COMPUTED_VALUE"""),"39")</f>
        <v>39</v>
      </c>
      <c r="E491" s="15" t="str">
        <f>IFERROR(__xludf.DUMMYFUNCTION("""COMPUTED_VALUE"""),"Not ranking")</f>
        <v>Not ranking</v>
      </c>
      <c r="F491" s="17" t="str">
        <f>IFERROR(__xludf.DUMMYFUNCTION("""COMPUTED_VALUE"""),"https://www.themeateater.com/cook/recipes/guinness-venison-stew")</f>
        <v>https://www.themeateater.com/cook/recipes/guinness-venison-stew</v>
      </c>
      <c r="G491" s="17" t="str">
        <f>IFERROR(__xludf.DUMMYFUNCTION("""COMPUTED_VALUE"""),"https://realtree.com/timber-2-table-wild-game-recipes/bonnies-easy-venison-stew")</f>
        <v>https://realtree.com/timber-2-table-wild-game-recipes/bonnies-easy-venison-stew</v>
      </c>
      <c r="H491" s="18" t="str">
        <f>IFERROR(__xludf.DUMMYFUNCTION("""COMPUTED_VALUE"""),"Not ranking")</f>
        <v>Not ranking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5" t="str">
        <f>IFERROR(__xludf.DUMMYFUNCTION("""COMPUTED_VALUE"""),"deer stew recipe")</f>
        <v>deer stew recipe</v>
      </c>
      <c r="B492" s="15" t="str">
        <f>IFERROR(__xludf.DUMMYFUNCTION("""COMPUTED_VALUE"""),"880")</f>
        <v>880</v>
      </c>
      <c r="C492" s="15" t="str">
        <f>IFERROR(__xludf.DUMMYFUNCTION("""COMPUTED_VALUE"""),"57")</f>
        <v>57</v>
      </c>
      <c r="D492" s="15" t="str">
        <f>IFERROR(__xludf.DUMMYFUNCTION("""COMPUTED_VALUE"""),"79")</f>
        <v>79</v>
      </c>
      <c r="E492" s="15" t="str">
        <f>IFERROR(__xludf.DUMMYFUNCTION("""COMPUTED_VALUE"""),"Not ranking")</f>
        <v>Not ranking</v>
      </c>
      <c r="F492" s="17" t="str">
        <f>IFERROR(__xludf.DUMMYFUNCTION("""COMPUTED_VALUE"""),"https://www.themeateater.com/cook/recipes/guinness-venison-stew")</f>
        <v>https://www.themeateater.com/cook/recipes/guinness-venison-stew</v>
      </c>
      <c r="G492" s="17" t="str">
        <f>IFERROR(__xludf.DUMMYFUNCTION("""COMPUTED_VALUE"""),"https://realtree.com/timber-2-table-wild-game-recipes/muley-caldillo-mexican-style-mule-deer-stew")</f>
        <v>https://realtree.com/timber-2-table-wild-game-recipes/muley-caldillo-mexican-style-mule-deer-stew</v>
      </c>
      <c r="H492" s="18" t="str">
        <f>IFERROR(__xludf.DUMMYFUNCTION("""COMPUTED_VALUE"""),"Not ranking")</f>
        <v>Not ranking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5" t="str">
        <f>IFERROR(__xludf.DUMMYFUNCTION("""COMPUTED_VALUE"""),"how many stomachs does a deer have")</f>
        <v>how many stomachs does a deer have</v>
      </c>
      <c r="B493" s="15" t="str">
        <f>IFERROR(__xludf.DUMMYFUNCTION("""COMPUTED_VALUE"""),"720")</f>
        <v>720</v>
      </c>
      <c r="C493" s="15" t="str">
        <f>IFERROR(__xludf.DUMMYFUNCTION("""COMPUTED_VALUE"""),"57")</f>
        <v>57</v>
      </c>
      <c r="D493" s="15" t="str">
        <f>IFERROR(__xludf.DUMMYFUNCTION("""COMPUTED_VALUE"""),"Not ranking")</f>
        <v>Not ranking</v>
      </c>
      <c r="E493" s="15" t="str">
        <f>IFERROR(__xludf.DUMMYFUNCTION("""COMPUTED_VALUE"""),"Not ranking")</f>
        <v>Not ranking</v>
      </c>
      <c r="F493" s="17" t="str">
        <f>IFERROR(__xludf.DUMMYFUNCTION("""COMPUTED_VALUE"""),"https://www.themeateater.com/cook/cooking-techniques/5-organs-you-should-save-from-deer")</f>
        <v>https://www.themeateater.com/cook/cooking-techniques/5-organs-you-should-save-from-deer</v>
      </c>
      <c r="G493" s="18" t="str">
        <f>IFERROR(__xludf.DUMMYFUNCTION("""COMPUTED_VALUE"""),"Not ranking")</f>
        <v>Not ranking</v>
      </c>
      <c r="H493" s="18" t="str">
        <f>IFERROR(__xludf.DUMMYFUNCTION("""COMPUTED_VALUE"""),"Not ranking")</f>
        <v>Not ranking</v>
      </c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5" t="str">
        <f>IFERROR(__xludf.DUMMYFUNCTION("""COMPUTED_VALUE"""),"hemp rope for deer")</f>
        <v>hemp rope for deer</v>
      </c>
      <c r="B494" s="15" t="str">
        <f>IFERROR(__xludf.DUMMYFUNCTION("""COMPUTED_VALUE"""),"590")</f>
        <v>590</v>
      </c>
      <c r="C494" s="15" t="str">
        <f>IFERROR(__xludf.DUMMYFUNCTION("""COMPUTED_VALUE"""),"57")</f>
        <v>57</v>
      </c>
      <c r="D494" s="15" t="str">
        <f>IFERROR(__xludf.DUMMYFUNCTION("""COMPUTED_VALUE"""),"Not ranking")</f>
        <v>Not ranking</v>
      </c>
      <c r="E494" s="15" t="str">
        <f>IFERROR(__xludf.DUMMYFUNCTION("""COMPUTED_VALUE"""),"Not ranking")</f>
        <v>Not ranking</v>
      </c>
      <c r="F494" s="17" t="str">
        <f>IFERROR(__xludf.DUMMYFUNCTION("""COMPUTED_VALUE"""),"https://www.themeateater.com/wired-to-hunt/whitetail-management/the-most-underrated-type-of-food-plot")</f>
        <v>https://www.themeateater.com/wired-to-hunt/whitetail-management/the-most-underrated-type-of-food-plot</v>
      </c>
      <c r="G494" s="18" t="str">
        <f>IFERROR(__xludf.DUMMYFUNCTION("""COMPUTED_VALUE"""),"Not ranking")</f>
        <v>Not ranking</v>
      </c>
      <c r="H494" s="18" t="str">
        <f>IFERROR(__xludf.DUMMYFUNCTION("""COMPUTED_VALUE"""),"Not ranking")</f>
        <v>Not ranking</v>
      </c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5" t="str">
        <f>IFERROR(__xludf.DUMMYFUNCTION("""COMPUTED_VALUE"""),"deer stand")</f>
        <v>deer stand</v>
      </c>
      <c r="B495" s="15" t="str">
        <f>IFERROR(__xludf.DUMMYFUNCTION("""COMPUTED_VALUE"""),"9900")</f>
        <v>9900</v>
      </c>
      <c r="C495" s="15" t="str">
        <f>IFERROR(__xludf.DUMMYFUNCTION("""COMPUTED_VALUE"""),"58")</f>
        <v>58</v>
      </c>
      <c r="D495" s="15" t="str">
        <f>IFERROR(__xludf.DUMMYFUNCTION("""COMPUTED_VALUE"""),"37")</f>
        <v>37</v>
      </c>
      <c r="E495" s="15" t="str">
        <f>IFERROR(__xludf.DUMMYFUNCTION("""COMPUTED_VALUE"""),"Not ranking")</f>
        <v>Not ranking</v>
      </c>
      <c r="F495" s="17" t="str">
        <f>IFERROR(__xludf.DUMMYFUNCTION("""COMPUTED_VALUE"""),"https://www.themeateater.com/wired-to-hunt/whitetail-scouting/how-to-pick-the-perfect-tree-stand-location-in-summer")</f>
        <v>https://www.themeateater.com/wired-to-hunt/whitetail-scouting/how-to-pick-the-perfect-tree-stand-location-in-summer</v>
      </c>
      <c r="G495" s="17" t="str">
        <f>IFERROR(__xludf.DUMMYFUNCTION("""COMPUTED_VALUE"""),"https://realtree.com/timber-2-table-articles/the-10-best-snacks-for-the-deer-stand")</f>
        <v>https://realtree.com/timber-2-table-articles/the-10-best-snacks-for-the-deer-stand</v>
      </c>
      <c r="H495" s="18" t="str">
        <f>IFERROR(__xludf.DUMMYFUNCTION("""COMPUTED_VALUE"""),"Not ranking")</f>
        <v>Not ranking</v>
      </c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5" t="str">
        <f>IFERROR(__xludf.DUMMYFUNCTION("""COMPUTED_VALUE"""),"melanistic deer")</f>
        <v>melanistic deer</v>
      </c>
      <c r="B496" s="15" t="str">
        <f>IFERROR(__xludf.DUMMYFUNCTION("""COMPUTED_VALUE"""),"3600")</f>
        <v>3600</v>
      </c>
      <c r="C496" s="15" t="str">
        <f>IFERROR(__xludf.DUMMYFUNCTION("""COMPUTED_VALUE"""),"58")</f>
        <v>58</v>
      </c>
      <c r="D496" s="15" t="str">
        <f>IFERROR(__xludf.DUMMYFUNCTION("""COMPUTED_VALUE"""),"5")</f>
        <v>5</v>
      </c>
      <c r="E496" s="15" t="str">
        <f>IFERROR(__xludf.DUMMYFUNCTION("""COMPUTED_VALUE"""),"4")</f>
        <v>4</v>
      </c>
      <c r="F496" s="17" t="str">
        <f>IFERROR(__xludf.DUMMYFUNCTION("""COMPUTED_VALUE"""),"https://www.themeateater.com/conservation/wildlife-management/video-texas-biologists-spot-one-in-a-million-deer")</f>
        <v>https://www.themeateater.com/conservation/wildlife-management/video-texas-biologists-spot-one-in-a-million-deer</v>
      </c>
      <c r="G496" s="17" t="str">
        <f>IFERROR(__xludf.DUMMYFUNCTION("""COMPUTED_VALUE"""),"https://realtree.com/brow-tines-and-backstrap/have-you-ever-seen-a-melanistic-whitetail")</f>
        <v>https://realtree.com/brow-tines-and-backstrap/have-you-ever-seen-a-melanistic-whitetail</v>
      </c>
      <c r="H496" s="17" t="str">
        <f>IFERROR(__xludf.DUMMYFUNCTION("""COMPUTED_VALUE"""),"https://www.wideopenspaces.com/whitetailwednesday-the-rarest-deer-color-phase-of-all-melanistic/")</f>
        <v>https://www.wideopenspaces.com/whitetailwednesday-the-rarest-deer-color-phase-of-all-melanistic/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5" t="str">
        <f>IFERROR(__xludf.DUMMYFUNCTION("""COMPUTED_VALUE"""),"fanged deer")</f>
        <v>fanged deer</v>
      </c>
      <c r="B497" s="15" t="str">
        <f>IFERROR(__xludf.DUMMYFUNCTION("""COMPUTED_VALUE"""),"2900")</f>
        <v>2900</v>
      </c>
      <c r="C497" s="15" t="str">
        <f>IFERROR(__xludf.DUMMYFUNCTION("""COMPUTED_VALUE"""),"58")</f>
        <v>58</v>
      </c>
      <c r="D497" s="15" t="str">
        <f>IFERROR(__xludf.DUMMYFUNCTION("""COMPUTED_VALUE"""),"Not ranking")</f>
        <v>Not ranking</v>
      </c>
      <c r="E497" s="15" t="str">
        <f>IFERROR(__xludf.DUMMYFUNCTION("""COMPUTED_VALUE"""),"Not ranking")</f>
        <v>Not ranking</v>
      </c>
      <c r="F497" s="17" t="str">
        <f>IFERROR(__xludf.DUMMYFUNCTION("""COMPUTED_VALUE"""),"https://www.themeateater.com/wired-to-hunt/whitetail-management/why-some-whitetails-grow-fangs")</f>
        <v>https://www.themeateater.com/wired-to-hunt/whitetail-management/why-some-whitetails-grow-fangs</v>
      </c>
      <c r="G497" s="18" t="str">
        <f>IFERROR(__xludf.DUMMYFUNCTION("""COMPUTED_VALUE"""),"Not ranking")</f>
        <v>Not ranking</v>
      </c>
      <c r="H497" s="18" t="str">
        <f>IFERROR(__xludf.DUMMYFUNCTION("""COMPUTED_VALUE"""),"Not ranking")</f>
        <v>Not ranking</v>
      </c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5" t="str">
        <f>IFERROR(__xludf.DUMMYFUNCTION("""COMPUTED_VALUE"""),"doe a deer")</f>
        <v>doe a deer</v>
      </c>
      <c r="B498" s="15" t="str">
        <f>IFERROR(__xludf.DUMMYFUNCTION("""COMPUTED_VALUE"""),"2400")</f>
        <v>2400</v>
      </c>
      <c r="C498" s="15" t="str">
        <f>IFERROR(__xludf.DUMMYFUNCTION("""COMPUTED_VALUE"""),"58")</f>
        <v>58</v>
      </c>
      <c r="D498" s="15" t="str">
        <f>IFERROR(__xludf.DUMMYFUNCTION("""COMPUTED_VALUE"""),"40")</f>
        <v>40</v>
      </c>
      <c r="E498" s="15" t="str">
        <f>IFERROR(__xludf.DUMMYFUNCTION("""COMPUTED_VALUE"""),"80")</f>
        <v>80</v>
      </c>
      <c r="F498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498" s="17" t="str">
        <f>IFERROR(__xludf.DUMMYFUNCTION("""COMPUTED_VALUE"""),"https://realtree.com/brow-tines-and-backstrap/5-signs-a-doe-is-in-estrous")</f>
        <v>https://realtree.com/brow-tines-and-backstrap/5-signs-a-doe-is-in-estrous</v>
      </c>
      <c r="H498" s="17" t="str">
        <f>IFERROR(__xludf.DUMMYFUNCTION("""COMPUTED_VALUE"""),"https://www.wideopenspaces.com/antlered-doe/")</f>
        <v>https://www.wideopenspaces.com/antlered-doe/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5" t="str">
        <f>IFERROR(__xludf.DUMMYFUNCTION("""COMPUTED_VALUE"""),"how often do male deer grow new antlers")</f>
        <v>how often do male deer grow new antlers</v>
      </c>
      <c r="B499" s="15" t="str">
        <f>IFERROR(__xludf.DUMMYFUNCTION("""COMPUTED_VALUE"""),"1900")</f>
        <v>1900</v>
      </c>
      <c r="C499" s="15" t="str">
        <f>IFERROR(__xludf.DUMMYFUNCTION("""COMPUTED_VALUE"""),"58")</f>
        <v>58</v>
      </c>
      <c r="D499" s="15" t="str">
        <f>IFERROR(__xludf.DUMMYFUNCTION("""COMPUTED_VALUE"""),"Not ranking")</f>
        <v>Not ranking</v>
      </c>
      <c r="E499" s="15" t="str">
        <f>IFERROR(__xludf.DUMMYFUNCTION("""COMPUTED_VALUE"""),"8")</f>
        <v>8</v>
      </c>
      <c r="F499" s="17" t="str">
        <f>IFERROR(__xludf.DUMMYFUNCTION("""COMPUTED_VALUE"""),"https://www.themeateater.com/conservation/wildlife-management/why-do-female-deer-sometimes-grow-antlers")</f>
        <v>https://www.themeateater.com/conservation/wildlife-management/why-do-female-deer-sometimes-grow-antlers</v>
      </c>
      <c r="G499" s="18" t="str">
        <f>IFERROR(__xludf.DUMMYFUNCTION("""COMPUTED_VALUE"""),"Not ranking")</f>
        <v>Not ranking</v>
      </c>
      <c r="H499" s="17" t="str">
        <f>IFERROR(__xludf.DUMMYFUNCTION("""COMPUTED_VALUE"""),"https://www.wideopenspaces.com/deer-shed-antlers-pics/")</f>
        <v>https://www.wideopenspaces.com/deer-shed-antlers-pics/</v>
      </c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5" t="str">
        <f>IFERROR(__xludf.DUMMYFUNCTION("""COMPUTED_VALUE"""),"deer scat images")</f>
        <v>deer scat images</v>
      </c>
      <c r="B500" s="15" t="str">
        <f>IFERROR(__xludf.DUMMYFUNCTION("""COMPUTED_VALUE"""),"880")</f>
        <v>880</v>
      </c>
      <c r="C500" s="15" t="str">
        <f>IFERROR(__xludf.DUMMYFUNCTION("""COMPUTED_VALUE"""),"58")</f>
        <v>58</v>
      </c>
      <c r="D500" s="15" t="str">
        <f>IFERROR(__xludf.DUMMYFUNCTION("""COMPUTED_VALUE"""),"Not ranking")</f>
        <v>Not ranking</v>
      </c>
      <c r="E500" s="15" t="str">
        <f>IFERROR(__xludf.DUMMYFUNCTION("""COMPUTED_VALUE"""),"20")</f>
        <v>20</v>
      </c>
      <c r="F500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500" s="18" t="str">
        <f>IFERROR(__xludf.DUMMYFUNCTION("""COMPUTED_VALUE"""),"Not ranking")</f>
        <v>Not ranking</v>
      </c>
      <c r="H500" s="17" t="str">
        <f>IFERROR(__xludf.DUMMYFUNCTION("""COMPUTED_VALUE"""),"https://www.wideopenspaces.com/deer-poop-identification/")</f>
        <v>https://www.wideopenspaces.com/deer-poop-identification/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5" t="str">
        <f>IFERROR(__xludf.DUMMYFUNCTION("""COMPUTED_VALUE"""),"deer diagram")</f>
        <v>deer diagram</v>
      </c>
      <c r="B501" s="15" t="str">
        <f>IFERROR(__xludf.DUMMYFUNCTION("""COMPUTED_VALUE"""),"590")</f>
        <v>590</v>
      </c>
      <c r="C501" s="15" t="str">
        <f>IFERROR(__xludf.DUMMYFUNCTION("""COMPUTED_VALUE"""),"58")</f>
        <v>58</v>
      </c>
      <c r="D501" s="15" t="str">
        <f>IFERROR(__xludf.DUMMYFUNCTION("""COMPUTED_VALUE"""),"34")</f>
        <v>34</v>
      </c>
      <c r="E501" s="15" t="str">
        <f>IFERROR(__xludf.DUMMYFUNCTION("""COMPUTED_VALUE"""),"Not ranking")</f>
        <v>Not ranking</v>
      </c>
      <c r="F501" s="17" t="str">
        <f>IFERROR(__xludf.DUMMYFUNCTION("""COMPUTED_VALUE"""),"https://www.themeateater.com/hunt/whitetail-deer/how-to-gut-a-deer")</f>
        <v>https://www.themeateater.com/hunt/whitetail-deer/how-to-gut-a-deer</v>
      </c>
      <c r="G501" s="17" t="str">
        <f>IFERROR(__xludf.DUMMYFUNCTION("""COMPUTED_VALUE"""),"https://realtree.com/timber-2-table-wild-game-recipes/how-to-quarter-a-deer-in-7-steps")</f>
        <v>https://realtree.com/timber-2-table-wild-game-recipes/how-to-quarter-a-deer-in-7-steps</v>
      </c>
      <c r="H501" s="18" t="str">
        <f>IFERROR(__xludf.DUMMYFUNCTION("""COMPUTED_VALUE"""),"Not ranking")</f>
        <v>Not ranking</v>
      </c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5" t="str">
        <f>IFERROR(__xludf.DUMMYFUNCTION("""COMPUTED_VALUE"""),"deer hunter games")</f>
        <v>deer hunter games</v>
      </c>
      <c r="B502" s="15" t="str">
        <f>IFERROR(__xludf.DUMMYFUNCTION("""COMPUTED_VALUE"""),"1300")</f>
        <v>1300</v>
      </c>
      <c r="C502" s="15" t="str">
        <f>IFERROR(__xludf.DUMMYFUNCTION("""COMPUTED_VALUE"""),"59")</f>
        <v>59</v>
      </c>
      <c r="D502" s="15" t="str">
        <f>IFERROR(__xludf.DUMMYFUNCTION("""COMPUTED_VALUE"""),"Not ranking")</f>
        <v>Not ranking</v>
      </c>
      <c r="E502" s="15" t="str">
        <f>IFERROR(__xludf.DUMMYFUNCTION("""COMPUTED_VALUE"""),"81")</f>
        <v>81</v>
      </c>
      <c r="F502" s="17" t="str">
        <f>IFERROR(__xludf.DUMMYFUNCTION("""COMPUTED_VALUE"""),"https://www.themeateater.com/wired-to-hunt/whitetail-hunting/5-games-every-deer-camp-should-have")</f>
        <v>https://www.themeateater.com/wired-to-hunt/whitetail-hunting/5-games-every-deer-camp-should-have</v>
      </c>
      <c r="G502" s="18" t="str">
        <f>IFERROR(__xludf.DUMMYFUNCTION("""COMPUTED_VALUE"""),"Not ranking")</f>
        <v>Not ranking</v>
      </c>
      <c r="H502" s="17" t="str">
        <f>IFERROR(__xludf.DUMMYFUNCTION("""COMPUTED_VALUE"""),"https://www.wideopenspaces.com/5-of-the-best-hunting-video-games-ever-made/")</f>
        <v>https://www.wideopenspaces.com/5-of-the-best-hunting-video-games-ever-made/</v>
      </c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5" t="str">
        <f>IFERROR(__xludf.DUMMYFUNCTION("""COMPUTED_VALUE"""),"whitetail deer antlers")</f>
        <v>whitetail deer antlers</v>
      </c>
      <c r="B503" s="15" t="str">
        <f>IFERROR(__xludf.DUMMYFUNCTION("""COMPUTED_VALUE"""),"880")</f>
        <v>880</v>
      </c>
      <c r="C503" s="15" t="str">
        <f>IFERROR(__xludf.DUMMYFUNCTION("""COMPUTED_VALUE"""),"59")</f>
        <v>59</v>
      </c>
      <c r="D503" s="15" t="str">
        <f>IFERROR(__xludf.DUMMYFUNCTION("""COMPUTED_VALUE"""),"75")</f>
        <v>75</v>
      </c>
      <c r="E503" s="15" t="str">
        <f>IFERROR(__xludf.DUMMYFUNCTION("""COMPUTED_VALUE"""),"Not ranking")</f>
        <v>Not ranking</v>
      </c>
      <c r="F503" s="17" t="str">
        <f>IFERROR(__xludf.DUMMYFUNCTION("""COMPUTED_VALUE"""),"https://www.themeateater.com/wired-to-hunt/whitetail-hunting/photos-whitetail-antler-growth-timeline")</f>
        <v>https://www.themeateater.com/wired-to-hunt/whitetail-hunting/photos-whitetail-antler-growth-timeline</v>
      </c>
      <c r="G503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503" s="18" t="str">
        <f>IFERROR(__xludf.DUMMYFUNCTION("""COMPUTED_VALUE"""),"Not ranking")</f>
        <v>Not ranking</v>
      </c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5" t="str">
        <f>IFERROR(__xludf.DUMMYFUNCTION("""COMPUTED_VALUE"""),"best deer hunting rifles 2022")</f>
        <v>best deer hunting rifles 2022</v>
      </c>
      <c r="B504" s="15" t="str">
        <f>IFERROR(__xludf.DUMMYFUNCTION("""COMPUTED_VALUE"""),"720")</f>
        <v>720</v>
      </c>
      <c r="C504" s="15" t="str">
        <f>IFERROR(__xludf.DUMMYFUNCTION("""COMPUTED_VALUE"""),"59")</f>
        <v>59</v>
      </c>
      <c r="D504" s="15" t="str">
        <f>IFERROR(__xludf.DUMMYFUNCTION("""COMPUTED_VALUE"""),"66")</f>
        <v>66</v>
      </c>
      <c r="E504" s="15" t="str">
        <f>IFERROR(__xludf.DUMMYFUNCTION("""COMPUTED_VALUE"""),"28")</f>
        <v>28</v>
      </c>
      <c r="F504" s="17" t="str">
        <f>IFERROR(__xludf.DUMMYFUNCTION("""COMPUTED_VALUE"""),"https://www.themeateater.com/hunt/firearm-hunting/the-best-rifle-calibers-for-youth-hunters")</f>
        <v>https://www.themeateater.com/hunt/firearm-hunting/the-best-rifle-calibers-for-youth-hunters</v>
      </c>
      <c r="G504" s="17" t="str">
        <f>IFERROR(__xludf.DUMMYFUNCTION("""COMPUTED_VALUE"""),"https://realtree.com/big-game-hunting/articles/picking-the-best-rifle-and-caliber-for-pig-hunting")</f>
        <v>https://realtree.com/big-game-hunting/articles/picking-the-best-rifle-and-caliber-for-pig-hunting</v>
      </c>
      <c r="H504" s="17" t="str">
        <f>IFERROR(__xludf.DUMMYFUNCTION("""COMPUTED_VALUE"""),"https://www.wideopenspaces.com/5-awesome-deer-rifles-500/")</f>
        <v>https://www.wideopenspaces.com/5-awesome-deer-rifles-500/</v>
      </c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5" t="str">
        <f>IFERROR(__xludf.DUMMYFUNCTION("""COMPUTED_VALUE"""),"deer mounting ideas")</f>
        <v>deer mounting ideas</v>
      </c>
      <c r="B505" s="15" t="str">
        <f>IFERROR(__xludf.DUMMYFUNCTION("""COMPUTED_VALUE"""),"720")</f>
        <v>720</v>
      </c>
      <c r="C505" s="15" t="str">
        <f>IFERROR(__xludf.DUMMYFUNCTION("""COMPUTED_VALUE"""),"59")</f>
        <v>59</v>
      </c>
      <c r="D505" s="15" t="str">
        <f>IFERROR(__xludf.DUMMYFUNCTION("""COMPUTED_VALUE"""),"28")</f>
        <v>28</v>
      </c>
      <c r="E505" s="15" t="str">
        <f>IFERROR(__xludf.DUMMYFUNCTION("""COMPUTED_VALUE"""),"4")</f>
        <v>4</v>
      </c>
      <c r="F505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505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505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5" t="str">
        <f>IFERROR(__xludf.DUMMYFUNCTION("""COMPUTED_VALUE"""),"how to clean a deer skull")</f>
        <v>how to clean a deer skull</v>
      </c>
      <c r="B506" s="15" t="str">
        <f>IFERROR(__xludf.DUMMYFUNCTION("""COMPUTED_VALUE"""),"720")</f>
        <v>720</v>
      </c>
      <c r="C506" s="15" t="str">
        <f>IFERROR(__xludf.DUMMYFUNCTION("""COMPUTED_VALUE"""),"59")</f>
        <v>59</v>
      </c>
      <c r="D506" s="15" t="str">
        <f>IFERROR(__xludf.DUMMYFUNCTION("""COMPUTED_VALUE"""),"Not ranking")</f>
        <v>Not ranking</v>
      </c>
      <c r="E506" s="15" t="str">
        <f>IFERROR(__xludf.DUMMYFUNCTION("""COMPUTED_VALUE"""),"10")</f>
        <v>10</v>
      </c>
      <c r="F506" s="17" t="str">
        <f>IFERROR(__xludf.DUMMYFUNCTION("""COMPUTED_VALUE"""),"https://www.themeateater.com/hunt/general/ask-meateater-how-do-you-make-a-skull-mount")</f>
        <v>https://www.themeateater.com/hunt/general/ask-meateater-how-do-you-make-a-skull-mount</v>
      </c>
      <c r="G506" s="18" t="str">
        <f>IFERROR(__xludf.DUMMYFUNCTION("""COMPUTED_VALUE"""),"Not ranking")</f>
        <v>Not ranking</v>
      </c>
      <c r="H506" s="17" t="str">
        <f>IFERROR(__xludf.DUMMYFUNCTION("""COMPUTED_VALUE"""),"https://www.wideopenspaces.com/how-to-clean-a-deer-skull/")</f>
        <v>https://www.wideopenspaces.com/how-to-clean-a-deer-skull/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5" t="str">
        <f>IFERROR(__xludf.DUMMYFUNCTION("""COMPUTED_VALUE"""),"deer hunting videos")</f>
        <v>deer hunting videos</v>
      </c>
      <c r="B507" s="15" t="str">
        <f>IFERROR(__xludf.DUMMYFUNCTION("""COMPUTED_VALUE"""),"2900")</f>
        <v>2900</v>
      </c>
      <c r="C507" s="15" t="str">
        <f>IFERROR(__xludf.DUMMYFUNCTION("""COMPUTED_VALUE"""),"60")</f>
        <v>60</v>
      </c>
      <c r="D507" s="15" t="str">
        <f>IFERROR(__xludf.DUMMYFUNCTION("""COMPUTED_VALUE"""),"70")</f>
        <v>70</v>
      </c>
      <c r="E507" s="15" t="str">
        <f>IFERROR(__xludf.DUMMYFUNCTION("""COMPUTED_VALUE"""),"50")</f>
        <v>50</v>
      </c>
      <c r="F507" s="17" t="str">
        <f>IFERROR(__xludf.DUMMYFUNCTION("""COMPUTED_VALUE"""),"https://www.themeateater.com/watch/6303966877001/ozark-whitetail-bowhunting")</f>
        <v>https://www.themeateater.com/watch/6303966877001/ozark-whitetail-bowhunting</v>
      </c>
      <c r="G507" s="17" t="str">
        <f>IFERROR(__xludf.DUMMYFUNCTION("""COMPUTED_VALUE"""),"https://realtree.com/deer-hunting/articles/deer-hunting-the-late-season")</f>
        <v>https://realtree.com/deer-hunting/articles/deer-hunting-the-late-season</v>
      </c>
      <c r="H507" s="17" t="str">
        <f>IFERROR(__xludf.DUMMYFUNCTION("""COMPUTED_VALUE"""),"https://www.wideopenspaces.com/10-deer-hunting-videos-get-primed-season-opener/")</f>
        <v>https://www.wideopenspaces.com/10-deer-hunting-videos-get-primed-season-opener/</v>
      </c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5" t="str">
        <f>IFERROR(__xludf.DUMMYFUNCTION("""COMPUTED_VALUE"""),"deer burger")</f>
        <v>deer burger</v>
      </c>
      <c r="B508" s="15" t="str">
        <f>IFERROR(__xludf.DUMMYFUNCTION("""COMPUTED_VALUE"""),"880")</f>
        <v>880</v>
      </c>
      <c r="C508" s="15" t="str">
        <f>IFERROR(__xludf.DUMMYFUNCTION("""COMPUTED_VALUE"""),"60")</f>
        <v>60</v>
      </c>
      <c r="D508" s="15" t="str">
        <f>IFERROR(__xludf.DUMMYFUNCTION("""COMPUTED_VALUE"""),"37")</f>
        <v>37</v>
      </c>
      <c r="E508" s="15" t="str">
        <f>IFERROR(__xludf.DUMMYFUNCTION("""COMPUTED_VALUE"""),"51")</f>
        <v>51</v>
      </c>
      <c r="F508" s="17" t="str">
        <f>IFERROR(__xludf.DUMMYFUNCTION("""COMPUTED_VALUE"""),"https://www.themeateater.com/cook/recipes/venison-smashburger-recipe")</f>
        <v>https://www.themeateater.com/cook/recipes/venison-smashburger-recipe</v>
      </c>
      <c r="G508" s="17" t="str">
        <f>IFERROR(__xludf.DUMMYFUNCTION("""COMPUTED_VALUE"""),"https://realtree.com/timber-2-table-wild-game-recipes/stuffed-venison-burgers")</f>
        <v>https://realtree.com/timber-2-table-wild-game-recipes/stuffed-venison-burgers</v>
      </c>
      <c r="H508" s="17" t="str">
        <f>IFERROR(__xludf.DUMMYFUNCTION("""COMPUTED_VALUE"""),"https://www.wideopenspaces.com/top-6-venison-burger-recipes/")</f>
        <v>https://www.wideopenspaces.com/top-6-venison-burger-recipes/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5" t="str">
        <f>IFERROR(__xludf.DUMMYFUNCTION("""COMPUTED_VALUE"""),"do deer antlers fall off")</f>
        <v>do deer antlers fall off</v>
      </c>
      <c r="B509" s="15" t="str">
        <f>IFERROR(__xludf.DUMMYFUNCTION("""COMPUTED_VALUE"""),"720")</f>
        <v>720</v>
      </c>
      <c r="C509" s="15" t="str">
        <f>IFERROR(__xludf.DUMMYFUNCTION("""COMPUTED_VALUE"""),"60")</f>
        <v>60</v>
      </c>
      <c r="D509" s="15" t="str">
        <f>IFERROR(__xludf.DUMMYFUNCTION("""COMPUTED_VALUE"""),"27")</f>
        <v>27</v>
      </c>
      <c r="E509" s="15" t="str">
        <f>IFERROR(__xludf.DUMMYFUNCTION("""COMPUTED_VALUE"""),"7")</f>
        <v>7</v>
      </c>
      <c r="F509" s="17" t="str">
        <f>IFERROR(__xludf.DUMMYFUNCTION("""COMPUTED_VALUE"""),"https://www.themeateater.com/wired-to-hunt/whitetail-management/why-midwest-whitetails-shedding-early")</f>
        <v>https://www.themeateater.com/wired-to-hunt/whitetail-management/why-midwest-whitetails-shedding-early</v>
      </c>
      <c r="G509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509" s="17" t="str">
        <f>IFERROR(__xludf.DUMMYFUNCTION("""COMPUTED_VALUE"""),"https://www.wideopenspaces.com/deer-shed-antlers-pics/")</f>
        <v>https://www.wideopenspaces.com/deer-shed-antlers-pics/</v>
      </c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5" t="str">
        <f>IFERROR(__xludf.DUMMYFUNCTION("""COMPUTED_VALUE"""),"deer poop")</f>
        <v>deer poop</v>
      </c>
      <c r="B510" s="15" t="str">
        <f>IFERROR(__xludf.DUMMYFUNCTION("""COMPUTED_VALUE"""),"14800")</f>
        <v>14800</v>
      </c>
      <c r="C510" s="15" t="str">
        <f>IFERROR(__xludf.DUMMYFUNCTION("""COMPUTED_VALUE"""),"61")</f>
        <v>61</v>
      </c>
      <c r="D510" s="15" t="str">
        <f>IFERROR(__xludf.DUMMYFUNCTION("""COMPUTED_VALUE"""),"2")</f>
        <v>2</v>
      </c>
      <c r="E510" s="15" t="str">
        <f>IFERROR(__xludf.DUMMYFUNCTION("""COMPUTED_VALUE"""),"11")</f>
        <v>11</v>
      </c>
      <c r="F510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510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510" s="17" t="str">
        <f>IFERROR(__xludf.DUMMYFUNCTION("""COMPUTED_VALUE"""),"https://www.wideopenspaces.com/deer-poop-identification/")</f>
        <v>https://www.wideopenspaces.com/deer-poop-identification/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5" t="str">
        <f>IFERROR(__xludf.DUMMYFUNCTION("""COMPUTED_VALUE"""),"deer backstrap")</f>
        <v>deer backstrap</v>
      </c>
      <c r="B511" s="15" t="str">
        <f>IFERROR(__xludf.DUMMYFUNCTION("""COMPUTED_VALUE"""),"3600")</f>
        <v>3600</v>
      </c>
      <c r="C511" s="15" t="str">
        <f>IFERROR(__xludf.DUMMYFUNCTION("""COMPUTED_VALUE"""),"61")</f>
        <v>61</v>
      </c>
      <c r="D511" s="15" t="str">
        <f>IFERROR(__xludf.DUMMYFUNCTION("""COMPUTED_VALUE"""),"33")</f>
        <v>33</v>
      </c>
      <c r="E511" s="15" t="str">
        <f>IFERROR(__xludf.DUMMYFUNCTION("""COMPUTED_VALUE"""),"Not ranking")</f>
        <v>Not ranking</v>
      </c>
      <c r="F511" s="17" t="str">
        <f>IFERROR(__xludf.DUMMYFUNCTION("""COMPUTED_VALUE"""),"https://www.themeateater.com/recipes/cuts/backstrap")</f>
        <v>https://www.themeateater.com/recipes/cuts/backstrap</v>
      </c>
      <c r="G511" s="17" t="str">
        <f>IFERROR(__xludf.DUMMYFUNCTION("""COMPUTED_VALUE"""),"https://realtree.com/timber-2-table-wild-game-recipes/reverse-seared-smoked-venison-backstrap")</f>
        <v>https://realtree.com/timber-2-table-wild-game-recipes/reverse-seared-smoked-venison-backstrap</v>
      </c>
      <c r="H511" s="18" t="str">
        <f>IFERROR(__xludf.DUMMYFUNCTION("""COMPUTED_VALUE"""),"Not ranking")</f>
        <v>Not ranking</v>
      </c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5" t="str">
        <f>IFERROR(__xludf.DUMMYFUNCTION("""COMPUTED_VALUE"""),"deer hunting games")</f>
        <v>deer hunting games</v>
      </c>
      <c r="B512" s="15" t="str">
        <f>IFERROR(__xludf.DUMMYFUNCTION("""COMPUTED_VALUE"""),"1600")</f>
        <v>1600</v>
      </c>
      <c r="C512" s="15" t="str">
        <f>IFERROR(__xludf.DUMMYFUNCTION("""COMPUTED_VALUE"""),"61")</f>
        <v>61</v>
      </c>
      <c r="D512" s="15" t="str">
        <f>IFERROR(__xludf.DUMMYFUNCTION("""COMPUTED_VALUE"""),"Not ranking")</f>
        <v>Not ranking</v>
      </c>
      <c r="E512" s="15" t="str">
        <f>IFERROR(__xludf.DUMMYFUNCTION("""COMPUTED_VALUE"""),"91")</f>
        <v>91</v>
      </c>
      <c r="F512" s="17" t="str">
        <f>IFERROR(__xludf.DUMMYFUNCTION("""COMPUTED_VALUE"""),"https://www.themeateater.com/wired-to-hunt/whitetail-hunting/5-games-every-deer-camp-should-have")</f>
        <v>https://www.themeateater.com/wired-to-hunt/whitetail-hunting/5-games-every-deer-camp-should-have</v>
      </c>
      <c r="G512" s="18" t="str">
        <f>IFERROR(__xludf.DUMMYFUNCTION("""COMPUTED_VALUE"""),"Not ranking")</f>
        <v>Not ranking</v>
      </c>
      <c r="H512" s="17" t="str">
        <f>IFERROR(__xludf.DUMMYFUNCTION("""COMPUTED_VALUE"""),"https://www.wideopenspaces.com/5-of-the-best-hunting-video-games-ever-made/")</f>
        <v>https://www.wideopenspaces.com/5-of-the-best-hunting-video-games-ever-made/</v>
      </c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5" t="str">
        <f>IFERROR(__xludf.DUMMYFUNCTION("""COMPUTED_VALUE"""),"deer season indiana 2022")</f>
        <v>deer season indiana 2022</v>
      </c>
      <c r="B513" s="15" t="str">
        <f>IFERROR(__xludf.DUMMYFUNCTION("""COMPUTED_VALUE"""),"1300")</f>
        <v>1300</v>
      </c>
      <c r="C513" s="15" t="str">
        <f>IFERROR(__xludf.DUMMYFUNCTION("""COMPUTED_VALUE"""),"61")</f>
        <v>61</v>
      </c>
      <c r="D513" s="15" t="str">
        <f>IFERROR(__xludf.DUMMYFUNCTION("""COMPUTED_VALUE"""),"38")</f>
        <v>38</v>
      </c>
      <c r="E513" s="15" t="str">
        <f>IFERROR(__xludf.DUMMYFUNCTION("""COMPUTED_VALUE"""),"29")</f>
        <v>29</v>
      </c>
      <c r="F513" s="17" t="str">
        <f>IFERROR(__xludf.DUMMYFUNCTION("""COMPUTED_VALUE"""),"https://www.themeateater.com/hunt/whitetail-deer/photos-this-buck-might-crush-the-indiana-state-record")</f>
        <v>https://www.themeateater.com/hunt/whitetail-deer/photos-this-buck-might-crush-the-indiana-state-record</v>
      </c>
      <c r="G513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513" s="17" t="str">
        <f>IFERROR(__xludf.DUMMYFUNCTION("""COMPUTED_VALUE"""),"https://www.wideopenspaces.com/indiana-hunting-license/")</f>
        <v>https://www.wideopenspaces.com/indiana-hunting-license/</v>
      </c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5" t="str">
        <f>IFERROR(__xludf.DUMMYFUNCTION("""COMPUTED_VALUE"""),"black-tailed deer")</f>
        <v>black-tailed deer</v>
      </c>
      <c r="B514" s="15" t="str">
        <f>IFERROR(__xludf.DUMMYFUNCTION("""COMPUTED_VALUE"""),"880")</f>
        <v>880</v>
      </c>
      <c r="C514" s="15" t="str">
        <f>IFERROR(__xludf.DUMMYFUNCTION("""COMPUTED_VALUE"""),"61")</f>
        <v>61</v>
      </c>
      <c r="D514" s="15" t="str">
        <f>IFERROR(__xludf.DUMMYFUNCTION("""COMPUTED_VALUE"""),"Not ranking")</f>
        <v>Not ranking</v>
      </c>
      <c r="E514" s="15" t="str">
        <f>IFERROR(__xludf.DUMMYFUNCTION("""COMPUTED_VALUE"""),"Not ranking")</f>
        <v>Not ranking</v>
      </c>
      <c r="F514" s="17" t="str">
        <f>IFERROR(__xludf.DUMMYFUNCTION("""COMPUTED_VALUE"""),"https://www.themeateater.com/hunt/black-tailed-deer/a-guide-to-hunting-blacktail-deer")</f>
        <v>https://www.themeateater.com/hunt/black-tailed-deer/a-guide-to-hunting-blacktail-deer</v>
      </c>
      <c r="G514" s="18" t="str">
        <f>IFERROR(__xludf.DUMMYFUNCTION("""COMPUTED_VALUE"""),"Not ranking")</f>
        <v>Not ranking</v>
      </c>
      <c r="H514" s="18" t="str">
        <f>IFERROR(__xludf.DUMMYFUNCTION("""COMPUTED_VALUE"""),"Not ranking")</f>
        <v>Not ranking</v>
      </c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5" t="str">
        <f>IFERROR(__xludf.DUMMYFUNCTION("""COMPUTED_VALUE"""),"deer fighting")</f>
        <v>deer fighting</v>
      </c>
      <c r="B515" s="15" t="str">
        <f>IFERROR(__xludf.DUMMYFUNCTION("""COMPUTED_VALUE"""),"880")</f>
        <v>880</v>
      </c>
      <c r="C515" s="15" t="str">
        <f>IFERROR(__xludf.DUMMYFUNCTION("""COMPUTED_VALUE"""),"61")</f>
        <v>61</v>
      </c>
      <c r="D515" s="15" t="str">
        <f>IFERROR(__xludf.DUMMYFUNCTION("""COMPUTED_VALUE"""),"Not ranking")</f>
        <v>Not ranking</v>
      </c>
      <c r="E515" s="15" t="str">
        <f>IFERROR(__xludf.DUMMYFUNCTION("""COMPUTED_VALUE"""),"92")</f>
        <v>92</v>
      </c>
      <c r="F515" s="17" t="str">
        <f>IFERROR(__xludf.DUMMYFUNCTION("""COMPUTED_VALUE"""),"https://www.themeateater.com/watch/6211742820001/rutting-buck-fights-bull-angus")</f>
        <v>https://www.themeateater.com/watch/6211742820001/rutting-buck-fights-bull-angus</v>
      </c>
      <c r="G515" s="18" t="str">
        <f>IFERROR(__xludf.DUMMYFUNCTION("""COMPUTED_VALUE"""),"Not ranking")</f>
        <v>Not ranking</v>
      </c>
      <c r="H515" s="17" t="str">
        <f>IFERROR(__xludf.DUMMYFUNCTION("""COMPUTED_VALUE"""),"https://www.wideopenspaces.com/tines-flying-two-mature-whitetails-fight-and-a-third-buck-surprises-both/")</f>
        <v>https://www.wideopenspaces.com/tines-flying-two-mature-whitetails-fight-and-a-third-buck-surprises-both/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5" t="str">
        <f>IFERROR(__xludf.DUMMYFUNCTION("""COMPUTED_VALUE"""),"deer noise")</f>
        <v>deer noise</v>
      </c>
      <c r="B516" s="15" t="str">
        <f>IFERROR(__xludf.DUMMYFUNCTION("""COMPUTED_VALUE"""),"720")</f>
        <v>720</v>
      </c>
      <c r="C516" s="15" t="str">
        <f>IFERROR(__xludf.DUMMYFUNCTION("""COMPUTED_VALUE"""),"61")</f>
        <v>61</v>
      </c>
      <c r="D516" s="15" t="str">
        <f>IFERROR(__xludf.DUMMYFUNCTION("""COMPUTED_VALUE"""),"Not ranking")</f>
        <v>Not ranking</v>
      </c>
      <c r="E516" s="15" t="str">
        <f>IFERROR(__xludf.DUMMYFUNCTION("""COMPUTED_VALUE"""),"8")</f>
        <v>8</v>
      </c>
      <c r="F516" s="17" t="str">
        <f>IFERROR(__xludf.DUMMYFUNCTION("""COMPUTED_VALUE"""),"https://www.themeateater.com/wired-to-hunt/whitetail-hunting/how-well-do-deer-hear")</f>
        <v>https://www.themeateater.com/wired-to-hunt/whitetail-hunting/how-well-do-deer-hear</v>
      </c>
      <c r="G516" s="18" t="str">
        <f>IFERROR(__xludf.DUMMYFUNCTION("""COMPUTED_VALUE"""),"Not ranking")</f>
        <v>Not ranking</v>
      </c>
      <c r="H516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5" t="str">
        <f>IFERROR(__xludf.DUMMYFUNCTION("""COMPUTED_VALUE"""),"deer burger recipes")</f>
        <v>deer burger recipes</v>
      </c>
      <c r="B517" s="15" t="str">
        <f>IFERROR(__xludf.DUMMYFUNCTION("""COMPUTED_VALUE"""),"1900")</f>
        <v>1900</v>
      </c>
      <c r="C517" s="15" t="str">
        <f>IFERROR(__xludf.DUMMYFUNCTION("""COMPUTED_VALUE"""),"62")</f>
        <v>62</v>
      </c>
      <c r="D517" s="15" t="str">
        <f>IFERROR(__xludf.DUMMYFUNCTION("""COMPUTED_VALUE"""),"Not ranking")</f>
        <v>Not ranking</v>
      </c>
      <c r="E517" s="15" t="str">
        <f>IFERROR(__xludf.DUMMYFUNCTION("""COMPUTED_VALUE"""),"41")</f>
        <v>41</v>
      </c>
      <c r="F517" s="17" t="str">
        <f>IFERROR(__xludf.DUMMYFUNCTION("""COMPUTED_VALUE"""),"https://www.themeateater.com/cook/recipes/copycat-white-castle-venison-burgers")</f>
        <v>https://www.themeateater.com/cook/recipes/copycat-white-castle-venison-burgers</v>
      </c>
      <c r="G517" s="18" t="str">
        <f>IFERROR(__xludf.DUMMYFUNCTION("""COMPUTED_VALUE"""),"Not ranking")</f>
        <v>Not ranking</v>
      </c>
      <c r="H517" s="17" t="str">
        <f>IFERROR(__xludf.DUMMYFUNCTION("""COMPUTED_VALUE"""),"https://www.wideopenspaces.com/axis-venison-burgers/")</f>
        <v>https://www.wideopenspaces.com/axis-venison-burgers/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5" t="str">
        <f>IFERROR(__xludf.DUMMYFUNCTION("""COMPUTED_VALUE"""),"deer food plot")</f>
        <v>deer food plot</v>
      </c>
      <c r="B518" s="15" t="str">
        <f>IFERROR(__xludf.DUMMYFUNCTION("""COMPUTED_VALUE"""),"1300")</f>
        <v>1300</v>
      </c>
      <c r="C518" s="15" t="str">
        <f>IFERROR(__xludf.DUMMYFUNCTION("""COMPUTED_VALUE"""),"62")</f>
        <v>62</v>
      </c>
      <c r="D518" s="15" t="str">
        <f>IFERROR(__xludf.DUMMYFUNCTION("""COMPUTED_VALUE"""),"40")</f>
        <v>40</v>
      </c>
      <c r="E518" s="15" t="str">
        <f>IFERROR(__xludf.DUMMYFUNCTION("""COMPUTED_VALUE"""),"Not ranking")</f>
        <v>Not ranking</v>
      </c>
      <c r="F518" s="17" t="str">
        <f>IFERROR(__xludf.DUMMYFUNCTION("""COMPUTED_VALUE"""),"https://www.themeateater.com/wired-to-hunt/whitetail-management/how-to-plant-a-food-plot-on-a-budget")</f>
        <v>https://www.themeateater.com/wired-to-hunt/whitetail-management/how-to-plant-a-food-plot-on-a-budget</v>
      </c>
      <c r="G518" s="17" t="str">
        <f>IFERROR(__xludf.DUMMYFUNCTION("""COMPUTED_VALUE"""),"https://realtree.com/food-plots-and-land-management/galleries/how-to-plant-a-micro-kill-plot-for-deer")</f>
        <v>https://realtree.com/food-plots-and-land-management/galleries/how-to-plant-a-micro-kill-plot-for-deer</v>
      </c>
      <c r="H518" s="18" t="str">
        <f>IFERROR(__xludf.DUMMYFUNCTION("""COMPUTED_VALUE"""),"Not ranking")</f>
        <v>Not ranking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5" t="str">
        <f>IFERROR(__xludf.DUMMYFUNCTION("""COMPUTED_VALUE"""),"deer hunting hours wisconsin")</f>
        <v>deer hunting hours wisconsin</v>
      </c>
      <c r="B519" s="15" t="str">
        <f>IFERROR(__xludf.DUMMYFUNCTION("""COMPUTED_VALUE"""),"1300")</f>
        <v>1300</v>
      </c>
      <c r="C519" s="15" t="str">
        <f>IFERROR(__xludf.DUMMYFUNCTION("""COMPUTED_VALUE"""),"62")</f>
        <v>62</v>
      </c>
      <c r="D519" s="15" t="str">
        <f>IFERROR(__xludf.DUMMYFUNCTION("""COMPUTED_VALUE"""),"Not ranking")</f>
        <v>Not ranking</v>
      </c>
      <c r="E519" s="15" t="str">
        <f>IFERROR(__xludf.DUMMYFUNCTION("""COMPUTED_VALUE"""),"Not ranking")</f>
        <v>Not ranking</v>
      </c>
      <c r="F519" s="17" t="str">
        <f>IFERROR(__xludf.DUMMYFUNCTION("""COMPUTED_VALUE"""),"https://www.themeateater.com/hunt/whitetail-deer/americas-worst-deer-hunting-law-could-change-next-week")</f>
        <v>https://www.themeateater.com/hunt/whitetail-deer/americas-worst-deer-hunting-law-could-change-next-week</v>
      </c>
      <c r="G519" s="18" t="str">
        <f>IFERROR(__xludf.DUMMYFUNCTION("""COMPUTED_VALUE"""),"Not ranking")</f>
        <v>Not ranking</v>
      </c>
      <c r="H519" s="18" t="str">
        <f>IFERROR(__xludf.DUMMYFUNCTION("""COMPUTED_VALUE"""),"Not ranking")</f>
        <v>Not ranking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5" t="str">
        <f>IFERROR(__xludf.DUMMYFUNCTION("""COMPUTED_VALUE"""),"monster whitetail deer")</f>
        <v>monster whitetail deer</v>
      </c>
      <c r="B520" s="15" t="str">
        <f>IFERROR(__xludf.DUMMYFUNCTION("""COMPUTED_VALUE"""),"880")</f>
        <v>880</v>
      </c>
      <c r="C520" s="15" t="str">
        <f>IFERROR(__xludf.DUMMYFUNCTION("""COMPUTED_VALUE"""),"62")</f>
        <v>62</v>
      </c>
      <c r="D520" s="15" t="str">
        <f>IFERROR(__xludf.DUMMYFUNCTION("""COMPUTED_VALUE"""),"11")</f>
        <v>11</v>
      </c>
      <c r="E520" s="15" t="str">
        <f>IFERROR(__xludf.DUMMYFUNCTION("""COMPUTED_VALUE"""),"Not ranking")</f>
        <v>Not ranking</v>
      </c>
      <c r="F520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520" s="17" t="str">
        <f>IFERROR(__xludf.DUMMYFUNCTION("""COMPUTED_VALUE"""),"https://realtree.com/deer-hunting/articles/serious-sleeper-states-with-big-whitetails")</f>
        <v>https://realtree.com/deer-hunting/articles/serious-sleeper-states-with-big-whitetails</v>
      </c>
      <c r="H520" s="18" t="str">
        <f>IFERROR(__xludf.DUMMYFUNCTION("""COMPUTED_VALUE"""),"Not ranking")</f>
        <v>Not ranking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5" t="str">
        <f>IFERROR(__xludf.DUMMYFUNCTION("""COMPUTED_VALUE"""),"what do deer like to eat")</f>
        <v>what do deer like to eat</v>
      </c>
      <c r="B521" s="15" t="str">
        <f>IFERROR(__xludf.DUMMYFUNCTION("""COMPUTED_VALUE"""),"2900")</f>
        <v>2900</v>
      </c>
      <c r="C521" s="15" t="str">
        <f>IFERROR(__xludf.DUMMYFUNCTION("""COMPUTED_VALUE"""),"63")</f>
        <v>63</v>
      </c>
      <c r="D521" s="15" t="str">
        <f>IFERROR(__xludf.DUMMYFUNCTION("""COMPUTED_VALUE"""),"45")</f>
        <v>45</v>
      </c>
      <c r="E521" s="15" t="str">
        <f>IFERROR(__xludf.DUMMYFUNCTION("""COMPUTED_VALUE"""),"39")</f>
        <v>39</v>
      </c>
      <c r="F521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521" s="17" t="str">
        <f>IFERROR(__xludf.DUMMYFUNCTION("""COMPUTED_VALUE"""),"https://realtree.com/brow-tines-and-backstrap/10-feeding-habits-of-mature-deer")</f>
        <v>https://realtree.com/brow-tines-and-backstrap/10-feeding-habits-of-mature-deer</v>
      </c>
      <c r="H521" s="17" t="str">
        <f>IFERROR(__xludf.DUMMYFUNCTION("""COMPUTED_VALUE"""),"https://www.wideopenspaces.com/what-do-deer-eat/")</f>
        <v>https://www.wideopenspaces.com/what-do-deer-eat/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5" t="str">
        <f>IFERROR(__xludf.DUMMYFUNCTION("""COMPUTED_VALUE"""),"deer hunting blinds")</f>
        <v>deer hunting blinds</v>
      </c>
      <c r="B522" s="15" t="str">
        <f>IFERROR(__xludf.DUMMYFUNCTION("""COMPUTED_VALUE"""),"1300")</f>
        <v>1300</v>
      </c>
      <c r="C522" s="15" t="str">
        <f>IFERROR(__xludf.DUMMYFUNCTION("""COMPUTED_VALUE"""),"63")</f>
        <v>63</v>
      </c>
      <c r="D522" s="15" t="str">
        <f>IFERROR(__xludf.DUMMYFUNCTION("""COMPUTED_VALUE"""),"Not ranking")</f>
        <v>Not ranking</v>
      </c>
      <c r="E522" s="15" t="str">
        <f>IFERROR(__xludf.DUMMYFUNCTION("""COMPUTED_VALUE"""),"Not ranking")</f>
        <v>Not ranking</v>
      </c>
      <c r="F522" s="17" t="str">
        <f>IFERROR(__xludf.DUMMYFUNCTION("""COMPUTED_VALUE"""),"https://www.themeateater.com/wired-to-hunt/whitetail-scouting/how-to-set-up-a-ground-blind-that-wont-spook-deer")</f>
        <v>https://www.themeateater.com/wired-to-hunt/whitetail-scouting/how-to-set-up-a-ground-blind-that-wont-spook-deer</v>
      </c>
      <c r="G522" s="18" t="str">
        <f>IFERROR(__xludf.DUMMYFUNCTION("""COMPUTED_VALUE"""),"Not ranking")</f>
        <v>Not ranking</v>
      </c>
      <c r="H522" s="18" t="str">
        <f>IFERROR(__xludf.DUMMYFUNCTION("""COMPUTED_VALUE"""),"Not ranking")</f>
        <v>Not ranking</v>
      </c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5" t="str">
        <f>IFERROR(__xludf.DUMMYFUNCTION("""COMPUTED_VALUE"""),"deer movement chart 2022")</f>
        <v>deer movement chart 2022</v>
      </c>
      <c r="B523" s="15" t="str">
        <f>IFERROR(__xludf.DUMMYFUNCTION("""COMPUTED_VALUE"""),"1300")</f>
        <v>1300</v>
      </c>
      <c r="C523" s="15" t="str">
        <f>IFERROR(__xludf.DUMMYFUNCTION("""COMPUTED_VALUE"""),"63")</f>
        <v>63</v>
      </c>
      <c r="D523" s="15" t="str">
        <f>IFERROR(__xludf.DUMMYFUNCTION("""COMPUTED_VALUE"""),"4")</f>
        <v>4</v>
      </c>
      <c r="E523" s="15" t="str">
        <f>IFERROR(__xludf.DUMMYFUNCTION("""COMPUTED_VALUE"""),"54")</f>
        <v>54</v>
      </c>
      <c r="F523" s="17" t="str">
        <f>IFERROR(__xludf.DUMMYFUNCTION("""COMPUTED_VALUE"""),"https://www.themeateater.com/wired-to-hunt/whitetail-hunting/the-debate-about-lunar-effects-on-whitetails")</f>
        <v>https://www.themeateater.com/wired-to-hunt/whitetail-hunting/the-debate-about-lunar-effects-on-whitetails</v>
      </c>
      <c r="G523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523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5" t="str">
        <f>IFERROR(__xludf.DUMMYFUNCTION("""COMPUTED_VALUE"""),"high fence deer")</f>
        <v>high fence deer</v>
      </c>
      <c r="B524" s="15" t="str">
        <f>IFERROR(__xludf.DUMMYFUNCTION("""COMPUTED_VALUE"""),"880")</f>
        <v>880</v>
      </c>
      <c r="C524" s="15" t="str">
        <f>IFERROR(__xludf.DUMMYFUNCTION("""COMPUTED_VALUE"""),"63")</f>
        <v>63</v>
      </c>
      <c r="D524" s="15" t="str">
        <f>IFERROR(__xludf.DUMMYFUNCTION("""COMPUTED_VALUE"""),"Not ranking")</f>
        <v>Not ranking</v>
      </c>
      <c r="E524" s="15" t="str">
        <f>IFERROR(__xludf.DUMMYFUNCTION("""COMPUTED_VALUE"""),"30")</f>
        <v>30</v>
      </c>
      <c r="F524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524" s="18" t="str">
        <f>IFERROR(__xludf.DUMMYFUNCTION("""COMPUTED_VALUE"""),"Not ranking")</f>
        <v>Not ranking</v>
      </c>
      <c r="H524" s="17" t="str">
        <f>IFERROR(__xludf.DUMMYFUNCTION("""COMPUTED_VALUE"""),"https://www.wideopenspaces.com/ethics-check-is-high-fence-hunting-actually-a-brilliant-business-idea/")</f>
        <v>https://www.wideopenspaces.com/ethics-check-is-high-fence-hunting-actually-a-brilliant-business-idea/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5" t="str">
        <f>IFERROR(__xludf.DUMMYFUNCTION("""COMPUTED_VALUE"""),"what eats deer")</f>
        <v>what eats deer</v>
      </c>
      <c r="B525" s="15" t="str">
        <f>IFERROR(__xludf.DUMMYFUNCTION("""COMPUTED_VALUE"""),"1600")</f>
        <v>1600</v>
      </c>
      <c r="C525" s="15" t="str">
        <f>IFERROR(__xludf.DUMMYFUNCTION("""COMPUTED_VALUE"""),"64")</f>
        <v>64</v>
      </c>
      <c r="D525" s="15" t="str">
        <f>IFERROR(__xludf.DUMMYFUNCTION("""COMPUTED_VALUE"""),"Not ranking")</f>
        <v>Not ranking</v>
      </c>
      <c r="E525" s="15" t="str">
        <f>IFERROR(__xludf.DUMMYFUNCTION("""COMPUTED_VALUE"""),"52")</f>
        <v>52</v>
      </c>
      <c r="F525" s="17" t="str">
        <f>IFERROR(__xludf.DUMMYFUNCTION("""COMPUTED_VALUE"""),"https://www.themeateater.com/conservation/wildlife-management/coyotes-kill-deer-not-deer-herds")</f>
        <v>https://www.themeateater.com/conservation/wildlife-management/coyotes-kill-deer-not-deer-herds</v>
      </c>
      <c r="G525" s="18" t="str">
        <f>IFERROR(__xludf.DUMMYFUNCTION("""COMPUTED_VALUE"""),"Not ranking")</f>
        <v>Not ranking</v>
      </c>
      <c r="H525" s="17" t="str">
        <f>IFERROR(__xludf.DUMMYFUNCTION("""COMPUTED_VALUE"""),"https://www.wideopenspaces.com/do-deer-eat-meat/")</f>
        <v>https://www.wideopenspaces.com/do-deer-eat-meat/</v>
      </c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5" t="str">
        <f>IFERROR(__xludf.DUMMYFUNCTION("""COMPUTED_VALUE"""),"cars that hit deer")</f>
        <v>cars that hit deer</v>
      </c>
      <c r="B526" s="15" t="str">
        <f>IFERROR(__xludf.DUMMYFUNCTION("""COMPUTED_VALUE"""),"1300")</f>
        <v>1300</v>
      </c>
      <c r="C526" s="15" t="str">
        <f>IFERROR(__xludf.DUMMYFUNCTION("""COMPUTED_VALUE"""),"64")</f>
        <v>64</v>
      </c>
      <c r="D526" s="15" t="str">
        <f>IFERROR(__xludf.DUMMYFUNCTION("""COMPUTED_VALUE"""),"Not ranking")</f>
        <v>Not ranking</v>
      </c>
      <c r="E526" s="15" t="str">
        <f>IFERROR(__xludf.DUMMYFUNCTION("""COMPUTED_VALUE"""),"Not ranking")</f>
        <v>Not ranking</v>
      </c>
      <c r="F526" s="17" t="str">
        <f>IFERROR(__xludf.DUMMYFUNCTION("""COMPUTED_VALUE"""),"https://www.themeateater.com/conservation/habitat/bar-room-banter-top-10-states-for-deer-vehicle-collisions")</f>
        <v>https://www.themeateater.com/conservation/habitat/bar-room-banter-top-10-states-for-deer-vehicle-collisions</v>
      </c>
      <c r="G526" s="18" t="str">
        <f>IFERROR(__xludf.DUMMYFUNCTION("""COMPUTED_VALUE"""),"Not ranking")</f>
        <v>Not ranking</v>
      </c>
      <c r="H526" s="18" t="str">
        <f>IFERROR(__xludf.DUMMYFUNCTION("""COMPUTED_VALUE"""),"Not ranking")</f>
        <v>Not ranking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5" t="str">
        <f>IFERROR(__xludf.DUMMYFUNCTION("""COMPUTED_VALUE"""),"deer pooping")</f>
        <v>deer pooping</v>
      </c>
      <c r="B527" s="15" t="str">
        <f>IFERROR(__xludf.DUMMYFUNCTION("""COMPUTED_VALUE"""),"1300")</f>
        <v>1300</v>
      </c>
      <c r="C527" s="15" t="str">
        <f>IFERROR(__xludf.DUMMYFUNCTION("""COMPUTED_VALUE"""),"64")</f>
        <v>64</v>
      </c>
      <c r="D527" s="15" t="str">
        <f>IFERROR(__xludf.DUMMYFUNCTION("""COMPUTED_VALUE"""),"1")</f>
        <v>1</v>
      </c>
      <c r="E527" s="15" t="str">
        <f>IFERROR(__xludf.DUMMYFUNCTION("""COMPUTED_VALUE"""),"5")</f>
        <v>5</v>
      </c>
      <c r="F527" s="17" t="str">
        <f>IFERROR(__xludf.DUMMYFUNCTION("""COMPUTED_VALUE"""),"https://www.themeateater.com/hunt/whitetail-deer/how-to-crap-in-the-woods-like-a-pro")</f>
        <v>https://www.themeateater.com/hunt/whitetail-deer/how-to-crap-in-the-woods-like-a-pro</v>
      </c>
      <c r="G527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527" s="17" t="str">
        <f>IFERROR(__xludf.DUMMYFUNCTION("""COMPUTED_VALUE"""),"https://www.wideopenspaces.com/deer-poop-identification/")</f>
        <v>https://www.wideopenspaces.com/deer-poop-identification/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5" t="str">
        <f>IFERROR(__xludf.DUMMYFUNCTION("""COMPUTED_VALUE"""),"best food plot for deer")</f>
        <v>best food plot for deer</v>
      </c>
      <c r="B528" s="15" t="str">
        <f>IFERROR(__xludf.DUMMYFUNCTION("""COMPUTED_VALUE"""),"1000")</f>
        <v>1000</v>
      </c>
      <c r="C528" s="15" t="str">
        <f>IFERROR(__xludf.DUMMYFUNCTION("""COMPUTED_VALUE"""),"64")</f>
        <v>64</v>
      </c>
      <c r="D528" s="15" t="str">
        <f>IFERROR(__xludf.DUMMYFUNCTION("""COMPUTED_VALUE"""),"22")</f>
        <v>22</v>
      </c>
      <c r="E528" s="15" t="str">
        <f>IFERROR(__xludf.DUMMYFUNCTION("""COMPUTED_VALUE"""),"92")</f>
        <v>92</v>
      </c>
      <c r="F528" s="17" t="str">
        <f>IFERROR(__xludf.DUMMYFUNCTION("""COMPUTED_VALUE"""),"https://www.themeateater.com/wired-to-hunt/whitetail-management/3-best-food-plot-shapes")</f>
        <v>https://www.themeateater.com/wired-to-hunt/whitetail-management/3-best-food-plot-shapes</v>
      </c>
      <c r="G528" s="17" t="str">
        <f>IFERROR(__xludf.DUMMYFUNCTION("""COMPUTED_VALUE"""),"https://realtree.com/deer-hunting/articles/5-food-plots-for-procrastinators")</f>
        <v>https://realtree.com/deer-hunting/articles/5-food-plots-for-procrastinators</v>
      </c>
      <c r="H528" s="17" t="str">
        <f>IFERROR(__xludf.DUMMYFUNCTION("""COMPUTED_VALUE"""),"https://www.wideopenspaces.com/9-food-plot-tips-will-bring-deer-droves/")</f>
        <v>https://www.wideopenspaces.com/9-food-plot-tips-will-bring-deer-droves/</v>
      </c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5" t="str">
        <f>IFERROR(__xludf.DUMMYFUNCTION("""COMPUTED_VALUE"""),"climbing deer stand")</f>
        <v>climbing deer stand</v>
      </c>
      <c r="B529" s="15" t="str">
        <f>IFERROR(__xludf.DUMMYFUNCTION("""COMPUTED_VALUE"""),"1000")</f>
        <v>1000</v>
      </c>
      <c r="C529" s="15" t="str">
        <f>IFERROR(__xludf.DUMMYFUNCTION("""COMPUTED_VALUE"""),"64")</f>
        <v>64</v>
      </c>
      <c r="D529" s="15" t="str">
        <f>IFERROR(__xludf.DUMMYFUNCTION("""COMPUTED_VALUE"""),"Not ranking")</f>
        <v>Not ranking</v>
      </c>
      <c r="E529" s="15" t="str">
        <f>IFERROR(__xludf.DUMMYFUNCTION("""COMPUTED_VALUE"""),"53")</f>
        <v>53</v>
      </c>
      <c r="F529" s="17" t="str">
        <f>IFERROR(__xludf.DUMMYFUNCTION("""COMPUTED_VALUE"""),"https://www.themeateater.com/wired-to-hunt/whitetail-scouting/ask-meateater-how-high-do-you-hang-tree-stands")</f>
        <v>https://www.themeateater.com/wired-to-hunt/whitetail-scouting/ask-meateater-how-high-do-you-hang-tree-stands</v>
      </c>
      <c r="G529" s="18" t="str">
        <f>IFERROR(__xludf.DUMMYFUNCTION("""COMPUTED_VALUE"""),"Not ranking")</f>
        <v>Not ranking</v>
      </c>
      <c r="H529" s="17" t="str">
        <f>IFERROR(__xludf.DUMMYFUNCTION("""COMPUTED_VALUE"""),"https://www.wideopenspaces.com/let-these-old-tree-climbing-stands-take-you-back-in-time/")</f>
        <v>https://www.wideopenspaces.com/let-these-old-tree-climbing-stands-take-you-back-in-time/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5" t="str">
        <f>IFERROR(__xludf.DUMMYFUNCTION("""COMPUTED_VALUE"""),"deer ankles")</f>
        <v>deer ankles</v>
      </c>
      <c r="B530" s="15" t="str">
        <f>IFERROR(__xludf.DUMMYFUNCTION("""COMPUTED_VALUE"""),"880")</f>
        <v>880</v>
      </c>
      <c r="C530" s="15" t="str">
        <f>IFERROR(__xludf.DUMMYFUNCTION("""COMPUTED_VALUE"""),"64")</f>
        <v>64</v>
      </c>
      <c r="D530" s="15" t="str">
        <f>IFERROR(__xludf.DUMMYFUNCTION("""COMPUTED_VALUE"""),"61")</f>
        <v>61</v>
      </c>
      <c r="E530" s="15" t="str">
        <f>IFERROR(__xludf.DUMMYFUNCTION("""COMPUTED_VALUE"""),"Not ranking")</f>
        <v>Not ranking</v>
      </c>
      <c r="F530" s="17" t="str">
        <f>IFERROR(__xludf.DUMMYFUNCTION("""COMPUTED_VALUE"""),"https://www.themeateater.com/hunt/big-game/how-to-hang-and-skin-a-deer-in-the-field")</f>
        <v>https://www.themeateater.com/hunt/big-game/how-to-hang-and-skin-a-deer-in-the-field</v>
      </c>
      <c r="G530" s="17" t="str">
        <f>IFERROR(__xludf.DUMMYFUNCTION("""COMPUTED_VALUE"""),"https://realtree.com/brow-tines-and-backstrap/why-buck-tarsal-is-the-deadliest-scent-in-the-deer-woods")</f>
        <v>https://realtree.com/brow-tines-and-backstrap/why-buck-tarsal-is-the-deadliest-scent-in-the-deer-woods</v>
      </c>
      <c r="H530" s="18" t="str">
        <f>IFERROR(__xludf.DUMMYFUNCTION("""COMPUTED_VALUE"""),"Not ranking")</f>
        <v>Not ranking</v>
      </c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5" t="str">
        <f>IFERROR(__xludf.DUMMYFUNCTION("""COMPUTED_VALUE"""),"whitetail deer")</f>
        <v>whitetail deer</v>
      </c>
      <c r="B531" s="15" t="str">
        <f>IFERROR(__xludf.DUMMYFUNCTION("""COMPUTED_VALUE"""),"14800")</f>
        <v>14800</v>
      </c>
      <c r="C531" s="15" t="str">
        <f>IFERROR(__xludf.DUMMYFUNCTION("""COMPUTED_VALUE"""),"65")</f>
        <v>65</v>
      </c>
      <c r="D531" s="15" t="str">
        <f>IFERROR(__xludf.DUMMYFUNCTION("""COMPUTED_VALUE"""),"42")</f>
        <v>42</v>
      </c>
      <c r="E531" s="15" t="str">
        <f>IFERROR(__xludf.DUMMYFUNCTION("""COMPUTED_VALUE"""),"Not ranking")</f>
        <v>Not ranking</v>
      </c>
      <c r="F531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531" s="17" t="str">
        <f>IFERROR(__xludf.DUMMYFUNCTION("""COMPUTED_VALUE"""),"https://realtree.com/deer-hunting/articles/habits-of-mature-whitetail-deer")</f>
        <v>https://realtree.com/deer-hunting/articles/habits-of-mature-whitetail-deer</v>
      </c>
      <c r="H531" s="18" t="str">
        <f>IFERROR(__xludf.DUMMYFUNCTION("""COMPUTED_VALUE"""),"Not ranking")</f>
        <v>Not ranking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5" t="str">
        <f>IFERROR(__xludf.DUMMYFUNCTION("""COMPUTED_VALUE"""),"deer cast")</f>
        <v>deer cast</v>
      </c>
      <c r="B532" s="15" t="str">
        <f>IFERROR(__xludf.DUMMYFUNCTION("""COMPUTED_VALUE"""),"1600")</f>
        <v>1600</v>
      </c>
      <c r="C532" s="15" t="str">
        <f>IFERROR(__xludf.DUMMYFUNCTION("""COMPUTED_VALUE"""),"65")</f>
        <v>65</v>
      </c>
      <c r="D532" s="15" t="str">
        <f>IFERROR(__xludf.DUMMYFUNCTION("""COMPUTED_VALUE"""),"68")</f>
        <v>68</v>
      </c>
      <c r="E532" s="15" t="str">
        <f>IFERROR(__xludf.DUMMYFUNCTION("""COMPUTED_VALUE"""),"Not ranking")</f>
        <v>Not ranking</v>
      </c>
      <c r="F532" s="17" t="str">
        <f>IFERROR(__xludf.DUMMYFUNCTION("""COMPUTED_VALUE"""),"https://www.themeateater.com/wired-to-hunt/whitetail-hunting/how-mark-drury-predicts-buck-movement-based-on-wind")</f>
        <v>https://www.themeateater.com/wired-to-hunt/whitetail-hunting/how-mark-drury-predicts-buck-movement-based-on-wind</v>
      </c>
      <c r="G532" s="17" t="str">
        <f>IFERROR(__xludf.DUMMYFUNCTION("""COMPUTED_VALUE"""),"https://realtree.com/brow-tines-and-backstrap/10-best-deer-hunting-apps-for-2019")</f>
        <v>https://realtree.com/brow-tines-and-backstrap/10-best-deer-hunting-apps-for-2019</v>
      </c>
      <c r="H532" s="18" t="str">
        <f>IFERROR(__xludf.DUMMYFUNCTION("""COMPUTED_VALUE"""),"Not ranking")</f>
        <v>Not ranking</v>
      </c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5" t="str">
        <f>IFERROR(__xludf.DUMMYFUNCTION("""COMPUTED_VALUE"""),"sika deer maryland")</f>
        <v>sika deer maryland</v>
      </c>
      <c r="B533" s="15" t="str">
        <f>IFERROR(__xludf.DUMMYFUNCTION("""COMPUTED_VALUE"""),"1600")</f>
        <v>1600</v>
      </c>
      <c r="C533" s="15" t="str">
        <f>IFERROR(__xludf.DUMMYFUNCTION("""COMPUTED_VALUE"""),"65")</f>
        <v>65</v>
      </c>
      <c r="D533" s="15" t="str">
        <f>IFERROR(__xludf.DUMMYFUNCTION("""COMPUTED_VALUE"""),"Not ranking")</f>
        <v>Not ranking</v>
      </c>
      <c r="E533" s="15" t="str">
        <f>IFERROR(__xludf.DUMMYFUNCTION("""COMPUTED_VALUE"""),"5")</f>
        <v>5</v>
      </c>
      <c r="F533" s="17" t="str">
        <f>IFERROR(__xludf.DUMMYFUNCTION("""COMPUTED_VALUE"""),"https://www.themeateater.com/hunt/big-game/season-8-episode-3-gear-ghosts-of-the-chesapeake")</f>
        <v>https://www.themeateater.com/hunt/big-game/season-8-episode-3-gear-ghosts-of-the-chesapeake</v>
      </c>
      <c r="G533" s="18" t="str">
        <f>IFERROR(__xludf.DUMMYFUNCTION("""COMPUTED_VALUE"""),"Not ranking")</f>
        <v>Not ranking</v>
      </c>
      <c r="H533" s="17" t="str">
        <f>IFERROR(__xludf.DUMMYFUNCTION("""COMPUTED_VALUE"""),"https://www.wideopenspaces.com/maryland-sika-deer-hunting/")</f>
        <v>https://www.wideopenspaces.com/maryland-sika-deer-hunting/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5" t="str">
        <f>IFERROR(__xludf.DUMMYFUNCTION("""COMPUTED_VALUE"""),"why do deer shed their antlers")</f>
        <v>why do deer shed their antlers</v>
      </c>
      <c r="B534" s="15" t="str">
        <f>IFERROR(__xludf.DUMMYFUNCTION("""COMPUTED_VALUE"""),"1000")</f>
        <v>1000</v>
      </c>
      <c r="C534" s="15" t="str">
        <f>IFERROR(__xludf.DUMMYFUNCTION("""COMPUTED_VALUE"""),"65")</f>
        <v>65</v>
      </c>
      <c r="D534" s="15" t="str">
        <f>IFERROR(__xludf.DUMMYFUNCTION("""COMPUTED_VALUE"""),"23")</f>
        <v>23</v>
      </c>
      <c r="E534" s="15" t="str">
        <f>IFERROR(__xludf.DUMMYFUNCTION("""COMPUTED_VALUE"""),"11")</f>
        <v>11</v>
      </c>
      <c r="F534" s="17" t="str">
        <f>IFERROR(__xludf.DUMMYFUNCTION("""COMPUTED_VALUE"""),"https://www.themeateater.com/wired-to-hunt/whitetail-scouting/the-buck-that-never-shed-its-antlers")</f>
        <v>https://www.themeateater.com/wired-to-hunt/whitetail-scouting/the-buck-that-never-shed-its-antlers</v>
      </c>
      <c r="G534" s="17" t="str">
        <f>IFERROR(__xludf.DUMMYFUNCTION("""COMPUTED_VALUE"""),"https://realtree.com/brow-tines-and-backstrap/why-are-some-bucks-shedding-antlers-early")</f>
        <v>https://realtree.com/brow-tines-and-backstrap/why-are-some-bucks-shedding-antlers-early</v>
      </c>
      <c r="H534" s="17" t="str">
        <f>IFERROR(__xludf.DUMMYFUNCTION("""COMPUTED_VALUE"""),"https://www.wideopenspaces.com/deer-shed-antlers-pics/")</f>
        <v>https://www.wideopenspaces.com/deer-shed-antlers-pics/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5" t="str">
        <f>IFERROR(__xludf.DUMMYFUNCTION("""COMPUTED_VALUE"""),"deer tags")</f>
        <v>deer tags</v>
      </c>
      <c r="B535" s="15" t="str">
        <f>IFERROR(__xludf.DUMMYFUNCTION("""COMPUTED_VALUE"""),"880")</f>
        <v>880</v>
      </c>
      <c r="C535" s="15" t="str">
        <f>IFERROR(__xludf.DUMMYFUNCTION("""COMPUTED_VALUE"""),"65")</f>
        <v>65</v>
      </c>
      <c r="D535" s="15" t="str">
        <f>IFERROR(__xludf.DUMMYFUNCTION("""COMPUTED_VALUE"""),"Not ranking")</f>
        <v>Not ranking</v>
      </c>
      <c r="E535" s="15" t="str">
        <f>IFERROR(__xludf.DUMMYFUNCTION("""COMPUTED_VALUE"""),"Not ranking")</f>
        <v>Not ranking</v>
      </c>
      <c r="F535" s="17" t="str">
        <f>IFERROR(__xludf.DUMMYFUNCTION("""COMPUTED_VALUE"""),"https://www.themeateater.com/hunt/big-game/big-game-tags-understanding-license-draws")</f>
        <v>https://www.themeateater.com/hunt/big-game/big-game-tags-understanding-license-draws</v>
      </c>
      <c r="G535" s="18" t="str">
        <f>IFERROR(__xludf.DUMMYFUNCTION("""COMPUTED_VALUE"""),"Not ranking")</f>
        <v>Not ranking</v>
      </c>
      <c r="H535" s="18" t="str">
        <f>IFERROR(__xludf.DUMMYFUNCTION("""COMPUTED_VALUE"""),"Not ranking")</f>
        <v>Not ranking</v>
      </c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5" t="str">
        <f>IFERROR(__xludf.DUMMYFUNCTION("""COMPUTED_VALUE"""),"what do white tailed deer eat")</f>
        <v>what do white tailed deer eat</v>
      </c>
      <c r="B536" s="15" t="str">
        <f>IFERROR(__xludf.DUMMYFUNCTION("""COMPUTED_VALUE"""),"880")</f>
        <v>880</v>
      </c>
      <c r="C536" s="15" t="str">
        <f>IFERROR(__xludf.DUMMYFUNCTION("""COMPUTED_VALUE"""),"65")</f>
        <v>65</v>
      </c>
      <c r="D536" s="15" t="str">
        <f>IFERROR(__xludf.DUMMYFUNCTION("""COMPUTED_VALUE"""),"Not ranking")</f>
        <v>Not ranking</v>
      </c>
      <c r="E536" s="15" t="str">
        <f>IFERROR(__xludf.DUMMYFUNCTION("""COMPUTED_VALUE"""),"96")</f>
        <v>96</v>
      </c>
      <c r="F536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536" s="18" t="str">
        <f>IFERROR(__xludf.DUMMYFUNCTION("""COMPUTED_VALUE"""),"Not ranking")</f>
        <v>Not ranking</v>
      </c>
      <c r="H536" s="17" t="str">
        <f>IFERROR(__xludf.DUMMYFUNCTION("""COMPUTED_VALUE"""),"https://www.wideopenspaces.com/what-do-deer-eat/")</f>
        <v>https://www.wideopenspaces.com/what-do-deer-eat/</v>
      </c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5" t="str">
        <f>IFERROR(__xludf.DUMMYFUNCTION("""COMPUTED_VALUE"""),"deer pictures")</f>
        <v>deer pictures</v>
      </c>
      <c r="B537" s="15" t="str">
        <f>IFERROR(__xludf.DUMMYFUNCTION("""COMPUTED_VALUE"""),"8100")</f>
        <v>8100</v>
      </c>
      <c r="C537" s="15" t="str">
        <f>IFERROR(__xludf.DUMMYFUNCTION("""COMPUTED_VALUE"""),"66")</f>
        <v>66</v>
      </c>
      <c r="D537" s="15" t="str">
        <f>IFERROR(__xludf.DUMMYFUNCTION("""COMPUTED_VALUE"""),"Not ranking")</f>
        <v>Not ranking</v>
      </c>
      <c r="E537" s="15" t="str">
        <f>IFERROR(__xludf.DUMMYFUNCTION("""COMPUTED_VALUE"""),"67")</f>
        <v>67</v>
      </c>
      <c r="F537" s="17" t="str">
        <f>IFERROR(__xludf.DUMMYFUNCTION("""COMPUTED_VALUE"""),"https://www.themeateater.com/hunt/whitetail-deer/is-this-50-point-whitetail-the-new-world-record")</f>
        <v>https://www.themeateater.com/hunt/whitetail-deer/is-this-50-point-whitetail-the-new-world-record</v>
      </c>
      <c r="G537" s="18" t="str">
        <f>IFERROR(__xludf.DUMMYFUNCTION("""COMPUTED_VALUE"""),"Not ranking")</f>
        <v>Not ranking</v>
      </c>
      <c r="H537" s="17" t="str">
        <f>IFERROR(__xludf.DUMMYFUNCTION("""COMPUTED_VALUE"""),"https://www.wideopenspaces.com/can-find-hidden-animals-round-2-deer-pics/")</f>
        <v>https://www.wideopenspaces.com/can-find-hidden-animals-round-2-deer-pics/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5" t="str">
        <f>IFERROR(__xludf.DUMMYFUNCTION("""COMPUTED_VALUE"""),"deer jerky recipe")</f>
        <v>deer jerky recipe</v>
      </c>
      <c r="B538" s="15" t="str">
        <f>IFERROR(__xludf.DUMMYFUNCTION("""COMPUTED_VALUE"""),"6600")</f>
        <v>6600</v>
      </c>
      <c r="C538" s="15" t="str">
        <f>IFERROR(__xludf.DUMMYFUNCTION("""COMPUTED_VALUE"""),"66")</f>
        <v>66</v>
      </c>
      <c r="D538" s="15" t="str">
        <f>IFERROR(__xludf.DUMMYFUNCTION("""COMPUTED_VALUE"""),"31")</f>
        <v>31</v>
      </c>
      <c r="E538" s="15" t="str">
        <f>IFERROR(__xludf.DUMMYFUNCTION("""COMPUTED_VALUE"""),"9")</f>
        <v>9</v>
      </c>
      <c r="F538" s="17" t="str">
        <f>IFERROR(__xludf.DUMMYFUNCTION("""COMPUTED_VALUE"""),"https://www.themeateater.com/cook/recipes/maple-syrup-venison-jerky-recipe")</f>
        <v>https://www.themeateater.com/cook/recipes/maple-syrup-venison-jerky-recipe</v>
      </c>
      <c r="G538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538" s="17" t="str">
        <f>IFERROR(__xludf.DUMMYFUNCTION("""COMPUTED_VALUE"""),"https://www.wideopenspaces.com/venison-jerky-recipes/")</f>
        <v>https://www.wideopenspaces.com/venison-jerky-recipes/</v>
      </c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5" t="str">
        <f>IFERROR(__xludf.DUMMYFUNCTION("""COMPUTED_VALUE"""),"deer shoulder mount")</f>
        <v>deer shoulder mount</v>
      </c>
      <c r="B539" s="15" t="str">
        <f>IFERROR(__xludf.DUMMYFUNCTION("""COMPUTED_VALUE"""),"1900")</f>
        <v>1900</v>
      </c>
      <c r="C539" s="15" t="str">
        <f>IFERROR(__xludf.DUMMYFUNCTION("""COMPUTED_VALUE"""),"66")</f>
        <v>66</v>
      </c>
      <c r="D539" s="15" t="str">
        <f>IFERROR(__xludf.DUMMYFUNCTION("""COMPUTED_VALUE"""),"62")</f>
        <v>62</v>
      </c>
      <c r="E539" s="15" t="str">
        <f>IFERROR(__xludf.DUMMYFUNCTION("""COMPUTED_VALUE"""),"30")</f>
        <v>30</v>
      </c>
      <c r="F539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539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539" s="17" t="str">
        <f>IFERROR(__xludf.DUMMYFUNCTION("""COMPUTED_VALUE"""),"https://www.wideopenspaces.com/deer-taxidermy-options/")</f>
        <v>https://www.wideopenspaces.com/deer-taxidermy-options/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5" t="str">
        <f>IFERROR(__xludf.DUMMYFUNCTION("""COMPUTED_VALUE"""),"food plot seeds for deer")</f>
        <v>food plot seeds for deer</v>
      </c>
      <c r="B540" s="15" t="str">
        <f>IFERROR(__xludf.DUMMYFUNCTION("""COMPUTED_VALUE"""),"1900")</f>
        <v>1900</v>
      </c>
      <c r="C540" s="15" t="str">
        <f>IFERROR(__xludf.DUMMYFUNCTION("""COMPUTED_VALUE"""),"66")</f>
        <v>66</v>
      </c>
      <c r="D540" s="15" t="str">
        <f>IFERROR(__xludf.DUMMYFUNCTION("""COMPUTED_VALUE"""),"35")</f>
        <v>35</v>
      </c>
      <c r="E540" s="15" t="str">
        <f>IFERROR(__xludf.DUMMYFUNCTION("""COMPUTED_VALUE"""),"Not ranking")</f>
        <v>Not ranking</v>
      </c>
      <c r="F540" s="17" t="str">
        <f>IFERROR(__xludf.DUMMYFUNCTION("""COMPUTED_VALUE"""),"https://www.themeateater.com/wired-to-hunt/whitetail-management/how-to-plant-a-food-plot-on-a-budget")</f>
        <v>https://www.themeateater.com/wired-to-hunt/whitetail-management/how-to-plant-a-food-plot-on-a-budget</v>
      </c>
      <c r="G540" s="17" t="str">
        <f>IFERROR(__xludf.DUMMYFUNCTION("""COMPUTED_VALUE"""),"https://realtree.com/food-plots-and-land-management/articles/mess-hall-mixtures-5-food-plot-combos-for-full-season")</f>
        <v>https://realtree.com/food-plots-and-land-management/articles/mess-hall-mixtures-5-food-plot-combos-for-full-season</v>
      </c>
      <c r="H540" s="18" t="str">
        <f>IFERROR(__xludf.DUMMYFUNCTION("""COMPUTED_VALUE"""),"Not ranking")</f>
        <v>Not ranking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5" t="str">
        <f>IFERROR(__xludf.DUMMYFUNCTION("""COMPUTED_VALUE"""),"deer legs")</f>
        <v>deer legs</v>
      </c>
      <c r="B541" s="15" t="str">
        <f>IFERROR(__xludf.DUMMYFUNCTION("""COMPUTED_VALUE"""),"1600")</f>
        <v>1600</v>
      </c>
      <c r="C541" s="15" t="str">
        <f>IFERROR(__xludf.DUMMYFUNCTION("""COMPUTED_VALUE"""),"66")</f>
        <v>66</v>
      </c>
      <c r="D541" s="15" t="str">
        <f>IFERROR(__xludf.DUMMYFUNCTION("""COMPUTED_VALUE"""),"Not ranking")</f>
        <v>Not ranking</v>
      </c>
      <c r="E541" s="15" t="str">
        <f>IFERROR(__xludf.DUMMYFUNCTION("""COMPUTED_VALUE"""),"42")</f>
        <v>42</v>
      </c>
      <c r="F541" s="17" t="str">
        <f>IFERROR(__xludf.DUMMYFUNCTION("""COMPUTED_VALUE"""),"https://www.themeateater.com/watch/6175617016001/how-to-break-down-a-deer-s-hind-leg")</f>
        <v>https://www.themeateater.com/watch/6175617016001/how-to-break-down-a-deer-s-hind-leg</v>
      </c>
      <c r="G541" s="18" t="str">
        <f>IFERROR(__xludf.DUMMYFUNCTION("""COMPUTED_VALUE"""),"Not ranking")</f>
        <v>Not ranking</v>
      </c>
      <c r="H541" s="17" t="str">
        <f>IFERROR(__xludf.DUMMYFUNCTION("""COMPUTED_VALUE"""),"https://www.wideopenspaces.com/deer-hooves-what-theyre-made-from-and-indicators-of-health/")</f>
        <v>https://www.wideopenspaces.com/deer-hooves-what-theyre-made-from-and-indicators-of-health/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5" t="str">
        <f>IFERROR(__xludf.DUMMYFUNCTION("""COMPUTED_VALUE"""),"deer jerky marinade")</f>
        <v>deer jerky marinade</v>
      </c>
      <c r="B542" s="15" t="str">
        <f>IFERROR(__xludf.DUMMYFUNCTION("""COMPUTED_VALUE"""),"1300")</f>
        <v>1300</v>
      </c>
      <c r="C542" s="15" t="str">
        <f>IFERROR(__xludf.DUMMYFUNCTION("""COMPUTED_VALUE"""),"66")</f>
        <v>66</v>
      </c>
      <c r="D542" s="15" t="str">
        <f>IFERROR(__xludf.DUMMYFUNCTION("""COMPUTED_VALUE"""),"42")</f>
        <v>42</v>
      </c>
      <c r="E542" s="15" t="str">
        <f>IFERROR(__xludf.DUMMYFUNCTION("""COMPUTED_VALUE"""),"9")</f>
        <v>9</v>
      </c>
      <c r="F542" s="17" t="str">
        <f>IFERROR(__xludf.DUMMYFUNCTION("""COMPUTED_VALUE"""),"https://www.themeateater.com/cook/recipes/smoked-venison-jerky-recipe")</f>
        <v>https://www.themeateater.com/cook/recipes/smoked-venison-jerky-recipe</v>
      </c>
      <c r="G542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542" s="17" t="str">
        <f>IFERROR(__xludf.DUMMYFUNCTION("""COMPUTED_VALUE"""),"https://www.wideopenspaces.com/venison-jerky-recipes/")</f>
        <v>https://www.wideopenspaces.com/venison-jerky-recipes/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5" t="str">
        <f>IFERROR(__xludf.DUMMYFUNCTION("""COMPUTED_VALUE"""),"deer caller")</f>
        <v>deer caller</v>
      </c>
      <c r="B543" s="15" t="str">
        <f>IFERROR(__xludf.DUMMYFUNCTION("""COMPUTED_VALUE"""),"1000")</f>
        <v>1000</v>
      </c>
      <c r="C543" s="15" t="str">
        <f>IFERROR(__xludf.DUMMYFUNCTION("""COMPUTED_VALUE"""),"66")</f>
        <v>66</v>
      </c>
      <c r="D543" s="15" t="str">
        <f>IFERROR(__xludf.DUMMYFUNCTION("""COMPUTED_VALUE"""),"Not ranking")</f>
        <v>Not ranking</v>
      </c>
      <c r="E543" s="15" t="str">
        <f>IFERROR(__xludf.DUMMYFUNCTION("""COMPUTED_VALUE"""),"Not ranking")</f>
        <v>Not ranking</v>
      </c>
      <c r="F543" s="17" t="str">
        <f>IFERROR(__xludf.DUMMYFUNCTION("""COMPUTED_VALUE"""),"https://www.themeateater.com/wired-to-hunt/whitetail-hunting/3-grunt-call-vocalizations-every-whitetail-hunter-should-know")</f>
        <v>https://www.themeateater.com/wired-to-hunt/whitetail-hunting/3-grunt-call-vocalizations-every-whitetail-hunter-should-know</v>
      </c>
      <c r="G543" s="18" t="str">
        <f>IFERROR(__xludf.DUMMYFUNCTION("""COMPUTED_VALUE"""),"Not ranking")</f>
        <v>Not ranking</v>
      </c>
      <c r="H543" s="18" t="str">
        <f>IFERROR(__xludf.DUMMYFUNCTION("""COMPUTED_VALUE"""),"Not ranking")</f>
        <v>Not ranking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5" t="str">
        <f>IFERROR(__xludf.DUMMYFUNCTION("""COMPUTED_VALUE"""),"average deer weight")</f>
        <v>average deer weight</v>
      </c>
      <c r="B544" s="15" t="str">
        <f>IFERROR(__xludf.DUMMYFUNCTION("""COMPUTED_VALUE"""),"880")</f>
        <v>880</v>
      </c>
      <c r="C544" s="15" t="str">
        <f>IFERROR(__xludf.DUMMYFUNCTION("""COMPUTED_VALUE"""),"66")</f>
        <v>66</v>
      </c>
      <c r="D544" s="15" t="str">
        <f>IFERROR(__xludf.DUMMYFUNCTION("""COMPUTED_VALUE"""),"Not ranking")</f>
        <v>Not ranking</v>
      </c>
      <c r="E544" s="15" t="str">
        <f>IFERROR(__xludf.DUMMYFUNCTION("""COMPUTED_VALUE"""),"Not ranking")</f>
        <v>Not ranking</v>
      </c>
      <c r="F544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544" s="18" t="str">
        <f>IFERROR(__xludf.DUMMYFUNCTION("""COMPUTED_VALUE"""),"Not ranking")</f>
        <v>Not ranking</v>
      </c>
      <c r="H544" s="18" t="str">
        <f>IFERROR(__xludf.DUMMYFUNCTION("""COMPUTED_VALUE"""),"Not ranking")</f>
        <v>Not ranking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5" t="str">
        <f>IFERROR(__xludf.DUMMYFUNCTION("""COMPUTED_VALUE"""),"deer jerky recipes")</f>
        <v>deer jerky recipes</v>
      </c>
      <c r="B545" s="15" t="str">
        <f>IFERROR(__xludf.DUMMYFUNCTION("""COMPUTED_VALUE"""),"880")</f>
        <v>880</v>
      </c>
      <c r="C545" s="15" t="str">
        <f>IFERROR(__xludf.DUMMYFUNCTION("""COMPUTED_VALUE"""),"66")</f>
        <v>66</v>
      </c>
      <c r="D545" s="15" t="str">
        <f>IFERROR(__xludf.DUMMYFUNCTION("""COMPUTED_VALUE"""),"26")</f>
        <v>26</v>
      </c>
      <c r="E545" s="15" t="str">
        <f>IFERROR(__xludf.DUMMYFUNCTION("""COMPUTED_VALUE"""),"9")</f>
        <v>9</v>
      </c>
      <c r="F545" s="17" t="str">
        <f>IFERROR(__xludf.DUMMYFUNCTION("""COMPUTED_VALUE"""),"https://www.themeateater.com/cook/recipes/maple-syrup-venison-jerky-recipe")</f>
        <v>https://www.themeateater.com/cook/recipes/maple-syrup-venison-jerky-recipe</v>
      </c>
      <c r="G545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545" s="17" t="str">
        <f>IFERROR(__xludf.DUMMYFUNCTION("""COMPUTED_VALUE"""),"https://www.wideopenspaces.com/venison-jerky-recipes/")</f>
        <v>https://www.wideopenspaces.com/venison-jerky-recipes/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5" t="str">
        <f>IFERROR(__xludf.DUMMYFUNCTION("""COMPUTED_VALUE"""),"deermeat for dinner")</f>
        <v>deermeat for dinner</v>
      </c>
      <c r="B546" s="15" t="str">
        <f>IFERROR(__xludf.DUMMYFUNCTION("""COMPUTED_VALUE"""),"590")</f>
        <v>590</v>
      </c>
      <c r="C546" s="15" t="str">
        <f>IFERROR(__xludf.DUMMYFUNCTION("""COMPUTED_VALUE"""),"66")</f>
        <v>66</v>
      </c>
      <c r="D546" s="15" t="str">
        <f>IFERROR(__xludf.DUMMYFUNCTION("""COMPUTED_VALUE"""),"Not ranking")</f>
        <v>Not ranking</v>
      </c>
      <c r="E546" s="15" t="str">
        <f>IFERROR(__xludf.DUMMYFUNCTION("""COMPUTED_VALUE"""),"60")</f>
        <v>60</v>
      </c>
      <c r="F546" s="17" t="str">
        <f>IFERROR(__xludf.DUMMYFUNCTION("""COMPUTED_VALUE"""),"https://www.themeateater.com/cook/recipes/guinness-venison-stew")</f>
        <v>https://www.themeateater.com/cook/recipes/guinness-venison-stew</v>
      </c>
      <c r="G546" s="18" t="str">
        <f>IFERROR(__xludf.DUMMYFUNCTION("""COMPUTED_VALUE"""),"Not ranking")</f>
        <v>Not ranking</v>
      </c>
      <c r="H546" s="17" t="str">
        <f>IFERROR(__xludf.DUMMYFUNCTION("""COMPUTED_VALUE"""),"https://www.wideopenspaces.com/searching-for-the-best-venison-recipe-what-30-minutes-googling-deer-meat-taught-me/")</f>
        <v>https://www.wideopenspaces.com/searching-for-the-best-venison-recipe-what-30-minutes-googling-deer-meat-taught-me/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5" t="str">
        <f>IFERROR(__xludf.DUMMYFUNCTION("""COMPUTED_VALUE"""),"get well soon dead deer")</f>
        <v>get well soon dead deer</v>
      </c>
      <c r="B547" s="15" t="str">
        <f>IFERROR(__xludf.DUMMYFUNCTION("""COMPUTED_VALUE"""),"590")</f>
        <v>590</v>
      </c>
      <c r="C547" s="15" t="str">
        <f>IFERROR(__xludf.DUMMYFUNCTION("""COMPUTED_VALUE"""),"66")</f>
        <v>66</v>
      </c>
      <c r="D547" s="15" t="str">
        <f>IFERROR(__xludf.DUMMYFUNCTION("""COMPUTED_VALUE"""),"Not ranking")</f>
        <v>Not ranking</v>
      </c>
      <c r="E547" s="15" t="str">
        <f>IFERROR(__xludf.DUMMYFUNCTION("""COMPUTED_VALUE"""),"Not ranking")</f>
        <v>Not ranking</v>
      </c>
      <c r="F547" s="17" t="str">
        <f>IFERROR(__xludf.DUMMYFUNCTION("""COMPUTED_VALUE"""),"https://www.themeateater.com/cook/butchering-and-processing/do-you-need-to-bleed-deer")</f>
        <v>https://www.themeateater.com/cook/butchering-and-processing/do-you-need-to-bleed-deer</v>
      </c>
      <c r="G547" s="18" t="str">
        <f>IFERROR(__xludf.DUMMYFUNCTION("""COMPUTED_VALUE"""),"Not ranking")</f>
        <v>Not ranking</v>
      </c>
      <c r="H547" s="18" t="str">
        <f>IFERROR(__xludf.DUMMYFUNCTION("""COMPUTED_VALUE"""),"Not ranking")</f>
        <v>Not ranking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5" t="str">
        <f>IFERROR(__xludf.DUMMYFUNCTION("""COMPUTED_VALUE"""),"black tail deer")</f>
        <v>black tail deer</v>
      </c>
      <c r="B548" s="15" t="str">
        <f>IFERROR(__xludf.DUMMYFUNCTION("""COMPUTED_VALUE"""),"3600")</f>
        <v>3600</v>
      </c>
      <c r="C548" s="15" t="str">
        <f>IFERROR(__xludf.DUMMYFUNCTION("""COMPUTED_VALUE"""),"67")</f>
        <v>67</v>
      </c>
      <c r="D548" s="15" t="str">
        <f>IFERROR(__xludf.DUMMYFUNCTION("""COMPUTED_VALUE"""),"Not ranking")</f>
        <v>Not ranking</v>
      </c>
      <c r="E548" s="15" t="str">
        <f>IFERROR(__xludf.DUMMYFUNCTION("""COMPUTED_VALUE"""),"Not ranking")</f>
        <v>Not ranking</v>
      </c>
      <c r="F548" s="17" t="str">
        <f>IFERROR(__xludf.DUMMYFUNCTION("""COMPUTED_VALUE"""),"https://www.themeateater.com/hunt/black-tailed-deer/a-guide-to-hunting-blacktail-deer")</f>
        <v>https://www.themeateater.com/hunt/black-tailed-deer/a-guide-to-hunting-blacktail-deer</v>
      </c>
      <c r="G548" s="18" t="str">
        <f>IFERROR(__xludf.DUMMYFUNCTION("""COMPUTED_VALUE"""),"Not ranking")</f>
        <v>Not ranking</v>
      </c>
      <c r="H548" s="18" t="str">
        <f>IFERROR(__xludf.DUMMYFUNCTION("""COMPUTED_VALUE"""),"Not ranking")</f>
        <v>Not ranking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5" t="str">
        <f>IFERROR(__xludf.DUMMYFUNCTION("""COMPUTED_VALUE"""),"how to draw a deer easy")</f>
        <v>how to draw a deer easy</v>
      </c>
      <c r="B549" s="15" t="str">
        <f>IFERROR(__xludf.DUMMYFUNCTION("""COMPUTED_VALUE"""),"1000")</f>
        <v>1000</v>
      </c>
      <c r="C549" s="15" t="str">
        <f>IFERROR(__xludf.DUMMYFUNCTION("""COMPUTED_VALUE"""),"67")</f>
        <v>67</v>
      </c>
      <c r="D549" s="15" t="str">
        <f>IFERROR(__xludf.DUMMYFUNCTION("""COMPUTED_VALUE"""),"Not ranking")</f>
        <v>Not ranking</v>
      </c>
      <c r="E549" s="15" t="str">
        <f>IFERROR(__xludf.DUMMYFUNCTION("""COMPUTED_VALUE"""),"Not ranking")</f>
        <v>Not ranking</v>
      </c>
      <c r="F549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549" s="18" t="str">
        <f>IFERROR(__xludf.DUMMYFUNCTION("""COMPUTED_VALUE"""),"Not ranking")</f>
        <v>Not ranking</v>
      </c>
      <c r="H549" s="18" t="str">
        <f>IFERROR(__xludf.DUMMYFUNCTION("""COMPUTED_VALUE"""),"Not ranking")</f>
        <v>Not ranking</v>
      </c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5" t="str">
        <f>IFERROR(__xludf.DUMMYFUNCTION("""COMPUTED_VALUE"""),"deer drive")</f>
        <v>deer drive</v>
      </c>
      <c r="B550" s="15" t="str">
        <f>IFERROR(__xludf.DUMMYFUNCTION("""COMPUTED_VALUE"""),"720")</f>
        <v>720</v>
      </c>
      <c r="C550" s="15" t="str">
        <f>IFERROR(__xludf.DUMMYFUNCTION("""COMPUTED_VALUE"""),"67")</f>
        <v>67</v>
      </c>
      <c r="D550" s="15" t="str">
        <f>IFERROR(__xludf.DUMMYFUNCTION("""COMPUTED_VALUE"""),"Not ranking")</f>
        <v>Not ranking</v>
      </c>
      <c r="E550" s="15" t="str">
        <f>IFERROR(__xludf.DUMMYFUNCTION("""COMPUTED_VALUE"""),"3")</f>
        <v>3</v>
      </c>
      <c r="F550" s="17" t="str">
        <f>IFERROR(__xludf.DUMMYFUNCTION("""COMPUTED_VALUE"""),"https://www.themeateater.com/wired-to-hunt/whitetail-hunting/how-to-mooch-deer-like-doug-duren")</f>
        <v>https://www.themeateater.com/wired-to-hunt/whitetail-hunting/how-to-mooch-deer-like-doug-duren</v>
      </c>
      <c r="G550" s="18" t="str">
        <f>IFERROR(__xludf.DUMMYFUNCTION("""COMPUTED_VALUE"""),"Not ranking")</f>
        <v>Not ranking</v>
      </c>
      <c r="H550" s="17" t="str">
        <f>IFERROR(__xludf.DUMMYFUNCTION("""COMPUTED_VALUE"""),"https://www.wideopenspaces.com/what-is-a-deer-drive/")</f>
        <v>https://www.wideopenspaces.com/what-is-a-deer-drive/</v>
      </c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5" t="str">
        <f>IFERROR(__xludf.DUMMYFUNCTION("""COMPUTED_VALUE"""),"doe mule deer")</f>
        <v>doe mule deer</v>
      </c>
      <c r="B551" s="15" t="str">
        <f>IFERROR(__xludf.DUMMYFUNCTION("""COMPUTED_VALUE"""),"720")</f>
        <v>720</v>
      </c>
      <c r="C551" s="15" t="str">
        <f>IFERROR(__xludf.DUMMYFUNCTION("""COMPUTED_VALUE"""),"67")</f>
        <v>67</v>
      </c>
      <c r="D551" s="15" t="str">
        <f>IFERROR(__xludf.DUMMYFUNCTION("""COMPUTED_VALUE"""),"34")</f>
        <v>34</v>
      </c>
      <c r="E551" s="15" t="str">
        <f>IFERROR(__xludf.DUMMYFUNCTION("""COMPUTED_VALUE"""),"Not ranking")</f>
        <v>Not ranking</v>
      </c>
      <c r="F551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551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551" s="18" t="str">
        <f>IFERROR(__xludf.DUMMYFUNCTION("""COMPUTED_VALUE"""),"Not ranking")</f>
        <v>Not ranking</v>
      </c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5" t="str">
        <f>IFERROR(__xludf.DUMMYFUNCTION("""COMPUTED_VALUE"""),"skinning knife for deer")</f>
        <v>skinning knife for deer</v>
      </c>
      <c r="B552" s="15" t="str">
        <f>IFERROR(__xludf.DUMMYFUNCTION("""COMPUTED_VALUE"""),"720")</f>
        <v>720</v>
      </c>
      <c r="C552" s="15" t="str">
        <f>IFERROR(__xludf.DUMMYFUNCTION("""COMPUTED_VALUE"""),"67")</f>
        <v>67</v>
      </c>
      <c r="D552" s="15" t="str">
        <f>IFERROR(__xludf.DUMMYFUNCTION("""COMPUTED_VALUE"""),"31")</f>
        <v>31</v>
      </c>
      <c r="E552" s="15" t="str">
        <f>IFERROR(__xludf.DUMMYFUNCTION("""COMPUTED_VALUE"""),"Not ranking")</f>
        <v>Not ranking</v>
      </c>
      <c r="F552" s="17" t="str">
        <f>IFERROR(__xludf.DUMMYFUNCTION("""COMPUTED_VALUE"""),"https://www.themeateater.com/gear/general/best-hunting-knives")</f>
        <v>https://www.themeateater.com/gear/general/best-hunting-knives</v>
      </c>
      <c r="G552" s="17" t="str">
        <f>IFERROR(__xludf.DUMMYFUNCTION("""COMPUTED_VALUE"""),"https://realtree.com/brow-tines-and-backstrap/15-steps-to-forge-your-own-deer-skinning-knife")</f>
        <v>https://realtree.com/brow-tines-and-backstrap/15-steps-to-forge-your-own-deer-skinning-knife</v>
      </c>
      <c r="H552" s="18" t="str">
        <f>IFERROR(__xludf.DUMMYFUNCTION("""COMPUTED_VALUE"""),"Not ranking")</f>
        <v>Not ranking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5" t="str">
        <f>IFERROR(__xludf.DUMMYFUNCTION("""COMPUTED_VALUE"""),"big deer")</f>
        <v>big deer</v>
      </c>
      <c r="B553" s="15" t="str">
        <f>IFERROR(__xludf.DUMMYFUNCTION("""COMPUTED_VALUE"""),"2900")</f>
        <v>2900</v>
      </c>
      <c r="C553" s="15" t="str">
        <f>IFERROR(__xludf.DUMMYFUNCTION("""COMPUTED_VALUE"""),"68")</f>
        <v>68</v>
      </c>
      <c r="D553" s="15" t="str">
        <f>IFERROR(__xludf.DUMMYFUNCTION("""COMPUTED_VALUE"""),"16")</f>
        <v>16</v>
      </c>
      <c r="E553" s="15" t="str">
        <f>IFERROR(__xludf.DUMMYFUNCTION("""COMPUTED_VALUE"""),"94")</f>
        <v>94</v>
      </c>
      <c r="F553" s="17" t="str">
        <f>IFERROR(__xludf.DUMMYFUNCTION("""COMPUTED_VALUE"""),"https://www.themeateater.com/watch/6222000778001/s4-e12-big-buck-dreams-mule-deer-special")</f>
        <v>https://www.themeateater.com/watch/6222000778001/s4-e12-big-buck-dreams-mule-deer-special</v>
      </c>
      <c r="G553" s="17" t="str">
        <f>IFERROR(__xludf.DUMMYFUNCTION("""COMPUTED_VALUE"""),"https://realtree.com/deer-hunting/articles/how-to-hunt-big-old-mature-bucks")</f>
        <v>https://realtree.com/deer-hunting/articles/how-to-hunt-big-old-mature-bucks</v>
      </c>
      <c r="H553" s="17" t="str">
        <f>IFERROR(__xludf.DUMMYFUNCTION("""COMPUTED_VALUE"""),"https://www.wideopenspaces.com/5-biggest-whitetail-bucks-ever-found-dead/")</f>
        <v>https://www.wideopenspaces.com/5-biggest-whitetail-bucks-ever-found-dead/</v>
      </c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5" t="str">
        <f>IFERROR(__xludf.DUMMYFUNCTION("""COMPUTED_VALUE"""),"deer poop pictures")</f>
        <v>deer poop pictures</v>
      </c>
      <c r="B554" s="15" t="str">
        <f>IFERROR(__xludf.DUMMYFUNCTION("""COMPUTED_VALUE"""),"2900")</f>
        <v>2900</v>
      </c>
      <c r="C554" s="15" t="str">
        <f>IFERROR(__xludf.DUMMYFUNCTION("""COMPUTED_VALUE"""),"68")</f>
        <v>68</v>
      </c>
      <c r="D554" s="15" t="str">
        <f>IFERROR(__xludf.DUMMYFUNCTION("""COMPUTED_VALUE"""),"25")</f>
        <v>25</v>
      </c>
      <c r="E554" s="15" t="str">
        <f>IFERROR(__xludf.DUMMYFUNCTION("""COMPUTED_VALUE"""),"33")</f>
        <v>33</v>
      </c>
      <c r="F554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554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554" s="17" t="str">
        <f>IFERROR(__xludf.DUMMYFUNCTION("""COMPUTED_VALUE"""),"https://www.wideopenspaces.com/deer-poop-identification/")</f>
        <v>https://www.wideopenspaces.com/deer-poop-identification/</v>
      </c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5" t="str">
        <f>IFERROR(__xludf.DUMMYFUNCTION("""COMPUTED_VALUE"""),"pronghorn deer")</f>
        <v>pronghorn deer</v>
      </c>
      <c r="B555" s="15" t="str">
        <f>IFERROR(__xludf.DUMMYFUNCTION("""COMPUTED_VALUE"""),"1000")</f>
        <v>1000</v>
      </c>
      <c r="C555" s="15" t="str">
        <f>IFERROR(__xludf.DUMMYFUNCTION("""COMPUTED_VALUE"""),"68")</f>
        <v>68</v>
      </c>
      <c r="D555" s="15" t="str">
        <f>IFERROR(__xludf.DUMMYFUNCTION("""COMPUTED_VALUE"""),"Not ranking")</f>
        <v>Not ranking</v>
      </c>
      <c r="E555" s="15" t="str">
        <f>IFERROR(__xludf.DUMMYFUNCTION("""COMPUTED_VALUE"""),"Not ranking")</f>
        <v>Not ranking</v>
      </c>
      <c r="F555" s="17" t="str">
        <f>IFERROR(__xludf.DUMMYFUNCTION("""COMPUTED_VALUE"""),"https://www.themeateater.com/hunt/pronghorn-antelope/a-guide-to-hunting-pronghorn-antelope")</f>
        <v>https://www.themeateater.com/hunt/pronghorn-antelope/a-guide-to-hunting-pronghorn-antelope</v>
      </c>
      <c r="G555" s="18" t="str">
        <f>IFERROR(__xludf.DUMMYFUNCTION("""COMPUTED_VALUE"""),"Not ranking")</f>
        <v>Not ranking</v>
      </c>
      <c r="H555" s="18" t="str">
        <f>IFERROR(__xludf.DUMMYFUNCTION("""COMPUTED_VALUE"""),"Not ranking")</f>
        <v>Not ranking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5" t="str">
        <f>IFERROR(__xludf.DUMMYFUNCTION("""COMPUTED_VALUE"""),"best deer hunting times")</f>
        <v>best deer hunting times</v>
      </c>
      <c r="B556" s="15" t="str">
        <f>IFERROR(__xludf.DUMMYFUNCTION("""COMPUTED_VALUE"""),"1300")</f>
        <v>1300</v>
      </c>
      <c r="C556" s="15" t="str">
        <f>IFERROR(__xludf.DUMMYFUNCTION("""COMPUTED_VALUE"""),"69")</f>
        <v>69</v>
      </c>
      <c r="D556" s="15" t="str">
        <f>IFERROR(__xludf.DUMMYFUNCTION("""COMPUTED_VALUE"""),"4")</f>
        <v>4</v>
      </c>
      <c r="E556" s="15" t="str">
        <f>IFERROR(__xludf.DUMMYFUNCTION("""COMPUTED_VALUE"""),"7")</f>
        <v>7</v>
      </c>
      <c r="F556" s="17" t="str">
        <f>IFERROR(__xludf.DUMMYFUNCTION("""COMPUTED_VALUE"""),"https://www.themeateater.com/wired-to-hunt/whitetail-hunting/the-debate-about-lunar-effects-on-whitetails")</f>
        <v>https://www.themeateater.com/wired-to-hunt/whitetail-hunting/the-debate-about-lunar-effects-on-whitetails</v>
      </c>
      <c r="G556" s="17" t="str">
        <f>IFERROR(__xludf.DUMMYFUNCTION("""COMPUTED_VALUE"""),"https://realtree.com/deer-hunting/articles/10-best-times-to-deer-hunt")</f>
        <v>https://realtree.com/deer-hunting/articles/10-best-times-to-deer-hunt</v>
      </c>
      <c r="H556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5" t="str">
        <f>IFERROR(__xludf.DUMMYFUNCTION("""COMPUTED_VALUE"""),"when do whitetail deer shed their antlers")</f>
        <v>when do whitetail deer shed their antlers</v>
      </c>
      <c r="B557" s="15" t="str">
        <f>IFERROR(__xludf.DUMMYFUNCTION("""COMPUTED_VALUE"""),"1000")</f>
        <v>1000</v>
      </c>
      <c r="C557" s="15" t="str">
        <f>IFERROR(__xludf.DUMMYFUNCTION("""COMPUTED_VALUE"""),"69")</f>
        <v>69</v>
      </c>
      <c r="D557" s="15" t="str">
        <f>IFERROR(__xludf.DUMMYFUNCTION("""COMPUTED_VALUE"""),"18")</f>
        <v>18</v>
      </c>
      <c r="E557" s="15" t="str">
        <f>IFERROR(__xludf.DUMMYFUNCTION("""COMPUTED_VALUE"""),"15")</f>
        <v>15</v>
      </c>
      <c r="F557" s="17" t="str">
        <f>IFERROR(__xludf.DUMMYFUNCTION("""COMPUTED_VALUE"""),"https://www.themeateater.com/wired-to-hunt/whitetail-scouting/ask-wired-to-hunt-when-should-you-start-shed-hunting")</f>
        <v>https://www.themeateater.com/wired-to-hunt/whitetail-scouting/ask-wired-to-hunt-when-should-you-start-shed-hunting</v>
      </c>
      <c r="G557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557" s="17" t="str">
        <f>IFERROR(__xludf.DUMMYFUNCTION("""COMPUTED_VALUE"""),"https://www.wideopenspaces.com/deer-shed-antlers-pics/")</f>
        <v>https://www.wideopenspaces.com/deer-shed-antlers-pics/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5" t="str">
        <f>IFERROR(__xludf.DUMMYFUNCTION("""COMPUTED_VALUE"""),"deer tag")</f>
        <v>deer tag</v>
      </c>
      <c r="B558" s="15" t="str">
        <f>IFERROR(__xludf.DUMMYFUNCTION("""COMPUTED_VALUE"""),"590")</f>
        <v>590</v>
      </c>
      <c r="C558" s="15" t="str">
        <f>IFERROR(__xludf.DUMMYFUNCTION("""COMPUTED_VALUE"""),"69")</f>
        <v>69</v>
      </c>
      <c r="D558" s="15" t="str">
        <f>IFERROR(__xludf.DUMMYFUNCTION("""COMPUTED_VALUE"""),"Not ranking")</f>
        <v>Not ranking</v>
      </c>
      <c r="E558" s="15" t="str">
        <f>IFERROR(__xludf.DUMMYFUNCTION("""COMPUTED_VALUE"""),"Not ranking")</f>
        <v>Not ranking</v>
      </c>
      <c r="F558" s="17" t="str">
        <f>IFERROR(__xludf.DUMMYFUNCTION("""COMPUTED_VALUE"""),"https://www.themeateater.com/hunt/big-game/big-game-tags-the-over-the-counter-option")</f>
        <v>https://www.themeateater.com/hunt/big-game/big-game-tags-the-over-the-counter-option</v>
      </c>
      <c r="G558" s="18" t="str">
        <f>IFERROR(__xludf.DUMMYFUNCTION("""COMPUTED_VALUE"""),"Not ranking")</f>
        <v>Not ranking</v>
      </c>
      <c r="H558" s="18" t="str">
        <f>IFERROR(__xludf.DUMMYFUNCTION("""COMPUTED_VALUE"""),"Not ranking")</f>
        <v>Not ranking</v>
      </c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5" t="str">
        <f>IFERROR(__xludf.DUMMYFUNCTION("""COMPUTED_VALUE"""),"deer meat for dinner")</f>
        <v>deer meat for dinner</v>
      </c>
      <c r="B559" s="15" t="str">
        <f>IFERROR(__xludf.DUMMYFUNCTION("""COMPUTED_VALUE"""),"3600")</f>
        <v>3600</v>
      </c>
      <c r="C559" s="15" t="str">
        <f>IFERROR(__xludf.DUMMYFUNCTION("""COMPUTED_VALUE"""),"70")</f>
        <v>70</v>
      </c>
      <c r="D559" s="15" t="str">
        <f>IFERROR(__xludf.DUMMYFUNCTION("""COMPUTED_VALUE"""),"Not ranking")</f>
        <v>Not ranking</v>
      </c>
      <c r="E559" s="15" t="str">
        <f>IFERROR(__xludf.DUMMYFUNCTION("""COMPUTED_VALUE"""),"63")</f>
        <v>63</v>
      </c>
      <c r="F559" s="17" t="str">
        <f>IFERROR(__xludf.DUMMYFUNCTION("""COMPUTED_VALUE"""),"https://www.themeateater.com/shows/meateater")</f>
        <v>https://www.themeateater.com/shows/meateater</v>
      </c>
      <c r="G559" s="18" t="str">
        <f>IFERROR(__xludf.DUMMYFUNCTION("""COMPUTED_VALUE"""),"Not ranking")</f>
        <v>Not ranking</v>
      </c>
      <c r="H559" s="17" t="str">
        <f>IFERROR(__xludf.DUMMYFUNCTION("""COMPUTED_VALUE"""),"https://www.wideopenspaces.com/this-13-foot-1100-pound-alligator-needs-a-whole-wall-for-the-mount/")</f>
        <v>https://www.wideopenspaces.com/this-13-foot-1100-pound-alligator-needs-a-whole-wall-for-the-mount/</v>
      </c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5" t="str">
        <f>IFERROR(__xludf.DUMMYFUNCTION("""COMPUTED_VALUE"""),"do bears eat deer")</f>
        <v>do bears eat deer</v>
      </c>
      <c r="B560" s="15" t="str">
        <f>IFERROR(__xludf.DUMMYFUNCTION("""COMPUTED_VALUE"""),"1300")</f>
        <v>1300</v>
      </c>
      <c r="C560" s="15" t="str">
        <f>IFERROR(__xludf.DUMMYFUNCTION("""COMPUTED_VALUE"""),"70")</f>
        <v>70</v>
      </c>
      <c r="D560" s="15" t="str">
        <f>IFERROR(__xludf.DUMMYFUNCTION("""COMPUTED_VALUE"""),"Not ranking")</f>
        <v>Not ranking</v>
      </c>
      <c r="E560" s="15" t="str">
        <f>IFERROR(__xludf.DUMMYFUNCTION("""COMPUTED_VALUE"""),"Not ranking")</f>
        <v>Not ranking</v>
      </c>
      <c r="F560" s="17" t="str">
        <f>IFERROR(__xludf.DUMMYFUNCTION("""COMPUTED_VALUE"""),"https://www.themeateater.com/hunt/black-bear/a-guide-to-hunting-black-bear")</f>
        <v>https://www.themeateater.com/hunt/black-bear/a-guide-to-hunting-black-bear</v>
      </c>
      <c r="G560" s="18" t="str">
        <f>IFERROR(__xludf.DUMMYFUNCTION("""COMPUTED_VALUE"""),"Not ranking")</f>
        <v>Not ranking</v>
      </c>
      <c r="H560" s="18" t="str">
        <f>IFERROR(__xludf.DUMMYFUNCTION("""COMPUTED_VALUE"""),"Not ranking")</f>
        <v>Not ranking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5" t="str">
        <f>IFERROR(__xludf.DUMMYFUNCTION("""COMPUTED_VALUE"""),"hunting deer with a shotgun")</f>
        <v>hunting deer with a shotgun</v>
      </c>
      <c r="B561" s="15" t="str">
        <f>IFERROR(__xludf.DUMMYFUNCTION("""COMPUTED_VALUE"""),"880")</f>
        <v>880</v>
      </c>
      <c r="C561" s="15" t="str">
        <f>IFERROR(__xludf.DUMMYFUNCTION("""COMPUTED_VALUE"""),"70")</f>
        <v>70</v>
      </c>
      <c r="D561" s="15" t="str">
        <f>IFERROR(__xludf.DUMMYFUNCTION("""COMPUTED_VALUE"""),"9")</f>
        <v>9</v>
      </c>
      <c r="E561" s="15" t="str">
        <f>IFERROR(__xludf.DUMMYFUNCTION("""COMPUTED_VALUE"""),"3")</f>
        <v>3</v>
      </c>
      <c r="F561" s="17" t="str">
        <f>IFERROR(__xludf.DUMMYFUNCTION("""COMPUTED_VALUE"""),"https://www.themeateater.com/gear/gear-hunt/hunting-slug-guns")</f>
        <v>https://www.themeateater.com/gear/gear-hunt/hunting-slug-guns</v>
      </c>
      <c r="G561" s="17" t="str">
        <f>IFERROR(__xludf.DUMMYFUNCTION("""COMPUTED_VALUE"""),"https://realtree.com/deer-hunting/articles/deer-hunting-with-a-slug-gun")</f>
        <v>https://realtree.com/deer-hunting/articles/deer-hunting-with-a-slug-gun</v>
      </c>
      <c r="H561" s="17" t="str">
        <f>IFERROR(__xludf.DUMMYFUNCTION("""COMPUTED_VALUE"""),"https://www.wideopenspaces.com/the-legalities-trends-and-efficacy-of-deer-hunting-with-shotguns/")</f>
        <v>https://www.wideopenspaces.com/the-legalities-trends-and-efficacy-of-deer-hunting-with-shotguns/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5" t="str">
        <f>IFERROR(__xludf.DUMMYFUNCTION("""COMPUTED_VALUE"""),"rabbit poop vs deer poop")</f>
        <v>rabbit poop vs deer poop</v>
      </c>
      <c r="B562" s="15" t="str">
        <f>IFERROR(__xludf.DUMMYFUNCTION("""COMPUTED_VALUE"""),"1600")</f>
        <v>1600</v>
      </c>
      <c r="C562" s="15" t="str">
        <f>IFERROR(__xludf.DUMMYFUNCTION("""COMPUTED_VALUE"""),"71")</f>
        <v>71</v>
      </c>
      <c r="D562" s="15" t="str">
        <f>IFERROR(__xludf.DUMMYFUNCTION("""COMPUTED_VALUE"""),"24")</f>
        <v>24</v>
      </c>
      <c r="E562" s="15" t="str">
        <f>IFERROR(__xludf.DUMMYFUNCTION("""COMPUTED_VALUE"""),"29")</f>
        <v>29</v>
      </c>
      <c r="F562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562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562" s="17" t="str">
        <f>IFERROR(__xludf.DUMMYFUNCTION("""COMPUTED_VALUE"""),"https://www.wideopenspaces.com/deer-poop-identification/")</f>
        <v>https://www.wideopenspaces.com/deer-poop-identification/</v>
      </c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5" t="str">
        <f>IFERROR(__xludf.DUMMYFUNCTION("""COMPUTED_VALUE"""),"a pet deer")</f>
        <v>a pet deer</v>
      </c>
      <c r="B563" s="15" t="str">
        <f>IFERROR(__xludf.DUMMYFUNCTION("""COMPUTED_VALUE"""),"1000")</f>
        <v>1000</v>
      </c>
      <c r="C563" s="15" t="str">
        <f>IFERROR(__xludf.DUMMYFUNCTION("""COMPUTED_VALUE"""),"71")</f>
        <v>71</v>
      </c>
      <c r="D563" s="15" t="str">
        <f>IFERROR(__xludf.DUMMYFUNCTION("""COMPUTED_VALUE"""),"Not ranking")</f>
        <v>Not ranking</v>
      </c>
      <c r="E563" s="15" t="str">
        <f>IFERROR(__xludf.DUMMYFUNCTION("""COMPUTED_VALUE"""),"5")</f>
        <v>5</v>
      </c>
      <c r="F563" s="17" t="str">
        <f>IFERROR(__xludf.DUMMYFUNCTION("""COMPUTED_VALUE"""),"https://www.themeateater.com/conservation/wildlife-management/video-game-warden-shoots-familys-pet-deer")</f>
        <v>https://www.themeateater.com/conservation/wildlife-management/video-game-warden-shoots-familys-pet-deer</v>
      </c>
      <c r="G563" s="18" t="str">
        <f>IFERROR(__xludf.DUMMYFUNCTION("""COMPUTED_VALUE"""),"Not ranking")</f>
        <v>Not ranking</v>
      </c>
      <c r="H563" s="17" t="str">
        <f>IFERROR(__xludf.DUMMYFUNCTION("""COMPUTED_VALUE"""),"https://www.wideopenspaces.com/deer-as-pets/")</f>
        <v>https://www.wideopenspaces.com/deer-as-pets/</v>
      </c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5" t="str">
        <f>IFERROR(__xludf.DUMMYFUNCTION("""COMPUTED_VALUE"""),"pop up deer blind")</f>
        <v>pop up deer blind</v>
      </c>
      <c r="B564" s="15" t="str">
        <f>IFERROR(__xludf.DUMMYFUNCTION("""COMPUTED_VALUE"""),"880")</f>
        <v>880</v>
      </c>
      <c r="C564" s="15" t="str">
        <f>IFERROR(__xludf.DUMMYFUNCTION("""COMPUTED_VALUE"""),"71")</f>
        <v>71</v>
      </c>
      <c r="D564" s="15" t="str">
        <f>IFERROR(__xludf.DUMMYFUNCTION("""COMPUTED_VALUE"""),"79")</f>
        <v>79</v>
      </c>
      <c r="E564" s="15" t="str">
        <f>IFERROR(__xludf.DUMMYFUNCTION("""COMPUTED_VALUE"""),"Not ranking")</f>
        <v>Not ranking</v>
      </c>
      <c r="F564" s="17" t="str">
        <f>IFERROR(__xludf.DUMMYFUNCTION("""COMPUTED_VALUE"""),"https://www.themeateater.com/wired-to-hunt/whitetail-scouting/how-to-set-up-a-ground-blind-that-wont-spook-deer")</f>
        <v>https://www.themeateater.com/wired-to-hunt/whitetail-scouting/how-to-set-up-a-ground-blind-that-wont-spook-deer</v>
      </c>
      <c r="G564" s="17" t="str">
        <f>IFERROR(__xludf.DUMMYFUNCTION("""COMPUTED_VALUE"""),"https://realtree.com/all/articles/staying-grounded")</f>
        <v>https://realtree.com/all/articles/staying-grounded</v>
      </c>
      <c r="H564" s="18" t="str">
        <f>IFERROR(__xludf.DUMMYFUNCTION("""COMPUTED_VALUE"""),"Not ranking")</f>
        <v>Not ranking</v>
      </c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5" t="str">
        <f>IFERROR(__xludf.DUMMYFUNCTION("""COMPUTED_VALUE"""),"deer food plots")</f>
        <v>deer food plots</v>
      </c>
      <c r="B565" s="15" t="str">
        <f>IFERROR(__xludf.DUMMYFUNCTION("""COMPUTED_VALUE"""),"1900")</f>
        <v>1900</v>
      </c>
      <c r="C565" s="15" t="str">
        <f>IFERROR(__xludf.DUMMYFUNCTION("""COMPUTED_VALUE"""),"72")</f>
        <v>72</v>
      </c>
      <c r="D565" s="15" t="str">
        <f>IFERROR(__xludf.DUMMYFUNCTION("""COMPUTED_VALUE"""),"53")</f>
        <v>53</v>
      </c>
      <c r="E565" s="15" t="str">
        <f>IFERROR(__xludf.DUMMYFUNCTION("""COMPUTED_VALUE"""),"Not ranking")</f>
        <v>Not ranking</v>
      </c>
      <c r="F565" s="17" t="str">
        <f>IFERROR(__xludf.DUMMYFUNCTION("""COMPUTED_VALUE"""),"https://www.themeateater.com/wired-to-hunt/whitetail-management/how-to-plant-a-food-plot-on-a-budget")</f>
        <v>https://www.themeateater.com/wired-to-hunt/whitetail-management/how-to-plant-a-food-plot-on-a-budget</v>
      </c>
      <c r="G565" s="17" t="str">
        <f>IFERROR(__xludf.DUMMYFUNCTION("""COMPUTED_VALUE"""),"https://realtree.com/brow-tines-and-backstrap/micro-food-plots-for-bow-season")</f>
        <v>https://realtree.com/brow-tines-and-backstrap/micro-food-plots-for-bow-season</v>
      </c>
      <c r="H565" s="18" t="str">
        <f>IFERROR(__xludf.DUMMYFUNCTION("""COMPUTED_VALUE"""),"Not ranking")</f>
        <v>Not ranking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5" t="str">
        <f>IFERROR(__xludf.DUMMYFUNCTION("""COMPUTED_VALUE"""),"deer feet")</f>
        <v>deer feet</v>
      </c>
      <c r="B566" s="15" t="str">
        <f>IFERROR(__xludf.DUMMYFUNCTION("""COMPUTED_VALUE"""),"1300")</f>
        <v>1300</v>
      </c>
      <c r="C566" s="15" t="str">
        <f>IFERROR(__xludf.DUMMYFUNCTION("""COMPUTED_VALUE"""),"72")</f>
        <v>72</v>
      </c>
      <c r="D566" s="15" t="str">
        <f>IFERROR(__xludf.DUMMYFUNCTION("""COMPUTED_VALUE"""),"Not ranking")</f>
        <v>Not ranking</v>
      </c>
      <c r="E566" s="15" t="str">
        <f>IFERROR(__xludf.DUMMYFUNCTION("""COMPUTED_VALUE"""),"4")</f>
        <v>4</v>
      </c>
      <c r="F566" s="17" t="str">
        <f>IFERROR(__xludf.DUMMYFUNCTION("""COMPUTED_VALUE"""),"https://www.themeateater.com/wired-to-hunt/whitetail-scouting/what-you-need-to-know-about-deer-tracks")</f>
        <v>https://www.themeateater.com/wired-to-hunt/whitetail-scouting/what-you-need-to-know-about-deer-tracks</v>
      </c>
      <c r="G566" s="18" t="str">
        <f>IFERROR(__xludf.DUMMYFUNCTION("""COMPUTED_VALUE"""),"Not ranking")</f>
        <v>Not ranking</v>
      </c>
      <c r="H566" s="17" t="str">
        <f>IFERROR(__xludf.DUMMYFUNCTION("""COMPUTED_VALUE"""),"https://www.wideopenspaces.com/deer-hooves-what-theyre-made-from-and-indicators-of-health/")</f>
        <v>https://www.wideopenspaces.com/deer-hooves-what-theyre-made-from-and-indicators-of-health/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5" t="str">
        <f>IFERROR(__xludf.DUMMYFUNCTION("""COMPUTED_VALUE"""),"deer sound")</f>
        <v>deer sound</v>
      </c>
      <c r="B567" s="15" t="str">
        <f>IFERROR(__xludf.DUMMYFUNCTION("""COMPUTED_VALUE"""),"1000")</f>
        <v>1000</v>
      </c>
      <c r="C567" s="15" t="str">
        <f>IFERROR(__xludf.DUMMYFUNCTION("""COMPUTED_VALUE"""),"73")</f>
        <v>73</v>
      </c>
      <c r="D567" s="15" t="str">
        <f>IFERROR(__xludf.DUMMYFUNCTION("""COMPUTED_VALUE"""),"Not ranking")</f>
        <v>Not ranking</v>
      </c>
      <c r="E567" s="15" t="str">
        <f>IFERROR(__xludf.DUMMYFUNCTION("""COMPUTED_VALUE"""),"13")</f>
        <v>13</v>
      </c>
      <c r="F567" s="17" t="str">
        <f>IFERROR(__xludf.DUMMYFUNCTION("""COMPUTED_VALUE"""),"https://www.themeateater.com/wired-to-hunt/whitetail-hunting/how-well-do-deer-hear")</f>
        <v>https://www.themeateater.com/wired-to-hunt/whitetail-hunting/how-well-do-deer-hear</v>
      </c>
      <c r="G567" s="18" t="str">
        <f>IFERROR(__xludf.DUMMYFUNCTION("""COMPUTED_VALUE"""),"Not ranking")</f>
        <v>Not ranking</v>
      </c>
      <c r="H567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5" t="str">
        <f>IFERROR(__xludf.DUMMYFUNCTION("""COMPUTED_VALUE"""),"biggest deer")</f>
        <v>biggest deer</v>
      </c>
      <c r="B568" s="15" t="str">
        <f>IFERROR(__xludf.DUMMYFUNCTION("""COMPUTED_VALUE"""),"720")</f>
        <v>720</v>
      </c>
      <c r="C568" s="15" t="str">
        <f>IFERROR(__xludf.DUMMYFUNCTION("""COMPUTED_VALUE"""),"73")</f>
        <v>73</v>
      </c>
      <c r="D568" s="15" t="str">
        <f>IFERROR(__xludf.DUMMYFUNCTION("""COMPUTED_VALUE"""),"27")</f>
        <v>27</v>
      </c>
      <c r="E568" s="15" t="str">
        <f>IFERROR(__xludf.DUMMYFUNCTION("""COMPUTED_VALUE"""),"44")</f>
        <v>44</v>
      </c>
      <c r="F568" s="17" t="str">
        <f>IFERROR(__xludf.DUMMYFUNCTION("""COMPUTED_VALUE"""),"https://www.themeateater.com/hunt/mule-deer/is-this-the-new-texas-state-record-mule-deer")</f>
        <v>https://www.themeateater.com/hunt/mule-deer/is-this-the-new-texas-state-record-mule-deer</v>
      </c>
      <c r="G568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568" s="17" t="str">
        <f>IFERROR(__xludf.DUMMYFUNCTION("""COMPUTED_VALUE"""),"https://www.wideopenspaces.com/5-biggest-whitetail-bucks-ever-found-dead/")</f>
        <v>https://www.wideopenspaces.com/5-biggest-whitetail-bucks-ever-found-dead/</v>
      </c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5" t="str">
        <f>IFERROR(__xludf.DUMMYFUNCTION("""COMPUTED_VALUE"""),"deer jerky seasoning")</f>
        <v>deer jerky seasoning</v>
      </c>
      <c r="B569" s="15" t="str">
        <f>IFERROR(__xludf.DUMMYFUNCTION("""COMPUTED_VALUE"""),"590")</f>
        <v>590</v>
      </c>
      <c r="C569" s="15" t="str">
        <f>IFERROR(__xludf.DUMMYFUNCTION("""COMPUTED_VALUE"""),"73")</f>
        <v>73</v>
      </c>
      <c r="D569" s="15" t="str">
        <f>IFERROR(__xludf.DUMMYFUNCTION("""COMPUTED_VALUE"""),"52")</f>
        <v>52</v>
      </c>
      <c r="E569" s="15" t="str">
        <f>IFERROR(__xludf.DUMMYFUNCTION("""COMPUTED_VALUE"""),"8")</f>
        <v>8</v>
      </c>
      <c r="F569" s="17" t="str">
        <f>IFERROR(__xludf.DUMMYFUNCTION("""COMPUTED_VALUE"""),"https://www.themeateater.com/cook/recipes/smoked-venison-jerky-recipe")</f>
        <v>https://www.themeateater.com/cook/recipes/smoked-venison-jerky-recipe</v>
      </c>
      <c r="G569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569" s="17" t="str">
        <f>IFERROR(__xludf.DUMMYFUNCTION("""COMPUTED_VALUE"""),"https://www.wideopenspaces.com/venison-jerky-recipes/")</f>
        <v>https://www.wideopenspaces.com/venison-jerky-recipes/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5" t="str">
        <f>IFERROR(__xludf.DUMMYFUNCTION("""COMPUTED_VALUE"""),"is deer meat healthy")</f>
        <v>is deer meat healthy</v>
      </c>
      <c r="B570" s="15" t="str">
        <f>IFERROR(__xludf.DUMMYFUNCTION("""COMPUTED_VALUE"""),"1600")</f>
        <v>1600</v>
      </c>
      <c r="C570" s="15" t="str">
        <f>IFERROR(__xludf.DUMMYFUNCTION("""COMPUTED_VALUE"""),"74")</f>
        <v>74</v>
      </c>
      <c r="D570" s="15" t="str">
        <f>IFERROR(__xludf.DUMMYFUNCTION("""COMPUTED_VALUE"""),"75")</f>
        <v>75</v>
      </c>
      <c r="E570" s="15" t="str">
        <f>IFERROR(__xludf.DUMMYFUNCTION("""COMPUTED_VALUE"""),"Not ranking")</f>
        <v>Not ranking</v>
      </c>
      <c r="F570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570" s="17" t="str">
        <f>IFERROR(__xludf.DUMMYFUNCTION("""COMPUTED_VALUE"""),"https://realtree.com/deer-hunting/articles/12-reasons-why-your-venison-tastes-like-hell")</f>
        <v>https://realtree.com/deer-hunting/articles/12-reasons-why-your-venison-tastes-like-hell</v>
      </c>
      <c r="H570" s="18" t="str">
        <f>IFERROR(__xludf.DUMMYFUNCTION("""COMPUTED_VALUE"""),"Not ranking")</f>
        <v>Not ranking</v>
      </c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5" t="str">
        <f>IFERROR(__xludf.DUMMYFUNCTION("""COMPUTED_VALUE"""),"deer tracking dogs near me")</f>
        <v>deer tracking dogs near me</v>
      </c>
      <c r="B571" s="15" t="str">
        <f>IFERROR(__xludf.DUMMYFUNCTION("""COMPUTED_VALUE"""),"720")</f>
        <v>720</v>
      </c>
      <c r="C571" s="15" t="str">
        <f>IFERROR(__xludf.DUMMYFUNCTION("""COMPUTED_VALUE"""),"74")</f>
        <v>74</v>
      </c>
      <c r="D571" s="15" t="str">
        <f>IFERROR(__xludf.DUMMYFUNCTION("""COMPUTED_VALUE"""),"87")</f>
        <v>87</v>
      </c>
      <c r="E571" s="15" t="str">
        <f>IFERROR(__xludf.DUMMYFUNCTION("""COMPUTED_VALUE"""),"Not ranking")</f>
        <v>Not ranking</v>
      </c>
      <c r="F571" s="17" t="str">
        <f>IFERROR(__xludf.DUMMYFUNCTION("""COMPUTED_VALUE"""),"https://www.themeateater.com/wired-to-hunt/whitetail-hunting/how-to-train-your-dog-to-blood-trail-deer")</f>
        <v>https://www.themeateater.com/wired-to-hunt/whitetail-hunting/how-to-train-your-dog-to-blood-trail-deer</v>
      </c>
      <c r="G571" s="17" t="str">
        <f>IFERROR(__xludf.DUMMYFUNCTION("""COMPUTED_VALUE"""),"https://realtree.com/deer-hunting/articles/5-traits-of-a-good-blood-trailing-deer-dog")</f>
        <v>https://realtree.com/deer-hunting/articles/5-traits-of-a-good-blood-trailing-deer-dog</v>
      </c>
      <c r="H571" s="18" t="str">
        <f>IFERROR(__xludf.DUMMYFUNCTION("""COMPUTED_VALUE"""),"Not ranking")</f>
        <v>Not ranking</v>
      </c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5" t="str">
        <f>IFERROR(__xludf.DUMMYFUNCTION("""COMPUTED_VALUE"""),"how to can deer meat")</f>
        <v>how to can deer meat</v>
      </c>
      <c r="B572" s="15" t="str">
        <f>IFERROR(__xludf.DUMMYFUNCTION("""COMPUTED_VALUE"""),"590")</f>
        <v>590</v>
      </c>
      <c r="C572" s="15" t="str">
        <f>IFERROR(__xludf.DUMMYFUNCTION("""COMPUTED_VALUE"""),"74")</f>
        <v>74</v>
      </c>
      <c r="D572" s="15" t="str">
        <f>IFERROR(__xludf.DUMMYFUNCTION("""COMPUTED_VALUE"""),"3")</f>
        <v>3</v>
      </c>
      <c r="E572" s="15" t="str">
        <f>IFERROR(__xludf.DUMMYFUNCTION("""COMPUTED_VALUE"""),"24")</f>
        <v>24</v>
      </c>
      <c r="F572" s="17" t="str">
        <f>IFERROR(__xludf.DUMMYFUNCTION("""COMPUTED_VALUE"""),"https://www.themeateater.com/cook/butchering-and-processing/how-much-fat-should-you-add-to-ground-venison")</f>
        <v>https://www.themeateater.com/cook/butchering-and-processing/how-much-fat-should-you-add-to-ground-venison</v>
      </c>
      <c r="G572" s="17" t="str">
        <f>IFERROR(__xludf.DUMMYFUNCTION("""COMPUTED_VALUE"""),"https://realtree.com/deer-hunting/articles/how-to-can-deer-meat")</f>
        <v>https://realtree.com/deer-hunting/articles/how-to-can-deer-meat</v>
      </c>
      <c r="H572" s="17" t="str">
        <f>IFERROR(__xludf.DUMMYFUNCTION("""COMPUTED_VALUE"""),"https://www.wideopenspaces.com/canned-venison-how-to-preserve-your-wild-game-meat-the-old-fashioned-way/")</f>
        <v>https://www.wideopenspaces.com/canned-venison-how-to-preserve-your-wild-game-meat-the-old-fashioned-way/</v>
      </c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5" t="str">
        <f>IFERROR(__xludf.DUMMYFUNCTION("""COMPUTED_VALUE"""),"deer season texas 2022")</f>
        <v>deer season texas 2022</v>
      </c>
      <c r="B573" s="15" t="str">
        <f>IFERROR(__xludf.DUMMYFUNCTION("""COMPUTED_VALUE"""),"2900")</f>
        <v>2900</v>
      </c>
      <c r="C573" s="15" t="str">
        <f>IFERROR(__xludf.DUMMYFUNCTION("""COMPUTED_VALUE"""),"75")</f>
        <v>75</v>
      </c>
      <c r="D573" s="15" t="str">
        <f>IFERROR(__xludf.DUMMYFUNCTION("""COMPUTED_VALUE"""),"Not ranking")</f>
        <v>Not ranking</v>
      </c>
      <c r="E573" s="15" t="str">
        <f>IFERROR(__xludf.DUMMYFUNCTION("""COMPUTED_VALUE"""),"25")</f>
        <v>25</v>
      </c>
      <c r="F573" s="17" t="str">
        <f>IFERROR(__xludf.DUMMYFUNCTION("""COMPUTED_VALUE"""),"https://www.themeateater.com/shows/meateater")</f>
        <v>https://www.themeateater.com/shows/meateater</v>
      </c>
      <c r="G573" s="18" t="str">
        <f>IFERROR(__xludf.DUMMYFUNCTION("""COMPUTED_VALUE"""),"Not ranking")</f>
        <v>Not ranking</v>
      </c>
      <c r="H573" s="17" t="str">
        <f>IFERROR(__xludf.DUMMYFUNCTION("""COMPUTED_VALUE"""),"https://www.wideopenspaces.com/when-does-deer-season-end-in-texas/")</f>
        <v>https://www.wideopenspaces.com/when-does-deer-season-end-in-texas/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5" t="str">
        <f>IFERROR(__xludf.DUMMYFUNCTION("""COMPUTED_VALUE"""),"deer backstrap recipe")</f>
        <v>deer backstrap recipe</v>
      </c>
      <c r="B574" s="15" t="str">
        <f>IFERROR(__xludf.DUMMYFUNCTION("""COMPUTED_VALUE"""),"2400")</f>
        <v>2400</v>
      </c>
      <c r="C574" s="15" t="str">
        <f>IFERROR(__xludf.DUMMYFUNCTION("""COMPUTED_VALUE"""),"75")</f>
        <v>75</v>
      </c>
      <c r="D574" s="15" t="str">
        <f>IFERROR(__xludf.DUMMYFUNCTION("""COMPUTED_VALUE"""),"35")</f>
        <v>35</v>
      </c>
      <c r="E574" s="15" t="str">
        <f>IFERROR(__xludf.DUMMYFUNCTION("""COMPUTED_VALUE"""),"96")</f>
        <v>96</v>
      </c>
      <c r="F574" s="17" t="str">
        <f>IFERROR(__xludf.DUMMYFUNCTION("""COMPUTED_VALUE"""),"https://www.themeateater.com/recipes/cuts/backstrap")</f>
        <v>https://www.themeateater.com/recipes/cuts/backstrap</v>
      </c>
      <c r="G574" s="17" t="str">
        <f>IFERROR(__xludf.DUMMYFUNCTION("""COMPUTED_VALUE"""),"https://realtree.com/timber-2-table-wild-game-recipes/deer-camp-deep-fried-backstrap-recipe")</f>
        <v>https://realtree.com/timber-2-table-wild-game-recipes/deer-camp-deep-fried-backstrap-recipe</v>
      </c>
      <c r="H574" s="17" t="str">
        <f>IFERROR(__xludf.DUMMYFUNCTION("""COMPUTED_VALUE"""),"https://www.wideopenspaces.com/mouthwatering-stuffed-venison-backstrap/")</f>
        <v>https://www.wideopenspaces.com/mouthwatering-stuffed-venison-backstrap/</v>
      </c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5" t="str">
        <f>IFERROR(__xludf.DUMMYFUNCTION("""COMPUTED_VALUE"""),"horns of a deer")</f>
        <v>horns of a deer</v>
      </c>
      <c r="B575" s="15" t="str">
        <f>IFERROR(__xludf.DUMMYFUNCTION("""COMPUTED_VALUE"""),"590")</f>
        <v>590</v>
      </c>
      <c r="C575" s="15" t="str">
        <f>IFERROR(__xludf.DUMMYFUNCTION("""COMPUTED_VALUE"""),"75")</f>
        <v>75</v>
      </c>
      <c r="D575" s="15" t="str">
        <f>IFERROR(__xludf.DUMMYFUNCTION("""COMPUTED_VALUE"""),"Not ranking")</f>
        <v>Not ranking</v>
      </c>
      <c r="E575" s="15" t="str">
        <f>IFERROR(__xludf.DUMMYFUNCTION("""COMPUTED_VALUE"""),"Not ranking")</f>
        <v>Not ranking</v>
      </c>
      <c r="F575" s="17" t="str">
        <f>IFERROR(__xludf.DUMMYFUNCTION("""COMPUTED_VALUE"""),"https://www.themeateater.com/conservation/wildlife-management/does-hunting-make-animals-evolve-smaller-antlers-and-horns")</f>
        <v>https://www.themeateater.com/conservation/wildlife-management/does-hunting-make-animals-evolve-smaller-antlers-and-horns</v>
      </c>
      <c r="G575" s="18" t="str">
        <f>IFERROR(__xludf.DUMMYFUNCTION("""COMPUTED_VALUE"""),"Not ranking")</f>
        <v>Not ranking</v>
      </c>
      <c r="H575" s="18" t="str">
        <f>IFERROR(__xludf.DUMMYFUNCTION("""COMPUTED_VALUE"""),"Not ranking")</f>
        <v>Not ranking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5" t="str">
        <f>IFERROR(__xludf.DUMMYFUNCTION("""COMPUTED_VALUE"""),"sitka deer")</f>
        <v>sitka deer</v>
      </c>
      <c r="B576" s="15" t="str">
        <f>IFERROR(__xludf.DUMMYFUNCTION("""COMPUTED_VALUE"""),"2900")</f>
        <v>2900</v>
      </c>
      <c r="C576" s="15" t="str">
        <f>IFERROR(__xludf.DUMMYFUNCTION("""COMPUTED_VALUE"""),"76")</f>
        <v>76</v>
      </c>
      <c r="D576" s="15" t="str">
        <f>IFERROR(__xludf.DUMMYFUNCTION("""COMPUTED_VALUE"""),"37")</f>
        <v>37</v>
      </c>
      <c r="E576" s="15" t="str">
        <f>IFERROR(__xludf.DUMMYFUNCTION("""COMPUTED_VALUE"""),"Not ranking")</f>
        <v>Not ranking</v>
      </c>
      <c r="F576" s="17" t="str">
        <f>IFERROR(__xludf.DUMMYFUNCTION("""COMPUTED_VALUE"""),"https://www.themeateater.com/shows/meateater/season-1/into-the-clouds-sitka-blacktail-deer")</f>
        <v>https://www.themeateater.com/shows/meateater/season-1/into-the-clouds-sitka-blacktail-deer</v>
      </c>
      <c r="G576" s="17" t="str">
        <f>IFERROR(__xludf.DUMMYFUNCTION("""COMPUTED_VALUE"""),"https://realtree.com/all/articles/the-sitka-adventure")</f>
        <v>https://realtree.com/all/articles/the-sitka-adventure</v>
      </c>
      <c r="H576" s="18" t="str">
        <f>IFERROR(__xludf.DUMMYFUNCTION("""COMPUTED_VALUE"""),"Not ranking")</f>
        <v>Not ranking</v>
      </c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5" t="str">
        <f>IFERROR(__xludf.DUMMYFUNCTION("""COMPUTED_VALUE"""),"deer taxidermy")</f>
        <v>deer taxidermy</v>
      </c>
      <c r="B577" s="15" t="str">
        <f>IFERROR(__xludf.DUMMYFUNCTION("""COMPUTED_VALUE"""),"1300")</f>
        <v>1300</v>
      </c>
      <c r="C577" s="15" t="str">
        <f>IFERROR(__xludf.DUMMYFUNCTION("""COMPUTED_VALUE"""),"76")</f>
        <v>76</v>
      </c>
      <c r="D577" s="15" t="str">
        <f>IFERROR(__xludf.DUMMYFUNCTION("""COMPUTED_VALUE"""),"60")</f>
        <v>60</v>
      </c>
      <c r="E577" s="15" t="str">
        <f>IFERROR(__xludf.DUMMYFUNCTION("""COMPUTED_VALUE"""),"34")</f>
        <v>34</v>
      </c>
      <c r="F577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577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577" s="17" t="str">
        <f>IFERROR(__xludf.DUMMYFUNCTION("""COMPUTED_VALUE"""),"https://www.wideopenspaces.com/deer-taxidermy-options/")</f>
        <v>https://www.wideopenspaces.com/deer-taxidermy-options/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5" t="str">
        <f>IFERROR(__xludf.DUMMYFUNCTION("""COMPUTED_VALUE"""),"deer vitals target")</f>
        <v>deer vitals target</v>
      </c>
      <c r="B578" s="15" t="str">
        <f>IFERROR(__xludf.DUMMYFUNCTION("""COMPUTED_VALUE"""),"590")</f>
        <v>590</v>
      </c>
      <c r="C578" s="15" t="str">
        <f>IFERROR(__xludf.DUMMYFUNCTION("""COMPUTED_VALUE"""),"76")</f>
        <v>76</v>
      </c>
      <c r="D578" s="15" t="str">
        <f>IFERROR(__xludf.DUMMYFUNCTION("""COMPUTED_VALUE"""),"23")</f>
        <v>23</v>
      </c>
      <c r="E578" s="15" t="str">
        <f>IFERROR(__xludf.DUMMYFUNCTION("""COMPUTED_VALUE"""),"Not ranking")</f>
        <v>Not ranking</v>
      </c>
      <c r="F578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578" s="17" t="str">
        <f>IFERROR(__xludf.DUMMYFUNCTION("""COMPUTED_VALUE"""),"https://realtree.com/deer-hunting/articles/the-best-shot-placement-on-deer")</f>
        <v>https://realtree.com/deer-hunting/articles/the-best-shot-placement-on-deer</v>
      </c>
      <c r="H578" s="18" t="str">
        <f>IFERROR(__xludf.DUMMYFUNCTION("""COMPUTED_VALUE"""),"Not ranking")</f>
        <v>Not ranking</v>
      </c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5" t="str">
        <f>IFERROR(__xludf.DUMMYFUNCTION("""COMPUTED_VALUE"""),"indiana deer hunting")</f>
        <v>indiana deer hunting</v>
      </c>
      <c r="B579" s="15" t="str">
        <f>IFERROR(__xludf.DUMMYFUNCTION("""COMPUTED_VALUE"""),"590")</f>
        <v>590</v>
      </c>
      <c r="C579" s="15" t="str">
        <f>IFERROR(__xludf.DUMMYFUNCTION("""COMPUTED_VALUE"""),"76")</f>
        <v>76</v>
      </c>
      <c r="D579" s="15" t="str">
        <f>IFERROR(__xludf.DUMMYFUNCTION("""COMPUTED_VALUE"""),"27")</f>
        <v>27</v>
      </c>
      <c r="E579" s="15" t="str">
        <f>IFERROR(__xludf.DUMMYFUNCTION("""COMPUTED_VALUE"""),"Not ranking")</f>
        <v>Not ranking</v>
      </c>
      <c r="F579" s="17" t="str">
        <f>IFERROR(__xludf.DUMMYFUNCTION("""COMPUTED_VALUE"""),"https://www.themeateater.com/hunt/whitetail-deer/photos-this-buck-might-crush-the-indiana-state-record")</f>
        <v>https://www.themeateater.com/hunt/whitetail-deer/photos-this-buck-might-crush-the-indiana-state-record</v>
      </c>
      <c r="G579" s="17" t="str">
        <f>IFERROR(__xludf.DUMMYFUNCTION("""COMPUTED_VALUE"""),"https://realtree.com/brow-tines-and-backstrap/how-indiana-became-the-best-big-buck-state-in-the-nation")</f>
        <v>https://realtree.com/brow-tines-and-backstrap/how-indiana-became-the-best-big-buck-state-in-the-nation</v>
      </c>
      <c r="H579" s="18" t="str">
        <f>IFERROR(__xludf.DUMMYFUNCTION("""COMPUTED_VALUE"""),"Not ranking")</f>
        <v>Not ranking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5" t="str">
        <f>IFERROR(__xludf.DUMMYFUNCTION("""COMPUTED_VALUE"""),"buck deer")</f>
        <v>buck deer</v>
      </c>
      <c r="B580" s="15" t="str">
        <f>IFERROR(__xludf.DUMMYFUNCTION("""COMPUTED_VALUE"""),"6600")</f>
        <v>6600</v>
      </c>
      <c r="C580" s="15" t="str">
        <f>IFERROR(__xludf.DUMMYFUNCTION("""COMPUTED_VALUE"""),"77")</f>
        <v>77</v>
      </c>
      <c r="D580" s="15" t="str">
        <f>IFERROR(__xludf.DUMMYFUNCTION("""COMPUTED_VALUE"""),"42")</f>
        <v>42</v>
      </c>
      <c r="E580" s="15" t="str">
        <f>IFERROR(__xludf.DUMMYFUNCTION("""COMPUTED_VALUE"""),"Not ranking")</f>
        <v>Not ranking</v>
      </c>
      <c r="F580" s="17" t="str">
        <f>IFERROR(__xludf.DUMMYFUNCTION("""COMPUTED_VALUE"""),"https://www.themeateater.com/wired-to-hunt/whitetail-management/you-wont-believe-how-far-this-buck-traveled")</f>
        <v>https://www.themeateater.com/wired-to-hunt/whitetail-management/you-wont-believe-how-far-this-buck-traveled</v>
      </c>
      <c r="G580" s="17" t="str">
        <f>IFERROR(__xludf.DUMMYFUNCTION("""COMPUTED_VALUE"""),"https://realtree.com/deer-hunting/articles/10-things-you-didn-t-know-about-velvet-bucks")</f>
        <v>https://realtree.com/deer-hunting/articles/10-things-you-didn-t-know-about-velvet-bucks</v>
      </c>
      <c r="H580" s="18" t="str">
        <f>IFERROR(__xludf.DUMMYFUNCTION("""COMPUTED_VALUE"""),"Not ranking")</f>
        <v>Not ranking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5" t="str">
        <f>IFERROR(__xludf.DUMMYFUNCTION("""COMPUTED_VALUE"""),"oklahoma deer season 2022")</f>
        <v>oklahoma deer season 2022</v>
      </c>
      <c r="B581" s="15" t="str">
        <f>IFERROR(__xludf.DUMMYFUNCTION("""COMPUTED_VALUE"""),"1900")</f>
        <v>1900</v>
      </c>
      <c r="C581" s="15" t="str">
        <f>IFERROR(__xludf.DUMMYFUNCTION("""COMPUTED_VALUE"""),"77")</f>
        <v>77</v>
      </c>
      <c r="D581" s="15" t="str">
        <f>IFERROR(__xludf.DUMMYFUNCTION("""COMPUTED_VALUE"""),"82")</f>
        <v>82</v>
      </c>
      <c r="E581" s="15" t="str">
        <f>IFERROR(__xludf.DUMMYFUNCTION("""COMPUTED_VALUE"""),"Not ranking")</f>
        <v>Not ranking</v>
      </c>
      <c r="F581" s="17" t="str">
        <f>IFERROR(__xludf.DUMMYFUNCTION("""COMPUTED_VALUE"""),"https://www.themeateater.com/shows/meateater")</f>
        <v>https://www.themeateater.com/shows/meateater</v>
      </c>
      <c r="G581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581" s="18" t="str">
        <f>IFERROR(__xludf.DUMMYFUNCTION("""COMPUTED_VALUE"""),"Not ranking")</f>
        <v>Not ranking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5" t="str">
        <f>IFERROR(__xludf.DUMMYFUNCTION("""COMPUTED_VALUE"""),"deer season georgia 2022")</f>
        <v>deer season georgia 2022</v>
      </c>
      <c r="B582" s="15" t="str">
        <f>IFERROR(__xludf.DUMMYFUNCTION("""COMPUTED_VALUE"""),"1600")</f>
        <v>1600</v>
      </c>
      <c r="C582" s="15" t="str">
        <f>IFERROR(__xludf.DUMMYFUNCTION("""COMPUTED_VALUE"""),"77")</f>
        <v>77</v>
      </c>
      <c r="D582" s="15" t="str">
        <f>IFERROR(__xludf.DUMMYFUNCTION("""COMPUTED_VALUE"""),"33")</f>
        <v>33</v>
      </c>
      <c r="E582" s="15" t="str">
        <f>IFERROR(__xludf.DUMMYFUNCTION("""COMPUTED_VALUE"""),"26")</f>
        <v>26</v>
      </c>
      <c r="F582" s="17" t="str">
        <f>IFERROR(__xludf.DUMMYFUNCTION("""COMPUTED_VALUE"""),"https://www.themeateater.com/wired-to-hunt/whitetail-hunting/rut-fresh-report-11-10-2022")</f>
        <v>https://www.themeateater.com/wired-to-hunt/whitetail-hunting/rut-fresh-report-11-10-2022</v>
      </c>
      <c r="G582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582" s="17" t="str">
        <f>IFERROR(__xludf.DUMMYFUNCTION("""COMPUTED_VALUE"""),"https://www.wideopenspaces.com/when-does-deer-season-end-in-georgia/")</f>
        <v>https://www.wideopenspaces.com/when-does-deer-season-end-in-georgia/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5" t="str">
        <f>IFERROR(__xludf.DUMMYFUNCTION("""COMPUTED_VALUE"""),"bucks deer")</f>
        <v>bucks deer</v>
      </c>
      <c r="B583" s="15" t="str">
        <f>IFERROR(__xludf.DUMMYFUNCTION("""COMPUTED_VALUE"""),"1300")</f>
        <v>1300</v>
      </c>
      <c r="C583" s="15" t="str">
        <f>IFERROR(__xludf.DUMMYFUNCTION("""COMPUTED_VALUE"""),"77")</f>
        <v>77</v>
      </c>
      <c r="D583" s="15" t="str">
        <f>IFERROR(__xludf.DUMMYFUNCTION("""COMPUTED_VALUE"""),"13")</f>
        <v>13</v>
      </c>
      <c r="E583" s="15" t="str">
        <f>IFERROR(__xludf.DUMMYFUNCTION("""COMPUTED_VALUE"""),"Not ranking")</f>
        <v>Not ranking</v>
      </c>
      <c r="F583" s="17" t="str">
        <f>IFERROR(__xludf.DUMMYFUNCTION("""COMPUTED_VALUE"""),"https://www.themeateater.com/wired-to-hunt/whitetail-management/how-to-age-a-whitetail-buck-on-the-hoof")</f>
        <v>https://www.themeateater.com/wired-to-hunt/whitetail-management/how-to-age-a-whitetail-buck-on-the-hoof</v>
      </c>
      <c r="G583" s="17" t="str">
        <f>IFERROR(__xludf.DUMMYFUNCTION("""COMPUTED_VALUE"""),"https://realtree.com/deer-hunting/articles/how-managing-for-older-bigger-bucks-helps-the-entire-deer-herd")</f>
        <v>https://realtree.com/deer-hunting/articles/how-managing-for-older-bigger-bucks-helps-the-entire-deer-herd</v>
      </c>
      <c r="H583" s="18" t="str">
        <f>IFERROR(__xludf.DUMMYFUNCTION("""COMPUTED_VALUE"""),"Not ranking")</f>
        <v>Not ranking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5" t="str">
        <f>IFERROR(__xludf.DUMMYFUNCTION("""COMPUTED_VALUE"""),"do deer lose their antlers every year")</f>
        <v>do deer lose their antlers every year</v>
      </c>
      <c r="B584" s="15" t="str">
        <f>IFERROR(__xludf.DUMMYFUNCTION("""COMPUTED_VALUE"""),"1000")</f>
        <v>1000</v>
      </c>
      <c r="C584" s="15" t="str">
        <f>IFERROR(__xludf.DUMMYFUNCTION("""COMPUTED_VALUE"""),"77")</f>
        <v>77</v>
      </c>
      <c r="D584" s="15" t="str">
        <f>IFERROR(__xludf.DUMMYFUNCTION("""COMPUTED_VALUE"""),"41")</f>
        <v>41</v>
      </c>
      <c r="E584" s="15" t="str">
        <f>IFERROR(__xludf.DUMMYFUNCTION("""COMPUTED_VALUE"""),"2")</f>
        <v>2</v>
      </c>
      <c r="F584" s="17" t="str">
        <f>IFERROR(__xludf.DUMMYFUNCTION("""COMPUTED_VALUE"""),"https://www.themeateater.com/wired-to-hunt/whitetail-scouting/the-buck-that-never-shed-its-antlers")</f>
        <v>https://www.themeateater.com/wired-to-hunt/whitetail-scouting/the-buck-that-never-shed-its-antlers</v>
      </c>
      <c r="G584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584" s="17" t="str">
        <f>IFERROR(__xludf.DUMMYFUNCTION("""COMPUTED_VALUE"""),"https://www.wideopenspaces.com/deer-shed-antlers-pics/")</f>
        <v>https://www.wideopenspaces.com/deer-shed-antlers-pics/</v>
      </c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5" t="str">
        <f>IFERROR(__xludf.DUMMYFUNCTION("""COMPUTED_VALUE"""),"deer scat image")</f>
        <v>deer scat image</v>
      </c>
      <c r="B585" s="15" t="str">
        <f>IFERROR(__xludf.DUMMYFUNCTION("""COMPUTED_VALUE"""),"720")</f>
        <v>720</v>
      </c>
      <c r="C585" s="15" t="str">
        <f>IFERROR(__xludf.DUMMYFUNCTION("""COMPUTED_VALUE"""),"77")</f>
        <v>77</v>
      </c>
      <c r="D585" s="15" t="str">
        <f>IFERROR(__xludf.DUMMYFUNCTION("""COMPUTED_VALUE"""),"21")</f>
        <v>21</v>
      </c>
      <c r="E585" s="15" t="str">
        <f>IFERROR(__xludf.DUMMYFUNCTION("""COMPUTED_VALUE"""),"Not ranking")</f>
        <v>Not ranking</v>
      </c>
      <c r="F585" s="17" t="str">
        <f>IFERROR(__xludf.DUMMYFUNCTION("""COMPUTED_VALUE"""),"https://www.themeateater.com/wired-to-hunt/whitetail-scouting/fact-checker-can-you-identify-a-mature-buck-by-droppings")</f>
        <v>https://www.themeateater.com/wired-to-hunt/whitetail-scouting/fact-checker-can-you-identify-a-mature-buck-by-droppings</v>
      </c>
      <c r="G585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585" s="18" t="str">
        <f>IFERROR(__xludf.DUMMYFUNCTION("""COMPUTED_VALUE"""),"Not ranking")</f>
        <v>Not ranking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5" t="str">
        <f>IFERROR(__xludf.DUMMYFUNCTION("""COMPUTED_VALUE"""),"cool deer mounts")</f>
        <v>cool deer mounts</v>
      </c>
      <c r="B586" s="15" t="str">
        <f>IFERROR(__xludf.DUMMYFUNCTION("""COMPUTED_VALUE"""),"590")</f>
        <v>590</v>
      </c>
      <c r="C586" s="15" t="str">
        <f>IFERROR(__xludf.DUMMYFUNCTION("""COMPUTED_VALUE"""),"77")</f>
        <v>77</v>
      </c>
      <c r="D586" s="15" t="str">
        <f>IFERROR(__xludf.DUMMYFUNCTION("""COMPUTED_VALUE"""),"1")</f>
        <v>1</v>
      </c>
      <c r="E586" s="15" t="str">
        <f>IFERROR(__xludf.DUMMYFUNCTION("""COMPUTED_VALUE"""),"7")</f>
        <v>7</v>
      </c>
      <c r="F586" s="17" t="str">
        <f>IFERROR(__xludf.DUMMYFUNCTION("""COMPUTED_VALUE"""),"https://www.themeateater.com/hunt/whitetail-deer/fact-checker-do-outdoor-stores-pay-big-money-for-big-mounts")</f>
        <v>https://www.themeateater.com/hunt/whitetail-deer/fact-checker-do-outdoor-stores-pay-big-money-for-big-mounts</v>
      </c>
      <c r="G586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586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5" t="str">
        <f>IFERROR(__xludf.DUMMYFUNCTION("""COMPUTED_VALUE"""),"deer ear")</f>
        <v>deer ear</v>
      </c>
      <c r="B587" s="15" t="str">
        <f>IFERROR(__xludf.DUMMYFUNCTION("""COMPUTED_VALUE"""),"590")</f>
        <v>590</v>
      </c>
      <c r="C587" s="15" t="str">
        <f>IFERROR(__xludf.DUMMYFUNCTION("""COMPUTED_VALUE"""),"78")</f>
        <v>78</v>
      </c>
      <c r="D587" s="15" t="str">
        <f>IFERROR(__xludf.DUMMYFUNCTION("""COMPUTED_VALUE"""),"Not ranking")</f>
        <v>Not ranking</v>
      </c>
      <c r="E587" s="15" t="str">
        <f>IFERROR(__xludf.DUMMYFUNCTION("""COMPUTED_VALUE"""),"Not ranking")</f>
        <v>Not ranking</v>
      </c>
      <c r="F587" s="17" t="str">
        <f>IFERROR(__xludf.DUMMYFUNCTION("""COMPUTED_VALUE"""),"https://www.themeateater.com/wired-to-hunt/whitetail-hunting/how-well-do-deer-hear")</f>
        <v>https://www.themeateater.com/wired-to-hunt/whitetail-hunting/how-well-do-deer-hear</v>
      </c>
      <c r="G587" s="18" t="str">
        <f>IFERROR(__xludf.DUMMYFUNCTION("""COMPUTED_VALUE"""),"Not ranking")</f>
        <v>Not ranking</v>
      </c>
      <c r="H587" s="18" t="str">
        <f>IFERROR(__xludf.DUMMYFUNCTION("""COMPUTED_VALUE"""),"Not ranking")</f>
        <v>Not ranking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5" t="str">
        <f>IFERROR(__xludf.DUMMYFUNCTION("""COMPUTED_VALUE"""),"deer processor")</f>
        <v>deer processor</v>
      </c>
      <c r="B588" s="15" t="str">
        <f>IFERROR(__xludf.DUMMYFUNCTION("""COMPUTED_VALUE"""),"1900")</f>
        <v>1900</v>
      </c>
      <c r="C588" s="15" t="str">
        <f>IFERROR(__xludf.DUMMYFUNCTION("""COMPUTED_VALUE"""),"79")</f>
        <v>79</v>
      </c>
      <c r="D588" s="15" t="str">
        <f>IFERROR(__xludf.DUMMYFUNCTION("""COMPUTED_VALUE"""),"1")</f>
        <v>1</v>
      </c>
      <c r="E588" s="15" t="str">
        <f>IFERROR(__xludf.DUMMYFUNCTION("""COMPUTED_VALUE"""),"Not ranking")</f>
        <v>Not ranking</v>
      </c>
      <c r="F588" s="17" t="str">
        <f>IFERROR(__xludf.DUMMYFUNCTION("""COMPUTED_VALUE"""),"https://www.themeateater.com/conservation/wildlife-management/deer-processors-face-91-charges-for-poaching-and-money-laundering")</f>
        <v>https://www.themeateater.com/conservation/wildlife-management/deer-processors-face-91-charges-for-poaching-and-money-laundering</v>
      </c>
      <c r="G588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588" s="18" t="str">
        <f>IFERROR(__xludf.DUMMYFUNCTION("""COMPUTED_VALUE"""),"Not ranking")</f>
        <v>Not ranking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5" t="str">
        <f>IFERROR(__xludf.DUMMYFUNCTION("""COMPUTED_VALUE"""),"fawn deer")</f>
        <v>fawn deer</v>
      </c>
      <c r="B589" s="15" t="str">
        <f>IFERROR(__xludf.DUMMYFUNCTION("""COMPUTED_VALUE"""),"1600")</f>
        <v>1600</v>
      </c>
      <c r="C589" s="15" t="str">
        <f>IFERROR(__xludf.DUMMYFUNCTION("""COMPUTED_VALUE"""),"79")</f>
        <v>79</v>
      </c>
      <c r="D589" s="15" t="str">
        <f>IFERROR(__xludf.DUMMYFUNCTION("""COMPUTED_VALUE"""),"Not ranking")</f>
        <v>Not ranking</v>
      </c>
      <c r="E589" s="15" t="str">
        <f>IFERROR(__xludf.DUMMYFUNCTION("""COMPUTED_VALUE"""),"Not ranking")</f>
        <v>Not ranking</v>
      </c>
      <c r="F589" s="17" t="str">
        <f>IFERROR(__xludf.DUMMYFUNCTION("""COMPUTED_VALUE"""),"https://www.themeateater.com/wired-to-hunt/whitetail-management/what-is-killing-americas-fawns")</f>
        <v>https://www.themeateater.com/wired-to-hunt/whitetail-management/what-is-killing-americas-fawns</v>
      </c>
      <c r="G589" s="18" t="str">
        <f>IFERROR(__xludf.DUMMYFUNCTION("""COMPUTED_VALUE"""),"Not ranking")</f>
        <v>Not ranking</v>
      </c>
      <c r="H589" s="18" t="str">
        <f>IFERROR(__xludf.DUMMYFUNCTION("""COMPUTED_VALUE"""),"Not ranking")</f>
        <v>Not ranking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5" t="str">
        <f>IFERROR(__xludf.DUMMYFUNCTION("""COMPUTED_VALUE"""),"how long to dehydrate deer jerky")</f>
        <v>how long to dehydrate deer jerky</v>
      </c>
      <c r="B590" s="15" t="str">
        <f>IFERROR(__xludf.DUMMYFUNCTION("""COMPUTED_VALUE"""),"720")</f>
        <v>720</v>
      </c>
      <c r="C590" s="15" t="str">
        <f>IFERROR(__xludf.DUMMYFUNCTION("""COMPUTED_VALUE"""),"79")</f>
        <v>79</v>
      </c>
      <c r="D590" s="15" t="str">
        <f>IFERROR(__xludf.DUMMYFUNCTION("""COMPUTED_VALUE"""),"54")</f>
        <v>54</v>
      </c>
      <c r="E590" s="15" t="str">
        <f>IFERROR(__xludf.DUMMYFUNCTION("""COMPUTED_VALUE"""),"94")</f>
        <v>94</v>
      </c>
      <c r="F590" s="17" t="str">
        <f>IFERROR(__xludf.DUMMYFUNCTION("""COMPUTED_VALUE"""),"https://www.themeateater.com/cook/recipes/smoked-venison-jerky-recipe")</f>
        <v>https://www.themeateater.com/cook/recipes/smoked-venison-jerky-recipe</v>
      </c>
      <c r="G590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590" s="17" t="str">
        <f>IFERROR(__xludf.DUMMYFUNCTION("""COMPUTED_VALUE"""),"https://www.wideopenspaces.com/3-venison-jerky-pointers-worth-setting-to-memory/")</f>
        <v>https://www.wideopenspaces.com/3-venison-jerky-pointers-worth-setting-to-memory/</v>
      </c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5" t="str">
        <f>IFERROR(__xludf.DUMMYFUNCTION("""COMPUTED_VALUE"""),"deer movement times")</f>
        <v>deer movement times</v>
      </c>
      <c r="B591" s="15" t="str">
        <f>IFERROR(__xludf.DUMMYFUNCTION("""COMPUTED_VALUE"""),"1900")</f>
        <v>1900</v>
      </c>
      <c r="C591" s="15" t="str">
        <f>IFERROR(__xludf.DUMMYFUNCTION("""COMPUTED_VALUE"""),"80")</f>
        <v>80</v>
      </c>
      <c r="D591" s="15" t="str">
        <f>IFERROR(__xludf.DUMMYFUNCTION("""COMPUTED_VALUE"""),"6")</f>
        <v>6</v>
      </c>
      <c r="E591" s="15" t="str">
        <f>IFERROR(__xludf.DUMMYFUNCTION("""COMPUTED_VALUE"""),"10")</f>
        <v>10</v>
      </c>
      <c r="F591" s="17" t="str">
        <f>IFERROR(__xludf.DUMMYFUNCTION("""COMPUTED_VALUE"""),"https://www.themeateater.com/wired-to-hunt/whitetail-hunting/does-temperature-affect-deer-movement")</f>
        <v>https://www.themeateater.com/wired-to-hunt/whitetail-hunting/does-temperature-affect-deer-movement</v>
      </c>
      <c r="G591" s="17" t="str">
        <f>IFERROR(__xludf.DUMMYFUNCTION("""COMPUTED_VALUE"""),"https://realtree.com/deer-hunting/articles/10-best-times-to-deer-hunt")</f>
        <v>https://realtree.com/deer-hunting/articles/10-best-times-to-deer-hunt</v>
      </c>
      <c r="H591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5" t="str">
        <f>IFERROR(__xludf.DUMMYFUNCTION("""COMPUTED_VALUE"""),"what does cwd look like in deer meat")</f>
        <v>what does cwd look like in deer meat</v>
      </c>
      <c r="B592" s="15" t="str">
        <f>IFERROR(__xludf.DUMMYFUNCTION("""COMPUTED_VALUE"""),"1300")</f>
        <v>1300</v>
      </c>
      <c r="C592" s="15" t="str">
        <f>IFERROR(__xludf.DUMMYFUNCTION("""COMPUTED_VALUE"""),"80")</f>
        <v>80</v>
      </c>
      <c r="D592" s="15" t="str">
        <f>IFERROR(__xludf.DUMMYFUNCTION("""COMPUTED_VALUE"""),"87")</f>
        <v>87</v>
      </c>
      <c r="E592" s="15" t="str">
        <f>IFERROR(__xludf.DUMMYFUNCTION("""COMPUTED_VALUE"""),"Not ranking")</f>
        <v>Not ranking</v>
      </c>
      <c r="F592" s="17" t="str">
        <f>IFERROR(__xludf.DUMMYFUNCTION("""COMPUTED_VALUE"""),"https://www.themeateater.com/hunt/big-game/why-every-hunter-should-care-about-chronic-wasting-disease")</f>
        <v>https://www.themeateater.com/hunt/big-game/why-every-hunter-should-care-about-chronic-wasting-disease</v>
      </c>
      <c r="G592" s="17" t="str">
        <f>IFERROR(__xludf.DUMMYFUNCTION("""COMPUTED_VALUE"""),"https://realtree.com/brow-tines-and-backstrap/6-things-hunters-have-to-know-about-chronic-wasting-disease")</f>
        <v>https://realtree.com/brow-tines-and-backstrap/6-things-hunters-have-to-know-about-chronic-wasting-disease</v>
      </c>
      <c r="H592" s="18" t="str">
        <f>IFERROR(__xludf.DUMMYFUNCTION("""COMPUTED_VALUE"""),"Not ranking")</f>
        <v>Not ranking</v>
      </c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5" t="str">
        <f>IFERROR(__xludf.DUMMYFUNCTION("""COMPUTED_VALUE"""),"deer drop")</f>
        <v>deer drop</v>
      </c>
      <c r="B593" s="15" t="str">
        <f>IFERROR(__xludf.DUMMYFUNCTION("""COMPUTED_VALUE"""),"1000")</f>
        <v>1000</v>
      </c>
      <c r="C593" s="15" t="str">
        <f>IFERROR(__xludf.DUMMYFUNCTION("""COMPUTED_VALUE"""),"80")</f>
        <v>80</v>
      </c>
      <c r="D593" s="15" t="str">
        <f>IFERROR(__xludf.DUMMYFUNCTION("""COMPUTED_VALUE"""),"7")</f>
        <v>7</v>
      </c>
      <c r="E593" s="15" t="str">
        <f>IFERROR(__xludf.DUMMYFUNCTION("""COMPUTED_VALUE"""),"77")</f>
        <v>77</v>
      </c>
      <c r="F593" s="17" t="str">
        <f>IFERROR(__xludf.DUMMYFUNCTION("""COMPUTED_VALUE"""),"https://www.themeateater.com/wired-to-hunt/whitetail-hunting-gear/new-studies-show-deer-can-duck-nearly-any-arrow")</f>
        <v>https://www.themeateater.com/wired-to-hunt/whitetail-hunting-gear/new-studies-show-deer-can-duck-nearly-any-arrow</v>
      </c>
      <c r="G593" s="17" t="str">
        <f>IFERROR(__xludf.DUMMYFUNCTION("""COMPUTED_VALUE"""),"https://realtree.com/deer-hunting/articles/deer-hunting-a-quest-for-a-drop-tine-buck")</f>
        <v>https://realtree.com/deer-hunting/articles/deer-hunting-a-quest-for-a-drop-tine-buck</v>
      </c>
      <c r="H593" s="17" t="str">
        <f>IFERROR(__xludf.DUMMYFUNCTION("""COMPUTED_VALUE"""),"https://www.wideopenspaces.com/deer-shed-antlers-pics/")</f>
        <v>https://www.wideopenspaces.com/deer-shed-antlers-pics/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5" t="str">
        <f>IFERROR(__xludf.DUMMYFUNCTION("""COMPUTED_VALUE"""),"live deer cam")</f>
        <v>live deer cam</v>
      </c>
      <c r="B594" s="15" t="str">
        <f>IFERROR(__xludf.DUMMYFUNCTION("""COMPUTED_VALUE"""),"1000")</f>
        <v>1000</v>
      </c>
      <c r="C594" s="15" t="str">
        <f>IFERROR(__xludf.DUMMYFUNCTION("""COMPUTED_VALUE"""),"80")</f>
        <v>80</v>
      </c>
      <c r="D594" s="15" t="str">
        <f>IFERROR(__xludf.DUMMYFUNCTION("""COMPUTED_VALUE"""),"40")</f>
        <v>40</v>
      </c>
      <c r="E594" s="15" t="str">
        <f>IFERROR(__xludf.DUMMYFUNCTION("""COMPUTED_VALUE"""),"Not ranking")</f>
        <v>Not ranking</v>
      </c>
      <c r="F594" s="17" t="str">
        <f>IFERROR(__xludf.DUMMYFUNCTION("""COMPUTED_VALUE"""),"https://www.themeateater.com/hunt/whitetail-deer/video-zombie-deer-with-unbelievable-wound-caught-on-trail-camera")</f>
        <v>https://www.themeateater.com/hunt/whitetail-deer/video-zombie-deer-with-unbelievable-wound-caught-on-trail-camera</v>
      </c>
      <c r="G594" s="17" t="str">
        <f>IFERROR(__xludf.DUMMYFUNCTION("""COMPUTED_VALUE"""),"https://realtree.com/the-realblog-with-stephanie-mallory/watch-live-cam-of-maine-deer-pantry")</f>
        <v>https://realtree.com/the-realblog-with-stephanie-mallory/watch-live-cam-of-maine-deer-pantry</v>
      </c>
      <c r="H594" s="18" t="str">
        <f>IFERROR(__xludf.DUMMYFUNCTION("""COMPUTED_VALUE"""),"Not ranking")</f>
        <v>Not ranking</v>
      </c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5" t="str">
        <f>IFERROR(__xludf.DUMMYFUNCTION("""COMPUTED_VALUE"""),"louisiana deer season 2022")</f>
        <v>louisiana deer season 2022</v>
      </c>
      <c r="B595" s="15" t="str">
        <f>IFERROR(__xludf.DUMMYFUNCTION("""COMPUTED_VALUE"""),"1000")</f>
        <v>1000</v>
      </c>
      <c r="C595" s="15" t="str">
        <f>IFERROR(__xludf.DUMMYFUNCTION("""COMPUTED_VALUE"""),"80")</f>
        <v>80</v>
      </c>
      <c r="D595" s="15" t="str">
        <f>IFERROR(__xludf.DUMMYFUNCTION("""COMPUTED_VALUE"""),"Not ranking")</f>
        <v>Not ranking</v>
      </c>
      <c r="E595" s="15" t="str">
        <f>IFERROR(__xludf.DUMMYFUNCTION("""COMPUTED_VALUE"""),"Not ranking")</f>
        <v>Not ranking</v>
      </c>
      <c r="F595" s="17" t="str">
        <f>IFERROR(__xludf.DUMMYFUNCTION("""COMPUTED_VALUE"""),"https://www.themeateater.com/shows/meateater")</f>
        <v>https://www.themeateater.com/shows/meateater</v>
      </c>
      <c r="G595" s="18" t="str">
        <f>IFERROR(__xludf.DUMMYFUNCTION("""COMPUTED_VALUE"""),"Not ranking")</f>
        <v>Not ranking</v>
      </c>
      <c r="H595" s="18" t="str">
        <f>IFERROR(__xludf.DUMMYFUNCTION("""COMPUTED_VALUE"""),"Not ranking")</f>
        <v>Not ranking</v>
      </c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5" t="str">
        <f>IFERROR(__xludf.DUMMYFUNCTION("""COMPUTED_VALUE"""),"when do deer lose their antlers")</f>
        <v>when do deer lose their antlers</v>
      </c>
      <c r="B596" s="15" t="str">
        <f>IFERROR(__xludf.DUMMYFUNCTION("""COMPUTED_VALUE"""),"1000")</f>
        <v>1000</v>
      </c>
      <c r="C596" s="15" t="str">
        <f>IFERROR(__xludf.DUMMYFUNCTION("""COMPUTED_VALUE"""),"80")</f>
        <v>80</v>
      </c>
      <c r="D596" s="15" t="str">
        <f>IFERROR(__xludf.DUMMYFUNCTION("""COMPUTED_VALUE"""),"32")</f>
        <v>32</v>
      </c>
      <c r="E596" s="15" t="str">
        <f>IFERROR(__xludf.DUMMYFUNCTION("""COMPUTED_VALUE"""),"10")</f>
        <v>10</v>
      </c>
      <c r="F596" s="17" t="str">
        <f>IFERROR(__xludf.DUMMYFUNCTION("""COMPUTED_VALUE"""),"https://www.themeateater.com/wired-to-hunt/whitetail-management/why-midwest-whitetails-shedding-early")</f>
        <v>https://www.themeateater.com/wired-to-hunt/whitetail-management/why-midwest-whitetails-shedding-early</v>
      </c>
      <c r="G596" s="17" t="str">
        <f>IFERROR(__xludf.DUMMYFUNCTION("""COMPUTED_VALUE"""),"https://realtree.com/brow-tines-and-backstrap/why-are-some-bucks-shedding-antlers-early")</f>
        <v>https://realtree.com/brow-tines-and-backstrap/why-are-some-bucks-shedding-antlers-early</v>
      </c>
      <c r="H596" s="17" t="str">
        <f>IFERROR(__xludf.DUMMYFUNCTION("""COMPUTED_VALUE"""),"https://www.wideopenspaces.com/deer-shed-antlers-pics/")</f>
        <v>https://www.wideopenspaces.com/deer-shed-antlers-pics/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5" t="str">
        <f>IFERROR(__xludf.DUMMYFUNCTION("""COMPUTED_VALUE"""),"deer leg bones")</f>
        <v>deer leg bones</v>
      </c>
      <c r="B597" s="15" t="str">
        <f>IFERROR(__xludf.DUMMYFUNCTION("""COMPUTED_VALUE"""),"880")</f>
        <v>880</v>
      </c>
      <c r="C597" s="15" t="str">
        <f>IFERROR(__xludf.DUMMYFUNCTION("""COMPUTED_VALUE"""),"80")</f>
        <v>80</v>
      </c>
      <c r="D597" s="15" t="str">
        <f>IFERROR(__xludf.DUMMYFUNCTION("""COMPUTED_VALUE"""),"Not ranking")</f>
        <v>Not ranking</v>
      </c>
      <c r="E597" s="15" t="str">
        <f>IFERROR(__xludf.DUMMYFUNCTION("""COMPUTED_VALUE"""),"86")</f>
        <v>86</v>
      </c>
      <c r="F597" s="17" t="str">
        <f>IFERROR(__xludf.DUMMYFUNCTION("""COMPUTED_VALUE"""),"https://www.themeateater.com/watch/6209664304001/how-to-shock-pouch-a-deer-with-clay-newcomb")</f>
        <v>https://www.themeateater.com/watch/6209664304001/how-to-shock-pouch-a-deer-with-clay-newcomb</v>
      </c>
      <c r="G597" s="18" t="str">
        <f>IFERROR(__xludf.DUMMYFUNCTION("""COMPUTED_VALUE"""),"Not ranking")</f>
        <v>Not ranking</v>
      </c>
      <c r="H597" s="17" t="str">
        <f>IFERROR(__xludf.DUMMYFUNCTION("""COMPUTED_VALUE"""),"https://www.wideopenspaces.com/deer-bone-marrow/")</f>
        <v>https://www.wideopenspaces.com/deer-bone-marrow/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5" t="str">
        <f>IFERROR(__xludf.DUMMYFUNCTION("""COMPUTED_VALUE"""),"deer hunter")</f>
        <v>deer hunter</v>
      </c>
      <c r="B598" s="15" t="str">
        <f>IFERROR(__xludf.DUMMYFUNCTION("""COMPUTED_VALUE"""),"27100")</f>
        <v>27100</v>
      </c>
      <c r="C598" s="15" t="str">
        <f>IFERROR(__xludf.DUMMYFUNCTION("""COMPUTED_VALUE"""),"81")</f>
        <v>81</v>
      </c>
      <c r="D598" s="15" t="str">
        <f>IFERROR(__xludf.DUMMYFUNCTION("""COMPUTED_VALUE"""),"89")</f>
        <v>89</v>
      </c>
      <c r="E598" s="15" t="str">
        <f>IFERROR(__xludf.DUMMYFUNCTION("""COMPUTED_VALUE"""),"Not ranking")</f>
        <v>Not ranking</v>
      </c>
      <c r="F598" s="17" t="str">
        <f>IFERROR(__xludf.DUMMYFUNCTION("""COMPUTED_VALUE"""),"https://www.themeateater.com/wired-to-hunt/whitetail-hunting/5-habits-that-will-make-you-a-better-deer-hunter")</f>
        <v>https://www.themeateater.com/wired-to-hunt/whitetail-hunting/5-habits-that-will-make-you-a-better-deer-hunter</v>
      </c>
      <c r="G598" s="17" t="str">
        <f>IFERROR(__xludf.DUMMYFUNCTION("""COMPUTED_VALUE"""),"https://realtree.com/deer-hunting/articles/25-tips-for-new-deer-hunters")</f>
        <v>https://realtree.com/deer-hunting/articles/25-tips-for-new-deer-hunters</v>
      </c>
      <c r="H598" s="18" t="str">
        <f>IFERROR(__xludf.DUMMYFUNCTION("""COMPUTED_VALUE"""),"Not ranking")</f>
        <v>Not ranking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5" t="str">
        <f>IFERROR(__xludf.DUMMYFUNCTION("""COMPUTED_VALUE"""),"deer versus elk")</f>
        <v>deer versus elk</v>
      </c>
      <c r="B599" s="15" t="str">
        <f>IFERROR(__xludf.DUMMYFUNCTION("""COMPUTED_VALUE"""),"4400")</f>
        <v>4400</v>
      </c>
      <c r="C599" s="15" t="str">
        <f>IFERROR(__xludf.DUMMYFUNCTION("""COMPUTED_VALUE"""),"81")</f>
        <v>81</v>
      </c>
      <c r="D599" s="15" t="str">
        <f>IFERROR(__xludf.DUMMYFUNCTION("""COMPUTED_VALUE"""),"Not ranking")</f>
        <v>Not ranking</v>
      </c>
      <c r="E599" s="15" t="str">
        <f>IFERROR(__xludf.DUMMYFUNCTION("""COMPUTED_VALUE"""),"23")</f>
        <v>23</v>
      </c>
      <c r="F599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599" s="18" t="str">
        <f>IFERROR(__xludf.DUMMYFUNCTION("""COMPUTED_VALUE"""),"Not ranking")</f>
        <v>Not ranking</v>
      </c>
      <c r="H599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5" t="str">
        <f>IFERROR(__xludf.DUMMYFUNCTION("""COMPUTED_VALUE"""),"nebraska deer season 2022")</f>
        <v>nebraska deer season 2022</v>
      </c>
      <c r="B600" s="15" t="str">
        <f>IFERROR(__xludf.DUMMYFUNCTION("""COMPUTED_VALUE"""),"880")</f>
        <v>880</v>
      </c>
      <c r="C600" s="15" t="str">
        <f>IFERROR(__xludf.DUMMYFUNCTION("""COMPUTED_VALUE"""),"81")</f>
        <v>81</v>
      </c>
      <c r="D600" s="15" t="str">
        <f>IFERROR(__xludf.DUMMYFUNCTION("""COMPUTED_VALUE"""),"69")</f>
        <v>69</v>
      </c>
      <c r="E600" s="15" t="str">
        <f>IFERROR(__xludf.DUMMYFUNCTION("""COMPUTED_VALUE"""),"77")</f>
        <v>77</v>
      </c>
      <c r="F600" s="17" t="str">
        <f>IFERROR(__xludf.DUMMYFUNCTION("""COMPUTED_VALUE"""),"https://www.themeateater.com/conservation/wildlife-management/nebraska-introduces-controversial-july-elk-season")</f>
        <v>https://www.themeateater.com/conservation/wildlife-management/nebraska-introduces-controversial-july-elk-season</v>
      </c>
      <c r="G600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600" s="17" t="str">
        <f>IFERROR(__xludf.DUMMYFUNCTION("""COMPUTED_VALUE"""),"https://www.wideopenspaces.com/nebraska-turkey-hunting/")</f>
        <v>https://www.wideopenspaces.com/nebraska-turkey-hunting/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5" t="str">
        <f>IFERROR(__xludf.DUMMYFUNCTION("""COMPUTED_VALUE"""),"deer hunting")</f>
        <v>deer hunting</v>
      </c>
      <c r="B601" s="15" t="str">
        <f>IFERROR(__xludf.DUMMYFUNCTION("""COMPUTED_VALUE"""),"9900")</f>
        <v>9900</v>
      </c>
      <c r="C601" s="15" t="str">
        <f>IFERROR(__xludf.DUMMYFUNCTION("""COMPUTED_VALUE"""),"82")</f>
        <v>82</v>
      </c>
      <c r="D601" s="15" t="str">
        <f>IFERROR(__xludf.DUMMYFUNCTION("""COMPUTED_VALUE"""),"43")</f>
        <v>43</v>
      </c>
      <c r="E601" s="15" t="str">
        <f>IFERROR(__xludf.DUMMYFUNCTION("""COMPUTED_VALUE"""),"Not ranking")</f>
        <v>Not ranking</v>
      </c>
      <c r="F601" s="17" t="str">
        <f>IFERROR(__xludf.DUMMYFUNCTION("""COMPUTED_VALUE"""),"https://www.themeateater.com/wired-to-hunt/whitetail-hunting-gear/how-to-buy-your-first-deer-hunting-bow")</f>
        <v>https://www.themeateater.com/wired-to-hunt/whitetail-hunting-gear/how-to-buy-your-first-deer-hunting-bow</v>
      </c>
      <c r="G601" s="17" t="str">
        <f>IFERROR(__xludf.DUMMYFUNCTION("""COMPUTED_VALUE"""),"https://realtree.com/deer-hunting")</f>
        <v>https://realtree.com/deer-hunting</v>
      </c>
      <c r="H601" s="18" t="str">
        <f>IFERROR(__xludf.DUMMYFUNCTION("""COMPUTED_VALUE"""),"Not ranking")</f>
        <v>Not ranking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5" t="str">
        <f>IFERROR(__xludf.DUMMYFUNCTION("""COMPUTED_VALUE"""),"deer cube steak recipes")</f>
        <v>deer cube steak recipes</v>
      </c>
      <c r="B602" s="15" t="str">
        <f>IFERROR(__xludf.DUMMYFUNCTION("""COMPUTED_VALUE"""),"720")</f>
        <v>720</v>
      </c>
      <c r="C602" s="15" t="str">
        <f>IFERROR(__xludf.DUMMYFUNCTION("""COMPUTED_VALUE"""),"82")</f>
        <v>82</v>
      </c>
      <c r="D602" s="15" t="str">
        <f>IFERROR(__xludf.DUMMYFUNCTION("""COMPUTED_VALUE"""),"Not ranking")</f>
        <v>Not ranking</v>
      </c>
      <c r="E602" s="15" t="str">
        <f>IFERROR(__xludf.DUMMYFUNCTION("""COMPUTED_VALUE"""),"Not ranking")</f>
        <v>Not ranking</v>
      </c>
      <c r="F602" s="17" t="str">
        <f>IFERROR(__xludf.DUMMYFUNCTION("""COMPUTED_VALUE"""),"https://www.themeateater.com/cook/recipes/venison-steak-and-eggs-recipe")</f>
        <v>https://www.themeateater.com/cook/recipes/venison-steak-and-eggs-recipe</v>
      </c>
      <c r="G602" s="18" t="str">
        <f>IFERROR(__xludf.DUMMYFUNCTION("""COMPUTED_VALUE"""),"Not ranking")</f>
        <v>Not ranking</v>
      </c>
      <c r="H602" s="18" t="str">
        <f>IFERROR(__xludf.DUMMYFUNCTION("""COMPUTED_VALUE"""),"Not ranking")</f>
        <v>Not ranking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5" t="str">
        <f>IFERROR(__xludf.DUMMYFUNCTION("""COMPUTED_VALUE"""),"climber deer stand")</f>
        <v>climber deer stand</v>
      </c>
      <c r="B603" s="15" t="str">
        <f>IFERROR(__xludf.DUMMYFUNCTION("""COMPUTED_VALUE"""),"590")</f>
        <v>590</v>
      </c>
      <c r="C603" s="15" t="str">
        <f>IFERROR(__xludf.DUMMYFUNCTION("""COMPUTED_VALUE"""),"82")</f>
        <v>82</v>
      </c>
      <c r="D603" s="15" t="str">
        <f>IFERROR(__xludf.DUMMYFUNCTION("""COMPUTED_VALUE"""),"27")</f>
        <v>27</v>
      </c>
      <c r="E603" s="15" t="str">
        <f>IFERROR(__xludf.DUMMYFUNCTION("""COMPUTED_VALUE"""),"Not ranking")</f>
        <v>Not ranking</v>
      </c>
      <c r="F603" s="17" t="str">
        <f>IFERROR(__xludf.DUMMYFUNCTION("""COMPUTED_VALUE"""),"https://www.themeateater.com/wired-to-hunt/whitetail-scouting/ask-meateater-how-high-do-you-hang-tree-stands")</f>
        <v>https://www.themeateater.com/wired-to-hunt/whitetail-scouting/ask-meateater-how-high-do-you-hang-tree-stands</v>
      </c>
      <c r="G603" s="17" t="str">
        <f>IFERROR(__xludf.DUMMYFUNCTION("""COMPUTED_VALUE"""),"https://realtree.com/brow-tines-and-backstrap/the-case-for-climbing-stands")</f>
        <v>https://realtree.com/brow-tines-and-backstrap/the-case-for-climbing-stands</v>
      </c>
      <c r="H603" s="18" t="str">
        <f>IFERROR(__xludf.DUMMYFUNCTION("""COMPUTED_VALUE"""),"Not ranking")</f>
        <v>Not ranking</v>
      </c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5" t="str">
        <f>IFERROR(__xludf.DUMMYFUNCTION("""COMPUTED_VALUE"""),"how to attract deer")</f>
        <v>how to attract deer</v>
      </c>
      <c r="B604" s="15" t="str">
        <f>IFERROR(__xludf.DUMMYFUNCTION("""COMPUTED_VALUE"""),"590")</f>
        <v>590</v>
      </c>
      <c r="C604" s="15" t="str">
        <f>IFERROR(__xludf.DUMMYFUNCTION("""COMPUTED_VALUE"""),"82")</f>
        <v>82</v>
      </c>
      <c r="D604" s="15" t="str">
        <f>IFERROR(__xludf.DUMMYFUNCTION("""COMPUTED_VALUE"""),"16")</f>
        <v>16</v>
      </c>
      <c r="E604" s="15" t="str">
        <f>IFERROR(__xludf.DUMMYFUNCTION("""COMPUTED_VALUE"""),"69")</f>
        <v>69</v>
      </c>
      <c r="F604" s="17" t="str">
        <f>IFERROR(__xludf.DUMMYFUNCTION("""COMPUTED_VALUE"""),"https://www.themeateater.com/wired-to-hunt/whitetail-hunting-gear/the-single-best-way-to-get-bucks-on-trail-cam-without-bait")</f>
        <v>https://www.themeateater.com/wired-to-hunt/whitetail-hunting-gear/the-single-best-way-to-get-bucks-on-trail-cam-without-bait</v>
      </c>
      <c r="G604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604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5" t="str">
        <f>IFERROR(__xludf.DUMMYFUNCTION("""COMPUTED_VALUE"""),"ky deer season 2022")</f>
        <v>ky deer season 2022</v>
      </c>
      <c r="B605" s="15" t="str">
        <f>IFERROR(__xludf.DUMMYFUNCTION("""COMPUTED_VALUE"""),"2400")</f>
        <v>2400</v>
      </c>
      <c r="C605" s="15" t="str">
        <f>IFERROR(__xludf.DUMMYFUNCTION("""COMPUTED_VALUE"""),"83")</f>
        <v>83</v>
      </c>
      <c r="D605" s="15" t="str">
        <f>IFERROR(__xludf.DUMMYFUNCTION("""COMPUTED_VALUE"""),"29")</f>
        <v>29</v>
      </c>
      <c r="E605" s="15" t="str">
        <f>IFERROR(__xludf.DUMMYFUNCTION("""COMPUTED_VALUE"""),"Not ranking")</f>
        <v>Not ranking</v>
      </c>
      <c r="F605" s="17" t="str">
        <f>IFERROR(__xludf.DUMMYFUNCTION("""COMPUTED_VALUE"""),"https://www.themeateater.com/shows/meateater")</f>
        <v>https://www.themeateater.com/shows/meateater</v>
      </c>
      <c r="G605" s="17" t="str">
        <f>IFERROR(__xludf.DUMMYFUNCTION("""COMPUTED_VALUE"""),"https://realtree.com/brow-tines-and-backstrap/kentucky-proposes-massive-changes-to-deer-hunting-seasons-and-regulations")</f>
        <v>https://realtree.com/brow-tines-and-backstrap/kentucky-proposes-massive-changes-to-deer-hunting-seasons-and-regulations</v>
      </c>
      <c r="H605" s="18" t="str">
        <f>IFERROR(__xludf.DUMMYFUNCTION("""COMPUTED_VALUE"""),"Not ranking")</f>
        <v>Not ranking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5" t="str">
        <f>IFERROR(__xludf.DUMMYFUNCTION("""COMPUTED_VALUE"""),"small deer")</f>
        <v>small deer</v>
      </c>
      <c r="B606" s="15" t="str">
        <f>IFERROR(__xludf.DUMMYFUNCTION("""COMPUTED_VALUE"""),"1300")</f>
        <v>1300</v>
      </c>
      <c r="C606" s="15" t="str">
        <f>IFERROR(__xludf.DUMMYFUNCTION("""COMPUTED_VALUE"""),"83")</f>
        <v>83</v>
      </c>
      <c r="D606" s="15" t="str">
        <f>IFERROR(__xludf.DUMMYFUNCTION("""COMPUTED_VALUE"""),"95")</f>
        <v>95</v>
      </c>
      <c r="E606" s="15" t="str">
        <f>IFERROR(__xludf.DUMMYFUNCTION("""COMPUTED_VALUE"""),"Not ranking")</f>
        <v>Not ranking</v>
      </c>
      <c r="F606" s="17" t="str">
        <f>IFERROR(__xludf.DUMMYFUNCTION("""COMPUTED_VALUE"""),"https://www.themeateater.com/wired-to-hunt/whitetail-hunting/how-to-deer-hunt-a-small-property")</f>
        <v>https://www.themeateater.com/wired-to-hunt/whitetail-hunting/how-to-deer-hunt-a-small-property</v>
      </c>
      <c r="G606" s="17" t="str">
        <f>IFERROR(__xludf.DUMMYFUNCTION("""COMPUTED_VALUE"""),"https://realtree.com/all/articles/small-property-whitetails")</f>
        <v>https://realtree.com/all/articles/small-property-whitetails</v>
      </c>
      <c r="H606" s="18" t="str">
        <f>IFERROR(__xludf.DUMMYFUNCTION("""COMPUTED_VALUE"""),"Not ranking")</f>
        <v>Not ranking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5" t="str">
        <f>IFERROR(__xludf.DUMMYFUNCTION("""COMPUTED_VALUE"""),"kentucky deer season 2022")</f>
        <v>kentucky deer season 2022</v>
      </c>
      <c r="B607" s="15" t="str">
        <f>IFERROR(__xludf.DUMMYFUNCTION("""COMPUTED_VALUE"""),"1900")</f>
        <v>1900</v>
      </c>
      <c r="C607" s="15" t="str">
        <f>IFERROR(__xludf.DUMMYFUNCTION("""COMPUTED_VALUE"""),"84")</f>
        <v>84</v>
      </c>
      <c r="D607" s="15" t="str">
        <f>IFERROR(__xludf.DUMMYFUNCTION("""COMPUTED_VALUE"""),"28")</f>
        <v>28</v>
      </c>
      <c r="E607" s="15" t="str">
        <f>IFERROR(__xludf.DUMMYFUNCTION("""COMPUTED_VALUE"""),"Not ranking")</f>
        <v>Not ranking</v>
      </c>
      <c r="F607" s="17" t="str">
        <f>IFERROR(__xludf.DUMMYFUNCTION("""COMPUTED_VALUE"""),"https://www.themeateater.com/shows/meateater")</f>
        <v>https://www.themeateater.com/shows/meateater</v>
      </c>
      <c r="G607" s="17" t="str">
        <f>IFERROR(__xludf.DUMMYFUNCTION("""COMPUTED_VALUE"""),"https://realtree.com/brow-tines-and-backstrap/kentucky-proposes-massive-changes-to-deer-hunting-seasons-and-regulations")</f>
        <v>https://realtree.com/brow-tines-and-backstrap/kentucky-proposes-massive-changes-to-deer-hunting-seasons-and-regulations</v>
      </c>
      <c r="H607" s="18" t="str">
        <f>IFERROR(__xludf.DUMMYFUNCTION("""COMPUTED_VALUE"""),"Not ranking")</f>
        <v>Not ranking</v>
      </c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5" t="str">
        <f>IFERROR(__xludf.DUMMYFUNCTION("""COMPUTED_VALUE"""),"deer season ky 2022")</f>
        <v>deer season ky 2022</v>
      </c>
      <c r="B608" s="15" t="str">
        <f>IFERROR(__xludf.DUMMYFUNCTION("""COMPUTED_VALUE"""),"1300")</f>
        <v>1300</v>
      </c>
      <c r="C608" s="15" t="str">
        <f>IFERROR(__xludf.DUMMYFUNCTION("""COMPUTED_VALUE"""),"84")</f>
        <v>84</v>
      </c>
      <c r="D608" s="15" t="str">
        <f>IFERROR(__xludf.DUMMYFUNCTION("""COMPUTED_VALUE"""),"39")</f>
        <v>39</v>
      </c>
      <c r="E608" s="15" t="str">
        <f>IFERROR(__xludf.DUMMYFUNCTION("""COMPUTED_VALUE"""),"Not ranking")</f>
        <v>Not ranking</v>
      </c>
      <c r="F608" s="17" t="str">
        <f>IFERROR(__xludf.DUMMYFUNCTION("""COMPUTED_VALUE"""),"https://www.themeateater.com/shows/meateater")</f>
        <v>https://www.themeateater.com/shows/meateater</v>
      </c>
      <c r="G608" s="17" t="str">
        <f>IFERROR(__xludf.DUMMYFUNCTION("""COMPUTED_VALUE"""),"https://realtree.com/brow-tines-and-backstrap/kentucky-proposes-massive-changes-to-deer-hunting-seasons-and-regulations")</f>
        <v>https://realtree.com/brow-tines-and-backstrap/kentucky-proposes-massive-changes-to-deer-hunting-seasons-and-regulations</v>
      </c>
      <c r="H608" s="18" t="str">
        <f>IFERROR(__xludf.DUMMYFUNCTION("""COMPUTED_VALUE"""),"Not ranking")</f>
        <v>Not ranking</v>
      </c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5" t="str">
        <f>IFERROR(__xludf.DUMMYFUNCTION("""COMPUTED_VALUE"""),"deer head mount")</f>
        <v>deer head mount</v>
      </c>
      <c r="B609" s="15" t="str">
        <f>IFERROR(__xludf.DUMMYFUNCTION("""COMPUTED_VALUE"""),"2900")</f>
        <v>2900</v>
      </c>
      <c r="C609" s="15" t="str">
        <f>IFERROR(__xludf.DUMMYFUNCTION("""COMPUTED_VALUE"""),"85")</f>
        <v>85</v>
      </c>
      <c r="D609" s="15" t="str">
        <f>IFERROR(__xludf.DUMMYFUNCTION("""COMPUTED_VALUE"""),"27")</f>
        <v>27</v>
      </c>
      <c r="E609" s="15" t="str">
        <f>IFERROR(__xludf.DUMMYFUNCTION("""COMPUTED_VALUE"""),"62")</f>
        <v>62</v>
      </c>
      <c r="F609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609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609" s="17" t="str">
        <f>IFERROR(__xludf.DUMMYFUNCTION("""COMPUTED_VALUE"""),"https://www.wideopenspaces.com/whitetail-wednesday-how-much-do-people-pay-for-shoulder-mounts-in-your-area/")</f>
        <v>https://www.wideopenspaces.com/whitetail-wednesday-how-much-do-people-pay-for-shoulder-mounts-in-your-area/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5" t="str">
        <f>IFERROR(__xludf.DUMMYFUNCTION("""COMPUTED_VALUE"""),"deer hunt")</f>
        <v>deer hunt</v>
      </c>
      <c r="B610" s="15" t="str">
        <f>IFERROR(__xludf.DUMMYFUNCTION("""COMPUTED_VALUE"""),"2900")</f>
        <v>2900</v>
      </c>
      <c r="C610" s="15" t="str">
        <f>IFERROR(__xludf.DUMMYFUNCTION("""COMPUTED_VALUE"""),"85")</f>
        <v>85</v>
      </c>
      <c r="D610" s="15" t="str">
        <f>IFERROR(__xludf.DUMMYFUNCTION("""COMPUTED_VALUE"""),"79")</f>
        <v>79</v>
      </c>
      <c r="E610" s="15" t="str">
        <f>IFERROR(__xludf.DUMMYFUNCTION("""COMPUTED_VALUE"""),"Not ranking")</f>
        <v>Not ranking</v>
      </c>
      <c r="F610" s="17" t="str">
        <f>IFERROR(__xludf.DUMMYFUNCTION("""COMPUTED_VALUE"""),"https://www.themeateater.com/wired-to-hunt/whitetail-scouting/how-the-hunting-public-finds-quality-public-land-deer-hunting")</f>
        <v>https://www.themeateater.com/wired-to-hunt/whitetail-scouting/how-the-hunting-public-finds-quality-public-land-deer-hunting</v>
      </c>
      <c r="G610" s="17" t="str">
        <f>IFERROR(__xludf.DUMMYFUNCTION("""COMPUTED_VALUE"""),"https://realtree.com/deer-hunting/articles/how-to-deer-hunt-in-september")</f>
        <v>https://realtree.com/deer-hunting/articles/how-to-deer-hunt-in-september</v>
      </c>
      <c r="H610" s="18" t="str">
        <f>IFERROR(__xludf.DUMMYFUNCTION("""COMPUTED_VALUE"""),"Not ranking")</f>
        <v>Not ranking</v>
      </c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5" t="str">
        <f>IFERROR(__xludf.DUMMYFUNCTION("""COMPUTED_VALUE"""),"when is rutting season for deer")</f>
        <v>when is rutting season for deer</v>
      </c>
      <c r="B611" s="15" t="str">
        <f>IFERROR(__xludf.DUMMYFUNCTION("""COMPUTED_VALUE"""),"1000")</f>
        <v>1000</v>
      </c>
      <c r="C611" s="15" t="str">
        <f>IFERROR(__xludf.DUMMYFUNCTION("""COMPUTED_VALUE"""),"85")</f>
        <v>85</v>
      </c>
      <c r="D611" s="15" t="str">
        <f>IFERROR(__xludf.DUMMYFUNCTION("""COMPUTED_VALUE"""),"7")</f>
        <v>7</v>
      </c>
      <c r="E611" s="15" t="str">
        <f>IFERROR(__xludf.DUMMYFUNCTION("""COMPUTED_VALUE"""),"Not ranking")</f>
        <v>Not ranking</v>
      </c>
      <c r="F611" s="17" t="str">
        <f>IFERROR(__xludf.DUMMYFUNCTION("""COMPUTED_VALUE"""),"https://www.themeateater.com/wired-to-hunt/whitetail-hunting/rut-fresh-report-11-17-2022")</f>
        <v>https://www.themeateater.com/wired-to-hunt/whitetail-hunting/rut-fresh-report-11-17-2022</v>
      </c>
      <c r="G611" s="17" t="str">
        <f>IFERROR(__xludf.DUMMYFUNCTION("""COMPUTED_VALUE"""),"https://realtree.com/deer-hunting/articles/how-to-hunt-the-phases-of-the-rut")</f>
        <v>https://realtree.com/deer-hunting/articles/how-to-hunt-the-phases-of-the-rut</v>
      </c>
      <c r="H611" s="18" t="str">
        <f>IFERROR(__xludf.DUMMYFUNCTION("""COMPUTED_VALUE"""),"Not ranking")</f>
        <v>Not ranking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5" t="str">
        <f>IFERROR(__xludf.DUMMYFUNCTION("""COMPUTED_VALUE"""),"what do deer eat")</f>
        <v>what do deer eat</v>
      </c>
      <c r="B612" s="15" t="str">
        <f>IFERROR(__xludf.DUMMYFUNCTION("""COMPUTED_VALUE"""),"18100")</f>
        <v>18100</v>
      </c>
      <c r="C612" s="15" t="str">
        <f>IFERROR(__xludf.DUMMYFUNCTION("""COMPUTED_VALUE"""),"86")</f>
        <v>86</v>
      </c>
      <c r="D612" s="15" t="str">
        <f>IFERROR(__xludf.DUMMYFUNCTION("""COMPUTED_VALUE"""),"85")</f>
        <v>85</v>
      </c>
      <c r="E612" s="15" t="str">
        <f>IFERROR(__xludf.DUMMYFUNCTION("""COMPUTED_VALUE"""),"49")</f>
        <v>49</v>
      </c>
      <c r="F612" s="17" t="str">
        <f>IFERROR(__xludf.DUMMYFUNCTION("""COMPUTED_VALUE"""),"https://www.themeateater.com/wired-to-hunt/whitetail-management/10-natural-food-sources-every-deer-hunter-should-know")</f>
        <v>https://www.themeateater.com/wired-to-hunt/whitetail-management/10-natural-food-sources-every-deer-hunter-should-know</v>
      </c>
      <c r="G612" s="17" t="str">
        <f>IFERROR(__xludf.DUMMYFUNCTION("""COMPUTED_VALUE"""),"https://realtree.com/the-realblog-with-stephanie-mallory/did-you-know-deer-eat-meat")</f>
        <v>https://realtree.com/the-realblog-with-stephanie-mallory/did-you-know-deer-eat-meat</v>
      </c>
      <c r="H612" s="17" t="str">
        <f>IFERROR(__xludf.DUMMYFUNCTION("""COMPUTED_VALUE"""),"https://www.wideopenspaces.com/what-do-deer-eat/")</f>
        <v>https://www.wideopenspaces.com/what-do-deer-eat/</v>
      </c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5" t="str">
        <f>IFERROR(__xludf.DUMMYFUNCTION("""COMPUTED_VALUE"""),"deer noises")</f>
        <v>deer noises</v>
      </c>
      <c r="B613" s="15" t="str">
        <f>IFERROR(__xludf.DUMMYFUNCTION("""COMPUTED_VALUE"""),"1600")</f>
        <v>1600</v>
      </c>
      <c r="C613" s="15" t="str">
        <f>IFERROR(__xludf.DUMMYFUNCTION("""COMPUTED_VALUE"""),"86")</f>
        <v>86</v>
      </c>
      <c r="D613" s="15" t="str">
        <f>IFERROR(__xludf.DUMMYFUNCTION("""COMPUTED_VALUE"""),"Not ranking")</f>
        <v>Not ranking</v>
      </c>
      <c r="E613" s="15" t="str">
        <f>IFERROR(__xludf.DUMMYFUNCTION("""COMPUTED_VALUE"""),"28")</f>
        <v>28</v>
      </c>
      <c r="F613" s="17" t="str">
        <f>IFERROR(__xludf.DUMMYFUNCTION("""COMPUTED_VALUE"""),"https://www.themeateater.com/wired-to-hunt/whitetail-hunting/how-well-do-deer-hear")</f>
        <v>https://www.themeateater.com/wired-to-hunt/whitetail-hunting/how-well-do-deer-hear</v>
      </c>
      <c r="G613" s="18" t="str">
        <f>IFERROR(__xludf.DUMMYFUNCTION("""COMPUTED_VALUE"""),"Not ranking")</f>
        <v>Not ranking</v>
      </c>
      <c r="H613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5" t="str">
        <f>IFERROR(__xludf.DUMMYFUNCTION("""COMPUTED_VALUE"""),"how fast a deer can run")</f>
        <v>how fast a deer can run</v>
      </c>
      <c r="B614" s="15" t="str">
        <f>IFERROR(__xludf.DUMMYFUNCTION("""COMPUTED_VALUE"""),"1000")</f>
        <v>1000</v>
      </c>
      <c r="C614" s="15" t="str">
        <f>IFERROR(__xludf.DUMMYFUNCTION("""COMPUTED_VALUE"""),"87")</f>
        <v>87</v>
      </c>
      <c r="D614" s="15" t="str">
        <f>IFERROR(__xludf.DUMMYFUNCTION("""COMPUTED_VALUE"""),"Not ranking")</f>
        <v>Not ranking</v>
      </c>
      <c r="E614" s="15" t="str">
        <f>IFERROR(__xludf.DUMMYFUNCTION("""COMPUTED_VALUE"""),"Not ranking")</f>
        <v>Not ranking</v>
      </c>
      <c r="F614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614" s="18" t="str">
        <f>IFERROR(__xludf.DUMMYFUNCTION("""COMPUTED_VALUE"""),"Not ranking")</f>
        <v>Not ranking</v>
      </c>
      <c r="H614" s="18" t="str">
        <f>IFERROR(__xludf.DUMMYFUNCTION("""COMPUTED_VALUE"""),"Not ranking")</f>
        <v>Not ranking</v>
      </c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5" t="str">
        <f>IFERROR(__xludf.DUMMYFUNCTION("""COMPUTED_VALUE"""),"nebraska deer season")</f>
        <v>nebraska deer season</v>
      </c>
      <c r="B615" s="15" t="str">
        <f>IFERROR(__xludf.DUMMYFUNCTION("""COMPUTED_VALUE"""),"1000")</f>
        <v>1000</v>
      </c>
      <c r="C615" s="15" t="str">
        <f>IFERROR(__xludf.DUMMYFUNCTION("""COMPUTED_VALUE"""),"87")</f>
        <v>87</v>
      </c>
      <c r="D615" s="15" t="str">
        <f>IFERROR(__xludf.DUMMYFUNCTION("""COMPUTED_VALUE"""),"Not ranking")</f>
        <v>Not ranking</v>
      </c>
      <c r="E615" s="15" t="str">
        <f>IFERROR(__xludf.DUMMYFUNCTION("""COMPUTED_VALUE"""),"Not ranking")</f>
        <v>Not ranking</v>
      </c>
      <c r="F615" s="17" t="str">
        <f>IFERROR(__xludf.DUMMYFUNCTION("""COMPUTED_VALUE"""),"https://www.themeateater.com/hunt/big-game/ask-meateater-where-should-i-go-on-my-first-mule-deer-hunt")</f>
        <v>https://www.themeateater.com/hunt/big-game/ask-meateater-where-should-i-go-on-my-first-mule-deer-hunt</v>
      </c>
      <c r="G615" s="18" t="str">
        <f>IFERROR(__xludf.DUMMYFUNCTION("""COMPUTED_VALUE"""),"Not ranking")</f>
        <v>Not ranking</v>
      </c>
      <c r="H615" s="18" t="str">
        <f>IFERROR(__xludf.DUMMYFUNCTION("""COMPUTED_VALUE"""),"Not ranking")</f>
        <v>Not ranking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5" t="str">
        <f>IFERROR(__xludf.DUMMYFUNCTION("""COMPUTED_VALUE"""),"axis deer hunting")</f>
        <v>axis deer hunting</v>
      </c>
      <c r="B616" s="15" t="str">
        <f>IFERROR(__xludf.DUMMYFUNCTION("""COMPUTED_VALUE"""),"880")</f>
        <v>880</v>
      </c>
      <c r="C616" s="15" t="str">
        <f>IFERROR(__xludf.DUMMYFUNCTION("""COMPUTED_VALUE"""),"87")</f>
        <v>87</v>
      </c>
      <c r="D616" s="15" t="str">
        <f>IFERROR(__xludf.DUMMYFUNCTION("""COMPUTED_VALUE"""),"Not ranking")</f>
        <v>Not ranking</v>
      </c>
      <c r="E616" s="15" t="str">
        <f>IFERROR(__xludf.DUMMYFUNCTION("""COMPUTED_VALUE"""),"Not ranking")</f>
        <v>Not ranking</v>
      </c>
      <c r="F616" s="17" t="str">
        <f>IFERROR(__xludf.DUMMYFUNCTION("""COMPUTED_VALUE"""),"https://www.themeateater.com/listen/the-element/e288-texas-summer-axis-deer-hunting-axis-rut-south")</f>
        <v>https://www.themeateater.com/listen/the-element/e288-texas-summer-axis-deer-hunting-axis-rut-south</v>
      </c>
      <c r="G616" s="18" t="str">
        <f>IFERROR(__xludf.DUMMYFUNCTION("""COMPUTED_VALUE"""),"Not ranking")</f>
        <v>Not ranking</v>
      </c>
      <c r="H616" s="18" t="str">
        <f>IFERROR(__xludf.DUMMYFUNCTION("""COMPUTED_VALUE"""),"Not ranking")</f>
        <v>Not ranking</v>
      </c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5" t="str">
        <f>IFERROR(__xludf.DUMMYFUNCTION("""COMPUTED_VALUE"""),"ar deer season")</f>
        <v>ar deer season</v>
      </c>
      <c r="B617" s="15" t="str">
        <f>IFERROR(__xludf.DUMMYFUNCTION("""COMPUTED_VALUE"""),"720")</f>
        <v>720</v>
      </c>
      <c r="C617" s="15" t="str">
        <f>IFERROR(__xludf.DUMMYFUNCTION("""COMPUTED_VALUE"""),"87")</f>
        <v>87</v>
      </c>
      <c r="D617" s="15" t="str">
        <f>IFERROR(__xludf.DUMMYFUNCTION("""COMPUTED_VALUE"""),"59")</f>
        <v>59</v>
      </c>
      <c r="E617" s="15" t="str">
        <f>IFERROR(__xludf.DUMMYFUNCTION("""COMPUTED_VALUE"""),"Not ranking")</f>
        <v>Not ranking</v>
      </c>
      <c r="F617" s="17" t="str">
        <f>IFERROR(__xludf.DUMMYFUNCTION("""COMPUTED_VALUE"""),"https://www.themeateater.com/hunt/firearm-hunting/should-your-next-deer-rifle-be-an-ar-15")</f>
        <v>https://www.themeateater.com/hunt/firearm-hunting/should-your-next-deer-rifle-be-an-ar-15</v>
      </c>
      <c r="G617" s="17" t="str">
        <f>IFERROR(__xludf.DUMMYFUNCTION("""COMPUTED_VALUE"""),"https://realtree.com/brow-tines-and-backstrap/why-you-should-use-an-ar-15-as-a-deer-rifle")</f>
        <v>https://realtree.com/brow-tines-and-backstrap/why-you-should-use-an-ar-15-as-a-deer-rifle</v>
      </c>
      <c r="H617" s="18" t="str">
        <f>IFERROR(__xludf.DUMMYFUNCTION("""COMPUTED_VALUE"""),"Not ranking")</f>
        <v>Not ranking</v>
      </c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5" t="str">
        <f>IFERROR(__xludf.DUMMYFUNCTION("""COMPUTED_VALUE"""),"deer leases")</f>
        <v>deer leases</v>
      </c>
      <c r="B618" s="15" t="str">
        <f>IFERROR(__xludf.DUMMYFUNCTION("""COMPUTED_VALUE"""),"590")</f>
        <v>590</v>
      </c>
      <c r="C618" s="15" t="str">
        <f>IFERROR(__xludf.DUMMYFUNCTION("""COMPUTED_VALUE"""),"87")</f>
        <v>87</v>
      </c>
      <c r="D618" s="15" t="str">
        <f>IFERROR(__xludf.DUMMYFUNCTION("""COMPUTED_VALUE"""),"Not ranking")</f>
        <v>Not ranking</v>
      </c>
      <c r="E618" s="15" t="str">
        <f>IFERROR(__xludf.DUMMYFUNCTION("""COMPUTED_VALUE"""),"Not ranking")</f>
        <v>Not ranking</v>
      </c>
      <c r="F618" s="17" t="str">
        <f>IFERROR(__xludf.DUMMYFUNCTION("""COMPUTED_VALUE"""),"https://www.themeateater.com/hunt/big-game/ask-wired-to-hunt-how-do-i-find-a-hunting-lease")</f>
        <v>https://www.themeateater.com/hunt/big-game/ask-wired-to-hunt-how-do-i-find-a-hunting-lease</v>
      </c>
      <c r="G618" s="18" t="str">
        <f>IFERROR(__xludf.DUMMYFUNCTION("""COMPUTED_VALUE"""),"Not ranking")</f>
        <v>Not ranking</v>
      </c>
      <c r="H618" s="18" t="str">
        <f>IFERROR(__xludf.DUMMYFUNCTION("""COMPUTED_VALUE"""),"Not ranking")</f>
        <v>Not ranking</v>
      </c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5" t="str">
        <f>IFERROR(__xludf.DUMMYFUNCTION("""COMPUTED_VALUE"""),"deer shot placement chart")</f>
        <v>deer shot placement chart</v>
      </c>
      <c r="B619" s="15" t="str">
        <f>IFERROR(__xludf.DUMMYFUNCTION("""COMPUTED_VALUE"""),"4400")</f>
        <v>4400</v>
      </c>
      <c r="C619" s="15" t="str">
        <f>IFERROR(__xludf.DUMMYFUNCTION("""COMPUTED_VALUE"""),"88")</f>
        <v>88</v>
      </c>
      <c r="D619" s="15" t="str">
        <f>IFERROR(__xludf.DUMMYFUNCTION("""COMPUTED_VALUE"""),"8")</f>
        <v>8</v>
      </c>
      <c r="E619" s="15" t="str">
        <f>IFERROR(__xludf.DUMMYFUNCTION("""COMPUTED_VALUE"""),"Not ranking")</f>
        <v>Not ranking</v>
      </c>
      <c r="F619" s="17" t="str">
        <f>IFERROR(__xludf.DUMMYFUNCTION("""COMPUTED_VALUE"""),"https://www.themeateater.com/wired-to-hunt/whitetail-hunting/where-to-shoot-a-deer")</f>
        <v>https://www.themeateater.com/wired-to-hunt/whitetail-hunting/where-to-shoot-a-deer</v>
      </c>
      <c r="G619" s="17" t="str">
        <f>IFERROR(__xludf.DUMMYFUNCTION("""COMPUTED_VALUE"""),"https://realtree.com/deer-hunting/articles/the-best-shot-placement-on-deer")</f>
        <v>https://realtree.com/deer-hunting/articles/the-best-shot-placement-on-deer</v>
      </c>
      <c r="H619" s="18" t="str">
        <f>IFERROR(__xludf.DUMMYFUNCTION("""COMPUTED_VALUE"""),"Not ranking")</f>
        <v>Not ranking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5" t="str">
        <f>IFERROR(__xludf.DUMMYFUNCTION("""COMPUTED_VALUE"""),"do deer shed their antlers every year")</f>
        <v>do deer shed their antlers every year</v>
      </c>
      <c r="B620" s="15" t="str">
        <f>IFERROR(__xludf.DUMMYFUNCTION("""COMPUTED_VALUE"""),"720")</f>
        <v>720</v>
      </c>
      <c r="C620" s="15" t="str">
        <f>IFERROR(__xludf.DUMMYFUNCTION("""COMPUTED_VALUE"""),"88")</f>
        <v>88</v>
      </c>
      <c r="D620" s="15" t="str">
        <f>IFERROR(__xludf.DUMMYFUNCTION("""COMPUTED_VALUE"""),"53")</f>
        <v>53</v>
      </c>
      <c r="E620" s="15" t="str">
        <f>IFERROR(__xludf.DUMMYFUNCTION("""COMPUTED_VALUE"""),"2")</f>
        <v>2</v>
      </c>
      <c r="F620" s="17" t="str">
        <f>IFERROR(__xludf.DUMMYFUNCTION("""COMPUTED_VALUE"""),"https://www.themeateater.com/wired-to-hunt/whitetail-scouting/the-buck-that-never-shed-its-antlers")</f>
        <v>https://www.themeateater.com/wired-to-hunt/whitetail-scouting/the-buck-that-never-shed-its-antlers</v>
      </c>
      <c r="G620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620" s="17" t="str">
        <f>IFERROR(__xludf.DUMMYFUNCTION("""COMPUTED_VALUE"""),"https://www.wideopenspaces.com/deer-shed-antlers-pics/")</f>
        <v>https://www.wideopenspaces.com/deer-shed-antlers-pics/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5" t="str">
        <f>IFERROR(__xludf.DUMMYFUNCTION("""COMPUTED_VALUE"""),"running deer")</f>
        <v>running deer</v>
      </c>
      <c r="B621" s="15" t="str">
        <f>IFERROR(__xludf.DUMMYFUNCTION("""COMPUTED_VALUE"""),"720")</f>
        <v>720</v>
      </c>
      <c r="C621" s="15" t="str">
        <f>IFERROR(__xludf.DUMMYFUNCTION("""COMPUTED_VALUE"""),"89")</f>
        <v>89</v>
      </c>
      <c r="D621" s="15" t="str">
        <f>IFERROR(__xludf.DUMMYFUNCTION("""COMPUTED_VALUE"""),"Not ranking")</f>
        <v>Not ranking</v>
      </c>
      <c r="E621" s="15" t="str">
        <f>IFERROR(__xludf.DUMMYFUNCTION("""COMPUTED_VALUE"""),"Not ranking")</f>
        <v>Not ranking</v>
      </c>
      <c r="F621" s="17" t="str">
        <f>IFERROR(__xludf.DUMMYFUNCTION("""COMPUTED_VALUE"""),"https://www.themeateater.com/hunt/big-game/ask-meateater-will-you-shoot-at-running-game")</f>
        <v>https://www.themeateater.com/hunt/big-game/ask-meateater-will-you-shoot-at-running-game</v>
      </c>
      <c r="G621" s="18" t="str">
        <f>IFERROR(__xludf.DUMMYFUNCTION("""COMPUTED_VALUE"""),"Not ranking")</f>
        <v>Not ranking</v>
      </c>
      <c r="H621" s="18" t="str">
        <f>IFERROR(__xludf.DUMMYFUNCTION("""COMPUTED_VALUE"""),"Not ranking")</f>
        <v>Not ranking</v>
      </c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5" t="str">
        <f>IFERROR(__xludf.DUMMYFUNCTION("""COMPUTED_VALUE"""),"elevated deer blind")</f>
        <v>elevated deer blind</v>
      </c>
      <c r="B622" s="15" t="str">
        <f>IFERROR(__xludf.DUMMYFUNCTION("""COMPUTED_VALUE"""),"590")</f>
        <v>590</v>
      </c>
      <c r="C622" s="15" t="str">
        <f>IFERROR(__xludf.DUMMYFUNCTION("""COMPUTED_VALUE"""),"89")</f>
        <v>89</v>
      </c>
      <c r="D622" s="15" t="str">
        <f>IFERROR(__xludf.DUMMYFUNCTION("""COMPUTED_VALUE"""),"Not ranking")</f>
        <v>Not ranking</v>
      </c>
      <c r="E622" s="15" t="str">
        <f>IFERROR(__xludf.DUMMYFUNCTION("""COMPUTED_VALUE"""),"66")</f>
        <v>66</v>
      </c>
      <c r="F622" s="17" t="str">
        <f>IFERROR(__xludf.DUMMYFUNCTION("""COMPUTED_VALUE"""),"https://www.themeateater.com/hunt/whitetail-deer/photos-how-to-build-a-deer-blind-from-pallets")</f>
        <v>https://www.themeateater.com/hunt/whitetail-deer/photos-how-to-build-a-deer-blind-from-pallets</v>
      </c>
      <c r="G622" s="18" t="str">
        <f>IFERROR(__xludf.DUMMYFUNCTION("""COMPUTED_VALUE"""),"Not ranking")</f>
        <v>Not ranking</v>
      </c>
      <c r="H622" s="17" t="str">
        <f>IFERROR(__xludf.DUMMYFUNCTION("""COMPUTED_VALUE"""),"https://www.wideopenspaces.com/elevated-hunting-blind/")</f>
        <v>https://www.wideopenspaces.com/elevated-hunting-blind/</v>
      </c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5" t="str">
        <f>IFERROR(__xludf.DUMMYFUNCTION("""COMPUTED_VALUE"""),"deer in snow")</f>
        <v>deer in snow</v>
      </c>
      <c r="B623" s="15" t="str">
        <f>IFERROR(__xludf.DUMMYFUNCTION("""COMPUTED_VALUE"""),"590")</f>
        <v>590</v>
      </c>
      <c r="C623" s="15" t="str">
        <f>IFERROR(__xludf.DUMMYFUNCTION("""COMPUTED_VALUE"""),"90")</f>
        <v>90</v>
      </c>
      <c r="D623" s="15" t="str">
        <f>IFERROR(__xludf.DUMMYFUNCTION("""COMPUTED_VALUE"""),"Not ranking")</f>
        <v>Not ranking</v>
      </c>
      <c r="E623" s="15" t="str">
        <f>IFERROR(__xludf.DUMMYFUNCTION("""COMPUTED_VALUE"""),"Not ranking")</f>
        <v>Not ranking</v>
      </c>
      <c r="F623" s="17" t="str">
        <f>IFERROR(__xludf.DUMMYFUNCTION("""COMPUTED_VALUE"""),"https://www.themeateater.com/wired-to-hunt/whitetail-scouting/how-to-identify-a-big-buck-track-in-snow")</f>
        <v>https://www.themeateater.com/wired-to-hunt/whitetail-scouting/how-to-identify-a-big-buck-track-in-snow</v>
      </c>
      <c r="G623" s="18" t="str">
        <f>IFERROR(__xludf.DUMMYFUNCTION("""COMPUTED_VALUE"""),"Not ranking")</f>
        <v>Not ranking</v>
      </c>
      <c r="H623" s="18" t="str">
        <f>IFERROR(__xludf.DUMMYFUNCTION("""COMPUTED_VALUE"""),"Not ranking")</f>
        <v>Not ranking</v>
      </c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5" t="str">
        <f>IFERROR(__xludf.DUMMYFUNCTION("""COMPUTED_VALUE"""),"ground deer jerky recipe")</f>
        <v>ground deer jerky recipe</v>
      </c>
      <c r="B624" s="15" t="str">
        <f>IFERROR(__xludf.DUMMYFUNCTION("""COMPUTED_VALUE"""),"590")</f>
        <v>590</v>
      </c>
      <c r="C624" s="15" t="str">
        <f>IFERROR(__xludf.DUMMYFUNCTION("""COMPUTED_VALUE"""),"92")</f>
        <v>92</v>
      </c>
      <c r="D624" s="15" t="str">
        <f>IFERROR(__xludf.DUMMYFUNCTION("""COMPUTED_VALUE"""),"24")</f>
        <v>24</v>
      </c>
      <c r="E624" s="15" t="str">
        <f>IFERROR(__xludf.DUMMYFUNCTION("""COMPUTED_VALUE"""),"54")</f>
        <v>54</v>
      </c>
      <c r="F624" s="17" t="str">
        <f>IFERROR(__xludf.DUMMYFUNCTION("""COMPUTED_VALUE"""),"https://www.themeateater.com/cook/recipes/chipotle-cherry-goose-jerky-recipe")</f>
        <v>https://www.themeateater.com/cook/recipes/chipotle-cherry-goose-jerky-recipe</v>
      </c>
      <c r="G624" s="17" t="str">
        <f>IFERROR(__xludf.DUMMYFUNCTION("""COMPUTED_VALUE"""),"https://realtree.com/timber-2-table-wild-game-recipes/sliced-jerky-vs-ground-which-is-best")</f>
        <v>https://realtree.com/timber-2-table-wild-game-recipes/sliced-jerky-vs-ground-which-is-best</v>
      </c>
      <c r="H624" s="17" t="str">
        <f>IFERROR(__xludf.DUMMYFUNCTION("""COMPUTED_VALUE"""),"https://www.wideopenspaces.com/best-way-to-make-venison-jerky/")</f>
        <v>https://www.wideopenspaces.com/best-way-to-make-venison-jerky/</v>
      </c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5" t="str">
        <f>IFERROR(__xludf.DUMMYFUNCTION("""COMPUTED_VALUE"""),"why do deers shed their antlers")</f>
        <v>why do deers shed their antlers</v>
      </c>
      <c r="B625" s="15" t="str">
        <f>IFERROR(__xludf.DUMMYFUNCTION("""COMPUTED_VALUE"""),"880")</f>
        <v>880</v>
      </c>
      <c r="C625" s="15" t="str">
        <f>IFERROR(__xludf.DUMMYFUNCTION("""COMPUTED_VALUE"""),"93")</f>
        <v>93</v>
      </c>
      <c r="D625" s="15" t="str">
        <f>IFERROR(__xludf.DUMMYFUNCTION("""COMPUTED_VALUE"""),"18")</f>
        <v>18</v>
      </c>
      <c r="E625" s="15" t="str">
        <f>IFERROR(__xludf.DUMMYFUNCTION("""COMPUTED_VALUE"""),"14")</f>
        <v>14</v>
      </c>
      <c r="F625" s="17" t="str">
        <f>IFERROR(__xludf.DUMMYFUNCTION("""COMPUTED_VALUE"""),"https://www.themeateater.com/wired-to-hunt/whitetail-scouting/the-buck-that-never-shed-its-antlers")</f>
        <v>https://www.themeateater.com/wired-to-hunt/whitetail-scouting/the-buck-that-never-shed-its-antlers</v>
      </c>
      <c r="G625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625" s="17" t="str">
        <f>IFERROR(__xludf.DUMMYFUNCTION("""COMPUTED_VALUE"""),"https://www.wideopenspaces.com/deer-shed-antlers-pics/")</f>
        <v>https://www.wideopenspaces.com/deer-shed-antlers-pics/</v>
      </c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5" t="str">
        <f>IFERROR(__xludf.DUMMYFUNCTION("""COMPUTED_VALUE"""),"how much does deer weigh")</f>
        <v>how much does deer weigh</v>
      </c>
      <c r="B626" s="15" t="str">
        <f>IFERROR(__xludf.DUMMYFUNCTION("""COMPUTED_VALUE"""),"1900")</f>
        <v>1900</v>
      </c>
      <c r="C626" s="15" t="str">
        <f>IFERROR(__xludf.DUMMYFUNCTION("""COMPUTED_VALUE"""),"94")</f>
        <v>94</v>
      </c>
      <c r="D626" s="15" t="str">
        <f>IFERROR(__xludf.DUMMYFUNCTION("""COMPUTED_VALUE"""),"Not ranking")</f>
        <v>Not ranking</v>
      </c>
      <c r="E626" s="15" t="str">
        <f>IFERROR(__xludf.DUMMYFUNCTION("""COMPUTED_VALUE"""),"Not ranking")</f>
        <v>Not ranking</v>
      </c>
      <c r="F626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626" s="18" t="str">
        <f>IFERROR(__xludf.DUMMYFUNCTION("""COMPUTED_VALUE"""),"Not ranking")</f>
        <v>Not ranking</v>
      </c>
      <c r="H626" s="18" t="str">
        <f>IFERROR(__xludf.DUMMYFUNCTION("""COMPUTED_VALUE"""),"Not ranking")</f>
        <v>Not ranking</v>
      </c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5" t="str">
        <f>IFERROR(__xludf.DUMMYFUNCTION("""COMPUTED_VALUE"""),"notdeer")</f>
        <v>notdeer</v>
      </c>
      <c r="B627" s="15" t="str">
        <f>IFERROR(__xludf.DUMMYFUNCTION("""COMPUTED_VALUE"""),"1300")</f>
        <v>1300</v>
      </c>
      <c r="C627" s="15" t="str">
        <f>IFERROR(__xludf.DUMMYFUNCTION("""COMPUTED_VALUE"""),"94")</f>
        <v>94</v>
      </c>
      <c r="D627" s="15" t="str">
        <f>IFERROR(__xludf.DUMMYFUNCTION("""COMPUTED_VALUE"""),"Not ranking")</f>
        <v>Not ranking</v>
      </c>
      <c r="E627" s="15" t="str">
        <f>IFERROR(__xludf.DUMMYFUNCTION("""COMPUTED_VALUE"""),"Not ranking")</f>
        <v>Not ranking</v>
      </c>
      <c r="F627" s="17" t="str">
        <f>IFERROR(__xludf.DUMMYFUNCTION("""COMPUTED_VALUE"""),"https://www.themeateater.com/hunt/elk/4-ways-elk-hunting-is-not-deer-hunting")</f>
        <v>https://www.themeateater.com/hunt/elk/4-ways-elk-hunting-is-not-deer-hunting</v>
      </c>
      <c r="G627" s="18" t="str">
        <f>IFERROR(__xludf.DUMMYFUNCTION("""COMPUTED_VALUE"""),"Not ranking")</f>
        <v>Not ranking</v>
      </c>
      <c r="H627" s="18" t="str">
        <f>IFERROR(__xludf.DUMMYFUNCTION("""COMPUTED_VALUE"""),"Not ranking")</f>
        <v>Not ranking</v>
      </c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5" t="str">
        <f>IFERROR(__xludf.DUMMYFUNCTION("""COMPUTED_VALUE"""),"moose vs deer")</f>
        <v>moose vs deer</v>
      </c>
      <c r="B628" s="15" t="str">
        <f>IFERROR(__xludf.DUMMYFUNCTION("""COMPUTED_VALUE"""),"880")</f>
        <v>880</v>
      </c>
      <c r="C628" s="15" t="str">
        <f>IFERROR(__xludf.DUMMYFUNCTION("""COMPUTED_VALUE"""),"94")</f>
        <v>94</v>
      </c>
      <c r="D628" s="15" t="str">
        <f>IFERROR(__xludf.DUMMYFUNCTION("""COMPUTED_VALUE"""),"Not ranking")</f>
        <v>Not ranking</v>
      </c>
      <c r="E628" s="15" t="str">
        <f>IFERROR(__xludf.DUMMYFUNCTION("""COMPUTED_VALUE"""),"Not ranking")</f>
        <v>Not ranking</v>
      </c>
      <c r="F628" s="17" t="str">
        <f>IFERROR(__xludf.DUMMYFUNCTION("""COMPUTED_VALUE"""),"https://www.themeateater.com/hunt/moose/a-guide-to-hunting-moose")</f>
        <v>https://www.themeateater.com/hunt/moose/a-guide-to-hunting-moose</v>
      </c>
      <c r="G628" s="18" t="str">
        <f>IFERROR(__xludf.DUMMYFUNCTION("""COMPUTED_VALUE"""),"Not ranking")</f>
        <v>Not ranking</v>
      </c>
      <c r="H628" s="18" t="str">
        <f>IFERROR(__xludf.DUMMYFUNCTION("""COMPUTED_VALUE"""),"Not ranking")</f>
        <v>Not ranking</v>
      </c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5" t="str">
        <f>IFERROR(__xludf.DUMMYFUNCTION("""COMPUTED_VALUE"""),"corn for deer")</f>
        <v>corn for deer</v>
      </c>
      <c r="B629" s="15" t="str">
        <f>IFERROR(__xludf.DUMMYFUNCTION("""COMPUTED_VALUE"""),"1000")</f>
        <v>1000</v>
      </c>
      <c r="C629" s="15" t="str">
        <f>IFERROR(__xludf.DUMMYFUNCTION("""COMPUTED_VALUE"""),"95")</f>
        <v>95</v>
      </c>
      <c r="D629" s="15" t="str">
        <f>IFERROR(__xludf.DUMMYFUNCTION("""COMPUTED_VALUE"""),"45")</f>
        <v>45</v>
      </c>
      <c r="E629" s="15" t="str">
        <f>IFERROR(__xludf.DUMMYFUNCTION("""COMPUTED_VALUE"""),"50")</f>
        <v>50</v>
      </c>
      <c r="F629" s="17" t="str">
        <f>IFERROR(__xludf.DUMMYFUNCTION("""COMPUTED_VALUE"""),"https://www.themeateater.com/wired-to-hunt/whitetail-hunting/how-to-deer-hunt-standing-corn")</f>
        <v>https://www.themeateater.com/wired-to-hunt/whitetail-hunting/how-to-deer-hunt-standing-corn</v>
      </c>
      <c r="G629" s="17" t="str">
        <f>IFERROR(__xludf.DUMMYFUNCTION("""COMPUTED_VALUE"""),"https://realtree.com/brow-tines-and-backstrap/will-skyrocketing-corn-prices-affect-your-deer-season")</f>
        <v>https://realtree.com/brow-tines-and-backstrap/will-skyrocketing-corn-prices-affect-your-deer-season</v>
      </c>
      <c r="H629" s="17" t="str">
        <f>IFERROR(__xludf.DUMMYFUNCTION("""COMPUTED_VALUE"""),"https://www.wideopenspaces.com/deer-corn/")</f>
        <v>https://www.wideopenspaces.com/deer-corn/</v>
      </c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5" t="str">
        <f>IFERROR(__xludf.DUMMYFUNCTION("""COMPUTED_VALUE"""),"deers falling down at the part")</f>
        <v>deers falling down at the part</v>
      </c>
      <c r="B630" s="15" t="str">
        <f>IFERROR(__xludf.DUMMYFUNCTION("""COMPUTED_VALUE"""),"880")</f>
        <v>880</v>
      </c>
      <c r="C630" s="15" t="str">
        <f>IFERROR(__xludf.DUMMYFUNCTION("""COMPUTED_VALUE"""),"95")</f>
        <v>95</v>
      </c>
      <c r="D630" s="15" t="str">
        <f>IFERROR(__xludf.DUMMYFUNCTION("""COMPUTED_VALUE"""),"Not ranking")</f>
        <v>Not ranking</v>
      </c>
      <c r="E630" s="15" t="str">
        <f>IFERROR(__xludf.DUMMYFUNCTION("""COMPUTED_VALUE"""),"Not ranking")</f>
        <v>Not ranking</v>
      </c>
      <c r="F630" s="17" t="str">
        <f>IFERROR(__xludf.DUMMYFUNCTION("""COMPUTED_VALUE"""),"https://www.themeateater.com/wired-to-hunt/whitetail-scouting/12-quick-pro-tips-to-improve-your-deer-hunting-this-fall")</f>
        <v>https://www.themeateater.com/wired-to-hunt/whitetail-scouting/12-quick-pro-tips-to-improve-your-deer-hunting-this-fall</v>
      </c>
      <c r="G630" s="18" t="str">
        <f>IFERROR(__xludf.DUMMYFUNCTION("""COMPUTED_VALUE"""),"Not ranking")</f>
        <v>Not ranking</v>
      </c>
      <c r="H630" s="18" t="str">
        <f>IFERROR(__xludf.DUMMYFUNCTION("""COMPUTED_VALUE"""),"Not ranking")</f>
        <v>Not ranking</v>
      </c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5" t="str">
        <f>IFERROR(__xludf.DUMMYFUNCTION("""COMPUTED_VALUE"""),"deer jerky dehydrator")</f>
        <v>deer jerky dehydrator</v>
      </c>
      <c r="B631" s="15" t="str">
        <f>IFERROR(__xludf.DUMMYFUNCTION("""COMPUTED_VALUE"""),"590")</f>
        <v>590</v>
      </c>
      <c r="C631" s="15" t="str">
        <f>IFERROR(__xludf.DUMMYFUNCTION("""COMPUTED_VALUE"""),"95")</f>
        <v>95</v>
      </c>
      <c r="D631" s="15" t="str">
        <f>IFERROR(__xludf.DUMMYFUNCTION("""COMPUTED_VALUE"""),"45")</f>
        <v>45</v>
      </c>
      <c r="E631" s="15" t="str">
        <f>IFERROR(__xludf.DUMMYFUNCTION("""COMPUTED_VALUE"""),"46")</f>
        <v>46</v>
      </c>
      <c r="F631" s="17" t="str">
        <f>IFERROR(__xludf.DUMMYFUNCTION("""COMPUTED_VALUE"""),"https://www.themeateater.com/cook/recipes/smoked-venison-jerky-recipe")</f>
        <v>https://www.themeateater.com/cook/recipes/smoked-venison-jerky-recipe</v>
      </c>
      <c r="G631" s="17" t="str">
        <f>IFERROR(__xludf.DUMMYFUNCTION("""COMPUTED_VALUE"""),"https://realtree.com/timber-2-table-wild-game-recipes/magic-chef-realtree-venison-jerky-recipe")</f>
        <v>https://realtree.com/timber-2-table-wild-game-recipes/magic-chef-realtree-venison-jerky-recipe</v>
      </c>
      <c r="H631" s="17" t="str">
        <f>IFERROR(__xludf.DUMMYFUNCTION("""COMPUTED_VALUE"""),"https://www.wideopenspaces.com/venison-jerky-recipes/")</f>
        <v>https://www.wideopenspaces.com/venison-jerky-recipes/</v>
      </c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5" t="str">
        <f>IFERROR(__xludf.DUMMYFUNCTION("""COMPUTED_VALUE"""),"whistle for deer")</f>
        <v>whistle for deer</v>
      </c>
      <c r="B632" s="15" t="str">
        <f>IFERROR(__xludf.DUMMYFUNCTION("""COMPUTED_VALUE"""),"2400")</f>
        <v>2400</v>
      </c>
      <c r="C632" s="15" t="str">
        <f>IFERROR(__xludf.DUMMYFUNCTION("""COMPUTED_VALUE"""),"96")</f>
        <v>96</v>
      </c>
      <c r="D632" s="15" t="str">
        <f>IFERROR(__xludf.DUMMYFUNCTION("""COMPUTED_VALUE"""),"Not ranking")</f>
        <v>Not ranking</v>
      </c>
      <c r="E632" s="15" t="str">
        <f>IFERROR(__xludf.DUMMYFUNCTION("""COMPUTED_VALUE"""),"Not ranking")</f>
        <v>Not ranking</v>
      </c>
      <c r="F632" s="17" t="str">
        <f>IFERROR(__xludf.DUMMYFUNCTION("""COMPUTED_VALUE"""),"https://www.themeateater.com/conservation/anthropology/is-this-the-oldest-duck-call-in-the-world")</f>
        <v>https://www.themeateater.com/conservation/anthropology/is-this-the-oldest-duck-call-in-the-world</v>
      </c>
      <c r="G632" s="18" t="str">
        <f>IFERROR(__xludf.DUMMYFUNCTION("""COMPUTED_VALUE"""),"Not ranking")</f>
        <v>Not ranking</v>
      </c>
      <c r="H632" s="18" t="str">
        <f>IFERROR(__xludf.DUMMYFUNCTION("""COMPUTED_VALUE"""),"Not ranking")</f>
        <v>Not ranking</v>
      </c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5" t="str">
        <f>IFERROR(__xludf.DUMMYFUNCTION("""COMPUTED_VALUE"""),"deer rutting season")</f>
        <v>deer rutting season</v>
      </c>
      <c r="B633" s="15" t="str">
        <f>IFERROR(__xludf.DUMMYFUNCTION("""COMPUTED_VALUE"""),"1300")</f>
        <v>1300</v>
      </c>
      <c r="C633" s="15" t="str">
        <f>IFERROR(__xludf.DUMMYFUNCTION("""COMPUTED_VALUE"""),"96")</f>
        <v>96</v>
      </c>
      <c r="D633" s="15" t="str">
        <f>IFERROR(__xludf.DUMMYFUNCTION("""COMPUTED_VALUE"""),"18")</f>
        <v>18</v>
      </c>
      <c r="E633" s="15" t="str">
        <f>IFERROR(__xludf.DUMMYFUNCTION("""COMPUTED_VALUE"""),"Not ranking")</f>
        <v>Not ranking</v>
      </c>
      <c r="F633" s="17" t="str">
        <f>IFERROR(__xludf.DUMMYFUNCTION("""COMPUTED_VALUE"""),"https://www.themeateater.com/wired-to-hunt/whitetail-hunting/rut-fresh-report-11-17-2022")</f>
        <v>https://www.themeateater.com/wired-to-hunt/whitetail-hunting/rut-fresh-report-11-17-2022</v>
      </c>
      <c r="G633" s="17" t="str">
        <f>IFERROR(__xludf.DUMMYFUNCTION("""COMPUTED_VALUE"""),"https://realtree.com/deer-hunting/articles/how-to-hunt-the-phases-of-the-rut")</f>
        <v>https://realtree.com/deer-hunting/articles/how-to-hunt-the-phases-of-the-rut</v>
      </c>
      <c r="H633" s="18" t="str">
        <f>IFERROR(__xludf.DUMMYFUNCTION("""COMPUTED_VALUE"""),"Not ranking")</f>
        <v>Not ranking</v>
      </c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5" t="str">
        <f>IFERROR(__xludf.DUMMYFUNCTION("""COMPUTED_VALUE"""),"what does deer taste like")</f>
        <v>what does deer taste like</v>
      </c>
      <c r="B634" s="15" t="str">
        <f>IFERROR(__xludf.DUMMYFUNCTION("""COMPUTED_VALUE"""),"720")</f>
        <v>720</v>
      </c>
      <c r="C634" s="15" t="str">
        <f>IFERROR(__xludf.DUMMYFUNCTION("""COMPUTED_VALUE"""),"96")</f>
        <v>96</v>
      </c>
      <c r="D634" s="15" t="str">
        <f>IFERROR(__xludf.DUMMYFUNCTION("""COMPUTED_VALUE"""),"4")</f>
        <v>4</v>
      </c>
      <c r="E634" s="15" t="str">
        <f>IFERROR(__xludf.DUMMYFUNCTION("""COMPUTED_VALUE"""),"95")</f>
        <v>95</v>
      </c>
      <c r="F634" s="17" t="str">
        <f>IFERROR(__xludf.DUMMYFUNCTION("""COMPUTED_VALUE"""),"https://www.themeateater.com/cook/cooking-techniques/stop-using-the-word-gamey")</f>
        <v>https://www.themeateater.com/cook/cooking-techniques/stop-using-the-word-gamey</v>
      </c>
      <c r="G634" s="17" t="str">
        <f>IFERROR(__xludf.DUMMYFUNCTION("""COMPUTED_VALUE"""),"https://realtree.com/deer-hunting/articles/12-reasons-why-your-venison-tastes-like-hell")</f>
        <v>https://realtree.com/deer-hunting/articles/12-reasons-why-your-venison-tastes-like-hell</v>
      </c>
      <c r="H634" s="17" t="str">
        <f>IFERROR(__xludf.DUMMYFUNCTION("""COMPUTED_VALUE"""),"https://www.wideopenspaces.com/the-4-most-effective-ways-to-get-rid-of-the-gamey-taste-in-wild-meat/")</f>
        <v>https://www.wideopenspaces.com/the-4-most-effective-ways-to-get-rid-of-the-gamey-taste-in-wild-meat/</v>
      </c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5" t="str">
        <f>IFERROR(__xludf.DUMMYFUNCTION("""COMPUTED_VALUE"""),"deer cwd")</f>
        <v>deer cwd</v>
      </c>
      <c r="B635" s="15" t="str">
        <f>IFERROR(__xludf.DUMMYFUNCTION("""COMPUTED_VALUE"""),"3600")</f>
        <v>3600</v>
      </c>
      <c r="C635" s="15" t="str">
        <f>IFERROR(__xludf.DUMMYFUNCTION("""COMPUTED_VALUE"""),"97")</f>
        <v>97</v>
      </c>
      <c r="D635" s="15" t="str">
        <f>IFERROR(__xludf.DUMMYFUNCTION("""COMPUTED_VALUE"""),"Not ranking")</f>
        <v>Not ranking</v>
      </c>
      <c r="E635" s="15" t="str">
        <f>IFERROR(__xludf.DUMMYFUNCTION("""COMPUTED_VALUE"""),"Not ranking")</f>
        <v>Not ranking</v>
      </c>
      <c r="F635" s="17" t="str">
        <f>IFERROR(__xludf.DUMMYFUNCTION("""COMPUTED_VALUE"""),"https://www.themeateater.com/wired-to-hunt/whitetail-management/what-the-cwd-bill-means-for-deer-and-deer-hunters")</f>
        <v>https://www.themeateater.com/wired-to-hunt/whitetail-management/what-the-cwd-bill-means-for-deer-and-deer-hunters</v>
      </c>
      <c r="G635" s="18" t="str">
        <f>IFERROR(__xludf.DUMMYFUNCTION("""COMPUTED_VALUE"""),"Not ranking")</f>
        <v>Not ranking</v>
      </c>
      <c r="H635" s="18" t="str">
        <f>IFERROR(__xludf.DUMMYFUNCTION("""COMPUTED_VALUE"""),"Not ranking")</f>
        <v>Not ranking</v>
      </c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5" t="str">
        <f>IFERROR(__xludf.DUMMYFUNCTION("""COMPUTED_VALUE"""),"deer season va 2022")</f>
        <v>deer season va 2022</v>
      </c>
      <c r="B636" s="15" t="str">
        <f>IFERROR(__xludf.DUMMYFUNCTION("""COMPUTED_VALUE"""),"1000")</f>
        <v>1000</v>
      </c>
      <c r="C636" s="15" t="str">
        <f>IFERROR(__xludf.DUMMYFUNCTION("""COMPUTED_VALUE"""),"97")</f>
        <v>97</v>
      </c>
      <c r="D636" s="15" t="str">
        <f>IFERROR(__xludf.DUMMYFUNCTION("""COMPUTED_VALUE"""),"Not ranking")</f>
        <v>Not ranking</v>
      </c>
      <c r="E636" s="15" t="str">
        <f>IFERROR(__xludf.DUMMYFUNCTION("""COMPUTED_VALUE"""),"Not ranking")</f>
        <v>Not ranking</v>
      </c>
      <c r="F636" s="17" t="str">
        <f>IFERROR(__xludf.DUMMYFUNCTION("""COMPUTED_VALUE"""),"https://www.themeateater.com/conservation/policy-and-legislation/virginia-finally-ends-sunday-hunting-ban")</f>
        <v>https://www.themeateater.com/conservation/policy-and-legislation/virginia-finally-ends-sunday-hunting-ban</v>
      </c>
      <c r="G636" s="18" t="str">
        <f>IFERROR(__xludf.DUMMYFUNCTION("""COMPUTED_VALUE"""),"Not ranking")</f>
        <v>Not ranking</v>
      </c>
      <c r="H636" s="18" t="str">
        <f>IFERROR(__xludf.DUMMYFUNCTION("""COMPUTED_VALUE"""),"Not ranking")</f>
        <v>Not ranking</v>
      </c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5" t="str">
        <f>IFERROR(__xludf.DUMMYFUNCTION("""COMPUTED_VALUE"""),"va deer season 2022")</f>
        <v>va deer season 2022</v>
      </c>
      <c r="B637" s="15" t="str">
        <f>IFERROR(__xludf.DUMMYFUNCTION("""COMPUTED_VALUE"""),"1000")</f>
        <v>1000</v>
      </c>
      <c r="C637" s="15" t="str">
        <f>IFERROR(__xludf.DUMMYFUNCTION("""COMPUTED_VALUE"""),"97")</f>
        <v>97</v>
      </c>
      <c r="D637" s="15" t="str">
        <f>IFERROR(__xludf.DUMMYFUNCTION("""COMPUTED_VALUE"""),"95")</f>
        <v>95</v>
      </c>
      <c r="E637" s="15" t="str">
        <f>IFERROR(__xludf.DUMMYFUNCTION("""COMPUTED_VALUE"""),"Not ranking")</f>
        <v>Not ranking</v>
      </c>
      <c r="F637" s="17" t="str">
        <f>IFERROR(__xludf.DUMMYFUNCTION("""COMPUTED_VALUE"""),"https://www.themeateater.com/conservation/policy-and-legislation/virginia-finally-ends-sunday-hunting-ban")</f>
        <v>https://www.themeateater.com/conservation/policy-and-legislation/virginia-finally-ends-sunday-hunting-ban</v>
      </c>
      <c r="G637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637" s="18" t="str">
        <f>IFERROR(__xludf.DUMMYFUNCTION("""COMPUTED_VALUE"""),"Not ranking")</f>
        <v>Not ranking</v>
      </c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5" t="str">
        <f>IFERROR(__xludf.DUMMYFUNCTION("""COMPUTED_VALUE"""),"bj deer")</f>
        <v>bj deer</v>
      </c>
      <c r="B638" s="15" t="str">
        <f>IFERROR(__xludf.DUMMYFUNCTION("""COMPUTED_VALUE"""),"590")</f>
        <v>590</v>
      </c>
      <c r="C638" s="15" t="str">
        <f>IFERROR(__xludf.DUMMYFUNCTION("""COMPUTED_VALUE"""),"97")</f>
        <v>97</v>
      </c>
      <c r="D638" s="15" t="str">
        <f>IFERROR(__xludf.DUMMYFUNCTION("""COMPUTED_VALUE"""),"Not ranking")</f>
        <v>Not ranking</v>
      </c>
      <c r="E638" s="15" t="str">
        <f>IFERROR(__xludf.DUMMYFUNCTION("""COMPUTED_VALUE"""),"Not ranking")</f>
        <v>Not ranking</v>
      </c>
      <c r="F638" s="17" t="str">
        <f>IFERROR(__xludf.DUMMYFUNCTION("""COMPUTED_VALUE"""),"https://www.themeateater.com/")</f>
        <v>https://www.themeateater.com/</v>
      </c>
      <c r="G638" s="18" t="str">
        <f>IFERROR(__xludf.DUMMYFUNCTION("""COMPUTED_VALUE"""),"Not ranking")</f>
        <v>Not ranking</v>
      </c>
      <c r="H638" s="18" t="str">
        <f>IFERROR(__xludf.DUMMYFUNCTION("""COMPUTED_VALUE"""),"Not ranking")</f>
        <v>Not ranking</v>
      </c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5" t="str">
        <f>IFERROR(__xludf.DUMMYFUNCTION("""COMPUTED_VALUE"""),"does a deer eat meat")</f>
        <v>does a deer eat meat</v>
      </c>
      <c r="B639" s="15" t="str">
        <f>IFERROR(__xludf.DUMMYFUNCTION("""COMPUTED_VALUE"""),"1300")</f>
        <v>1300</v>
      </c>
      <c r="C639" s="15" t="str">
        <f>IFERROR(__xludf.DUMMYFUNCTION("""COMPUTED_VALUE"""),"98")</f>
        <v>98</v>
      </c>
      <c r="D639" s="15" t="str">
        <f>IFERROR(__xludf.DUMMYFUNCTION("""COMPUTED_VALUE"""),"5")</f>
        <v>5</v>
      </c>
      <c r="E639" s="15" t="str">
        <f>IFERROR(__xludf.DUMMYFUNCTION("""COMPUTED_VALUE"""),"11")</f>
        <v>11</v>
      </c>
      <c r="F639" s="17" t="str">
        <f>IFERROR(__xludf.DUMMYFUNCTION("""COMPUTED_VALUE"""),"https://www.themeateater.com/cook/cooking-techniques/5-organs-you-should-save-from-deer")</f>
        <v>https://www.themeateater.com/cook/cooking-techniques/5-organs-you-should-save-from-deer</v>
      </c>
      <c r="G639" s="17" t="str">
        <f>IFERROR(__xludf.DUMMYFUNCTION("""COMPUTED_VALUE"""),"https://realtree.com/the-realblog-with-stephanie-mallory/did-you-know-deer-eat-meat")</f>
        <v>https://realtree.com/the-realblog-with-stephanie-mallory/did-you-know-deer-eat-meat</v>
      </c>
      <c r="H639" s="17" t="str">
        <f>IFERROR(__xludf.DUMMYFUNCTION("""COMPUTED_VALUE"""),"https://www.wideopenspaces.com/do-deer-eat-meat/")</f>
        <v>https://www.wideopenspaces.com/do-deer-eat-meat/</v>
      </c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5" t="str">
        <f>IFERROR(__xludf.DUMMYFUNCTION("""COMPUTED_VALUE"""),"deer minerals")</f>
        <v>deer minerals</v>
      </c>
      <c r="B640" s="15" t="str">
        <f>IFERROR(__xludf.DUMMYFUNCTION("""COMPUTED_VALUE"""),"1000")</f>
        <v>1000</v>
      </c>
      <c r="C640" s="15" t="str">
        <f>IFERROR(__xludf.DUMMYFUNCTION("""COMPUTED_VALUE"""),"98")</f>
        <v>98</v>
      </c>
      <c r="D640" s="15" t="str">
        <f>IFERROR(__xludf.DUMMYFUNCTION("""COMPUTED_VALUE"""),"17")</f>
        <v>17</v>
      </c>
      <c r="E640" s="15" t="str">
        <f>IFERROR(__xludf.DUMMYFUNCTION("""COMPUTED_VALUE"""),"Not ranking")</f>
        <v>Not ranking</v>
      </c>
      <c r="F640" s="17" t="str">
        <f>IFERROR(__xludf.DUMMYFUNCTION("""COMPUTED_VALUE"""),"https://www.themeateater.com/wired-to-hunt/whitetail-management/what-you-need-to-know-about-minerals-for-deer")</f>
        <v>https://www.themeateater.com/wired-to-hunt/whitetail-management/what-you-need-to-know-about-minerals-for-deer</v>
      </c>
      <c r="G640" s="17" t="str">
        <f>IFERROR(__xludf.DUMMYFUNCTION("""COMPUTED_VALUE"""),"https://realtree.com/deer-hunting/articles/do-your-deer-need-minerals")</f>
        <v>https://realtree.com/deer-hunting/articles/do-your-deer-need-minerals</v>
      </c>
      <c r="H640" s="18" t="str">
        <f>IFERROR(__xludf.DUMMYFUNCTION("""COMPUTED_VALUE"""),"Not ranking")</f>
        <v>Not ranking</v>
      </c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5" t="str">
        <f>IFERROR(__xludf.DUMMYFUNCTION("""COMPUTED_VALUE"""),"how much does a deer weigh")</f>
        <v>how much does a deer weigh</v>
      </c>
      <c r="B641" s="15" t="str">
        <f>IFERROR(__xludf.DUMMYFUNCTION("""COMPUTED_VALUE"""),"1900")</f>
        <v>1900</v>
      </c>
      <c r="C641" s="15" t="str">
        <f>IFERROR(__xludf.DUMMYFUNCTION("""COMPUTED_VALUE"""),"99")</f>
        <v>99</v>
      </c>
      <c r="D641" s="15" t="str">
        <f>IFERROR(__xludf.DUMMYFUNCTION("""COMPUTED_VALUE"""),"Not ranking")</f>
        <v>Not ranking</v>
      </c>
      <c r="E641" s="15" t="str">
        <f>IFERROR(__xludf.DUMMYFUNCTION("""COMPUTED_VALUE"""),"Not ranking")</f>
        <v>Not ranking</v>
      </c>
      <c r="F641" s="17" t="str">
        <f>IFERROR(__xludf.DUMMYFUNCTION("""COMPUTED_VALUE"""),"https://www.themeateater.com/wired-to-hunt/whitetail-management/whitetails-and-mulies-a-comparison")</f>
        <v>https://www.themeateater.com/wired-to-hunt/whitetail-management/whitetails-and-mulies-a-comparison</v>
      </c>
      <c r="G641" s="18" t="str">
        <f>IFERROR(__xludf.DUMMYFUNCTION("""COMPUTED_VALUE"""),"Not ranking")</f>
        <v>Not ranking</v>
      </c>
      <c r="H641" s="18" t="str">
        <f>IFERROR(__xludf.DUMMYFUNCTION("""COMPUTED_VALUE"""),"Not ranking")</f>
        <v>Not ranking</v>
      </c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5" t="str">
        <f>IFERROR(__xludf.DUMMYFUNCTION("""COMPUTED_VALUE"""),"deer country wallpaper")</f>
        <v>deer country wallpaper</v>
      </c>
      <c r="B642" s="15" t="str">
        <f>IFERROR(__xludf.DUMMYFUNCTION("""COMPUTED_VALUE"""),"1300")</f>
        <v>1300</v>
      </c>
      <c r="C642" s="15" t="str">
        <f>IFERROR(__xludf.DUMMYFUNCTION("""COMPUTED_VALUE"""),"99")</f>
        <v>99</v>
      </c>
      <c r="D642" s="15" t="str">
        <f>IFERROR(__xludf.DUMMYFUNCTION("""COMPUTED_VALUE"""),"Not ranking")</f>
        <v>Not ranking</v>
      </c>
      <c r="E642" s="15" t="str">
        <f>IFERROR(__xludf.DUMMYFUNCTION("""COMPUTED_VALUE"""),"Not ranking")</f>
        <v>Not ranking</v>
      </c>
      <c r="F642" s="17" t="str">
        <f>IFERROR(__xludf.DUMMYFUNCTION("""COMPUTED_VALUE"""),"https://www.themeateater.com/")</f>
        <v>https://www.themeateater.com/</v>
      </c>
      <c r="G642" s="18" t="str">
        <f>IFERROR(__xludf.DUMMYFUNCTION("""COMPUTED_VALUE"""),"Not ranking")</f>
        <v>Not ranking</v>
      </c>
      <c r="H642" s="18" t="str">
        <f>IFERROR(__xludf.DUMMYFUNCTION("""COMPUTED_VALUE"""),"Not ranking")</f>
        <v>Not ranking</v>
      </c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5" t="str">
        <f>IFERROR(__xludf.DUMMYFUNCTION("""COMPUTED_VALUE"""),"what is cwd in deer")</f>
        <v>what is cwd in deer</v>
      </c>
      <c r="B643" s="15" t="str">
        <f>IFERROR(__xludf.DUMMYFUNCTION("""COMPUTED_VALUE"""),"1300")</f>
        <v>1300</v>
      </c>
      <c r="C643" s="15" t="str">
        <f>IFERROR(__xludf.DUMMYFUNCTION("""COMPUTED_VALUE"""),"99")</f>
        <v>99</v>
      </c>
      <c r="D643" s="15" t="str">
        <f>IFERROR(__xludf.DUMMYFUNCTION("""COMPUTED_VALUE"""),"Not ranking")</f>
        <v>Not ranking</v>
      </c>
      <c r="E643" s="15" t="str">
        <f>IFERROR(__xludf.DUMMYFUNCTION("""COMPUTED_VALUE"""),"Not ranking")</f>
        <v>Not ranking</v>
      </c>
      <c r="F643" s="17" t="str">
        <f>IFERROR(__xludf.DUMMYFUNCTION("""COMPUTED_VALUE"""),"https://www.themeateater.com/wired-to-hunt/whitetail-management/what-the-cwd-bill-means-for-deer-and-deer-hunters")</f>
        <v>https://www.themeateater.com/wired-to-hunt/whitetail-management/what-the-cwd-bill-means-for-deer-and-deer-hunters</v>
      </c>
      <c r="G643" s="18" t="str">
        <f>IFERROR(__xludf.DUMMYFUNCTION("""COMPUTED_VALUE"""),"Not ranking")</f>
        <v>Not ranking</v>
      </c>
      <c r="H643" s="18" t="str">
        <f>IFERROR(__xludf.DUMMYFUNCTION("""COMPUTED_VALUE"""),"Not ranking")</f>
        <v>Not ranking</v>
      </c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5" t="str">
        <f>IFERROR(__xludf.DUMMYFUNCTION("""COMPUTED_VALUE"""),"deer head mounted")</f>
        <v>deer head mounted</v>
      </c>
      <c r="B644" s="15" t="str">
        <f>IFERROR(__xludf.DUMMYFUNCTION("""COMPUTED_VALUE"""),"590")</f>
        <v>590</v>
      </c>
      <c r="C644" s="15" t="str">
        <f>IFERROR(__xludf.DUMMYFUNCTION("""COMPUTED_VALUE"""),"99")</f>
        <v>99</v>
      </c>
      <c r="D644" s="15" t="str">
        <f>IFERROR(__xludf.DUMMYFUNCTION("""COMPUTED_VALUE"""),"11")</f>
        <v>11</v>
      </c>
      <c r="E644" s="15" t="str">
        <f>IFERROR(__xludf.DUMMYFUNCTION("""COMPUTED_VALUE"""),"13")</f>
        <v>13</v>
      </c>
      <c r="F644" s="17" t="str">
        <f>IFERROR(__xludf.DUMMYFUNCTION("""COMPUTED_VALUE"""),"https://www.themeateater.com/hunt/big-game/what-to-do-when-you-plan-on-getting-a-deer-mounted")</f>
        <v>https://www.themeateater.com/hunt/big-game/what-to-do-when-you-plan-on-getting-a-deer-mounted</v>
      </c>
      <c r="G644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644" s="17" t="str">
        <f>IFERROR(__xludf.DUMMYFUNCTION("""COMPUTED_VALUE"""),"https://www.wideopenspaces.com/deer-taxidermy-options/")</f>
        <v>https://www.wideopenspaces.com/deer-taxidermy-options/</v>
      </c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5" t="str">
        <f>IFERROR(__xludf.DUMMYFUNCTION("""COMPUTED_VALUE"""),"do deer mourn their dead")</f>
        <v>do deer mourn their dead</v>
      </c>
      <c r="B645" s="15" t="str">
        <f>IFERROR(__xludf.DUMMYFUNCTION("""COMPUTED_VALUE"""),"590")</f>
        <v>590</v>
      </c>
      <c r="C645" s="15" t="str">
        <f>IFERROR(__xludf.DUMMYFUNCTION("""COMPUTED_VALUE"""),"100")</f>
        <v>100</v>
      </c>
      <c r="D645" s="15" t="str">
        <f>IFERROR(__xludf.DUMMYFUNCTION("""COMPUTED_VALUE"""),"Not ranking")</f>
        <v>Not ranking</v>
      </c>
      <c r="E645" s="15" t="str">
        <f>IFERROR(__xludf.DUMMYFUNCTION("""COMPUTED_VALUE"""),"Not ranking")</f>
        <v>Not ranking</v>
      </c>
      <c r="F645" s="17" t="str">
        <f>IFERROR(__xludf.DUMMYFUNCTION("""COMPUTED_VALUE"""),"https://www.themeateater.com/wired-to-hunt/whitetail-hunting-gear/what-ive-learned-from-missing-so-many-deer")</f>
        <v>https://www.themeateater.com/wired-to-hunt/whitetail-hunting-gear/what-ive-learned-from-missing-so-many-deer</v>
      </c>
      <c r="G645" s="18" t="str">
        <f>IFERROR(__xludf.DUMMYFUNCTION("""COMPUTED_VALUE"""),"Not ranking")</f>
        <v>Not ranking</v>
      </c>
      <c r="H645" s="18" t="str">
        <f>IFERROR(__xludf.DUMMYFUNCTION("""COMPUTED_VALUE"""),"Not ranking")</f>
        <v>Not ranking</v>
      </c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5" t="str">
        <f>IFERROR(__xludf.DUMMYFUNCTION("""COMPUTED_VALUE"""),"axis deer")</f>
        <v>axis deer</v>
      </c>
      <c r="B646" s="15" t="str">
        <f>IFERROR(__xludf.DUMMYFUNCTION("""COMPUTED_VALUE"""),"27100")</f>
        <v>27100</v>
      </c>
      <c r="C646" s="15" t="str">
        <f>IFERROR(__xludf.DUMMYFUNCTION("""COMPUTED_VALUE"""),"Not ranking")</f>
        <v>Not ranking</v>
      </c>
      <c r="D646" s="15" t="str">
        <f>IFERROR(__xludf.DUMMYFUNCTION("""COMPUTED_VALUE"""),"Not ranking")</f>
        <v>Not ranking</v>
      </c>
      <c r="E646" s="15" t="str">
        <f>IFERROR(__xludf.DUMMYFUNCTION("""COMPUTED_VALUE"""),"6")</f>
        <v>6</v>
      </c>
      <c r="F646" s="18" t="str">
        <f>IFERROR(__xludf.DUMMYFUNCTION("""COMPUTED_VALUE"""),"Not ranking")</f>
        <v>Not ranking</v>
      </c>
      <c r="G646" s="18" t="str">
        <f>IFERROR(__xludf.DUMMYFUNCTION("""COMPUTED_VALUE"""),"Not ranking")</f>
        <v>Not ranking</v>
      </c>
      <c r="H646" s="17" t="str">
        <f>IFERROR(__xludf.DUMMYFUNCTION("""COMPUTED_VALUE"""),"https://www.wideopenspaces.com/invasion-axis-deer/")</f>
        <v>https://www.wideopenspaces.com/invasion-axis-deer/</v>
      </c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5" t="str">
        <f>IFERROR(__xludf.DUMMYFUNCTION("""COMPUTED_VALUE"""),"deer skull")</f>
        <v>deer skull</v>
      </c>
      <c r="B647" s="15" t="str">
        <f>IFERROR(__xludf.DUMMYFUNCTION("""COMPUTED_VALUE"""),"22200")</f>
        <v>22200</v>
      </c>
      <c r="C647" s="15" t="str">
        <f>IFERROR(__xludf.DUMMYFUNCTION("""COMPUTED_VALUE"""),"Not ranking")</f>
        <v>Not ranking</v>
      </c>
      <c r="D647" s="15" t="str">
        <f>IFERROR(__xludf.DUMMYFUNCTION("""COMPUTED_VALUE"""),"Not ranking")</f>
        <v>Not ranking</v>
      </c>
      <c r="E647" s="15" t="str">
        <f>IFERROR(__xludf.DUMMYFUNCTION("""COMPUTED_VALUE"""),"29")</f>
        <v>29</v>
      </c>
      <c r="F647" s="18" t="str">
        <f>IFERROR(__xludf.DUMMYFUNCTION("""COMPUTED_VALUE"""),"Not ranking")</f>
        <v>Not ranking</v>
      </c>
      <c r="G647" s="18" t="str">
        <f>IFERROR(__xludf.DUMMYFUNCTION("""COMPUTED_VALUE"""),"Not ranking")</f>
        <v>Not ranking</v>
      </c>
      <c r="H647" s="17" t="str">
        <f>IFERROR(__xludf.DUMMYFUNCTION("""COMPUTED_VALUE"""),"https://www.wideopenspaces.com/how-to-clean-a-deer-skull/")</f>
        <v>https://www.wideopenspaces.com/how-to-clean-a-deer-skull/</v>
      </c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5" t="str">
        <f>IFERROR(__xludf.DUMMYFUNCTION("""COMPUTED_VALUE"""),"piebald deer")</f>
        <v>piebald deer</v>
      </c>
      <c r="B648" s="15" t="str">
        <f>IFERROR(__xludf.DUMMYFUNCTION("""COMPUTED_VALUE"""),"22200")</f>
        <v>22200</v>
      </c>
      <c r="C648" s="15" t="str">
        <f>IFERROR(__xludf.DUMMYFUNCTION("""COMPUTED_VALUE"""),"Not ranking")</f>
        <v>Not ranking</v>
      </c>
      <c r="D648" s="15" t="str">
        <f>IFERROR(__xludf.DUMMYFUNCTION("""COMPUTED_VALUE"""),"Not ranking")</f>
        <v>Not ranking</v>
      </c>
      <c r="E648" s="15" t="str">
        <f>IFERROR(__xludf.DUMMYFUNCTION("""COMPUTED_VALUE"""),"51")</f>
        <v>51</v>
      </c>
      <c r="F648" s="18" t="str">
        <f>IFERROR(__xludf.DUMMYFUNCTION("""COMPUTED_VALUE"""),"Not ranking")</f>
        <v>Not ranking</v>
      </c>
      <c r="G648" s="18" t="str">
        <f>IFERROR(__xludf.DUMMYFUNCTION("""COMPUTED_VALUE"""),"Not ranking")</f>
        <v>Not ranking</v>
      </c>
      <c r="H648" s="17" t="str">
        <f>IFERROR(__xludf.DUMMYFUNCTION("""COMPUTED_VALUE"""),"https://www.wideopenspaces.com/rare-piebald-deer-herd/")</f>
        <v>https://www.wideopenspaces.com/rare-piebald-deer-herd/</v>
      </c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5" t="str">
        <f>IFERROR(__xludf.DUMMYFUNCTION("""COMPUTED_VALUE"""),"deer antlers")</f>
        <v>deer antlers</v>
      </c>
      <c r="B649" s="15" t="str">
        <f>IFERROR(__xludf.DUMMYFUNCTION("""COMPUTED_VALUE"""),"18100")</f>
        <v>18100</v>
      </c>
      <c r="C649" s="15" t="str">
        <f>IFERROR(__xludf.DUMMYFUNCTION("""COMPUTED_VALUE"""),"Not ranking")</f>
        <v>Not ranking</v>
      </c>
      <c r="D649" s="15" t="str">
        <f>IFERROR(__xludf.DUMMYFUNCTION("""COMPUTED_VALUE"""),"41")</f>
        <v>41</v>
      </c>
      <c r="E649" s="15" t="str">
        <f>IFERROR(__xludf.DUMMYFUNCTION("""COMPUTED_VALUE"""),"Not ranking")</f>
        <v>Not ranking</v>
      </c>
      <c r="F649" s="18" t="str">
        <f>IFERROR(__xludf.DUMMYFUNCTION("""COMPUTED_VALUE"""),"Not ranking")</f>
        <v>Not ranking</v>
      </c>
      <c r="G649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649" s="18" t="str">
        <f>IFERROR(__xludf.DUMMYFUNCTION("""COMPUTED_VALUE"""),"Not ranking")</f>
        <v>Not ranking</v>
      </c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5" t="str">
        <f>IFERROR(__xludf.DUMMYFUNCTION("""COMPUTED_VALUE"""),"deer feeder")</f>
        <v>deer feeder</v>
      </c>
      <c r="B650" s="15" t="str">
        <f>IFERROR(__xludf.DUMMYFUNCTION("""COMPUTED_VALUE"""),"18100")</f>
        <v>18100</v>
      </c>
      <c r="C650" s="15" t="str">
        <f>IFERROR(__xludf.DUMMYFUNCTION("""COMPUTED_VALUE"""),"Not ranking")</f>
        <v>Not ranking</v>
      </c>
      <c r="D650" s="15" t="str">
        <f>IFERROR(__xludf.DUMMYFUNCTION("""COMPUTED_VALUE"""),"16")</f>
        <v>16</v>
      </c>
      <c r="E650" s="15" t="str">
        <f>IFERROR(__xludf.DUMMYFUNCTION("""COMPUTED_VALUE"""),"Not ranking")</f>
        <v>Not ranking</v>
      </c>
      <c r="F650" s="18" t="str">
        <f>IFERROR(__xludf.DUMMYFUNCTION("""COMPUTED_VALUE"""),"Not ranking")</f>
        <v>Not ranking</v>
      </c>
      <c r="G650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650" s="18" t="str">
        <f>IFERROR(__xludf.DUMMYFUNCTION("""COMPUTED_VALUE"""),"Not ranking")</f>
        <v>Not ranking</v>
      </c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5" t="str">
        <f>IFERROR(__xludf.DUMMYFUNCTION("""COMPUTED_VALUE"""),"deer drawing")</f>
        <v>deer drawing</v>
      </c>
      <c r="B651" s="15" t="str">
        <f>IFERROR(__xludf.DUMMYFUNCTION("""COMPUTED_VALUE"""),"14800")</f>
        <v>14800</v>
      </c>
      <c r="C651" s="15" t="str">
        <f>IFERROR(__xludf.DUMMYFUNCTION("""COMPUTED_VALUE"""),"Not ranking")</f>
        <v>Not ranking</v>
      </c>
      <c r="D651" s="15" t="str">
        <f>IFERROR(__xludf.DUMMYFUNCTION("""COMPUTED_VALUE"""),"40")</f>
        <v>40</v>
      </c>
      <c r="E651" s="15" t="str">
        <f>IFERROR(__xludf.DUMMYFUNCTION("""COMPUTED_VALUE"""),"Not ranking")</f>
        <v>Not ranking</v>
      </c>
      <c r="F651" s="18" t="str">
        <f>IFERROR(__xludf.DUMMYFUNCTION("""COMPUTED_VALUE"""),"Not ranking")</f>
        <v>Not ranking</v>
      </c>
      <c r="G651" s="17" t="str">
        <f>IFERROR(__xludf.DUMMYFUNCTION("""COMPUTED_VALUE"""),"https://realtree.com/brow-tines-and-backstrap/when-to-draw-your-bow-on-deer")</f>
        <v>https://realtree.com/brow-tines-and-backstrap/when-to-draw-your-bow-on-deer</v>
      </c>
      <c r="H651" s="18" t="str">
        <f>IFERROR(__xludf.DUMMYFUNCTION("""COMPUTED_VALUE"""),"Not ranking")</f>
        <v>Not ranking</v>
      </c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5" t="str">
        <f>IFERROR(__xludf.DUMMYFUNCTION("""COMPUTED_VALUE"""),"albino deer")</f>
        <v>albino deer</v>
      </c>
      <c r="B652" s="15" t="str">
        <f>IFERROR(__xludf.DUMMYFUNCTION("""COMPUTED_VALUE"""),"12100")</f>
        <v>12100</v>
      </c>
      <c r="C652" s="15" t="str">
        <f>IFERROR(__xludf.DUMMYFUNCTION("""COMPUTED_VALUE"""),"Not ranking")</f>
        <v>Not ranking</v>
      </c>
      <c r="D652" s="15" t="str">
        <f>IFERROR(__xludf.DUMMYFUNCTION("""COMPUTED_VALUE"""),"Not ranking")</f>
        <v>Not ranking</v>
      </c>
      <c r="E652" s="15" t="str">
        <f>IFERROR(__xludf.DUMMYFUNCTION("""COMPUTED_VALUE"""),"25")</f>
        <v>25</v>
      </c>
      <c r="F652" s="18" t="str">
        <f>IFERROR(__xludf.DUMMYFUNCTION("""COMPUTED_VALUE"""),"Not ranking")</f>
        <v>Not ranking</v>
      </c>
      <c r="G652" s="18" t="str">
        <f>IFERROR(__xludf.DUMMYFUNCTION("""COMPUTED_VALUE"""),"Not ranking")</f>
        <v>Not ranking</v>
      </c>
      <c r="H652" s="17" t="str">
        <f>IFERROR(__xludf.DUMMYFUNCTION("""COMPUTED_VALUE"""),"https://www.wideopenspaces.com/whitetailwednesday-should-we-shoot-albino-and-piebald-deer/")</f>
        <v>https://www.wideopenspaces.com/whitetailwednesday-should-we-shoot-albino-and-piebald-deer/</v>
      </c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5" t="str">
        <f>IFERROR(__xludf.DUMMYFUNCTION("""COMPUTED_VALUE"""),"deer corn")</f>
        <v>deer corn</v>
      </c>
      <c r="B653" s="15" t="str">
        <f>IFERROR(__xludf.DUMMYFUNCTION("""COMPUTED_VALUE"""),"12100")</f>
        <v>12100</v>
      </c>
      <c r="C653" s="15" t="str">
        <f>IFERROR(__xludf.DUMMYFUNCTION("""COMPUTED_VALUE"""),"Not ranking")</f>
        <v>Not ranking</v>
      </c>
      <c r="D653" s="15" t="str">
        <f>IFERROR(__xludf.DUMMYFUNCTION("""COMPUTED_VALUE"""),"57")</f>
        <v>57</v>
      </c>
      <c r="E653" s="15" t="str">
        <f>IFERROR(__xludf.DUMMYFUNCTION("""COMPUTED_VALUE"""),"Not ranking")</f>
        <v>Not ranking</v>
      </c>
      <c r="F653" s="18" t="str">
        <f>IFERROR(__xludf.DUMMYFUNCTION("""COMPUTED_VALUE"""),"Not ranking")</f>
        <v>Not ranking</v>
      </c>
      <c r="G653" s="17" t="str">
        <f>IFERROR(__xludf.DUMMYFUNCTION("""COMPUTED_VALUE"""),"https://realtree.com/brow-tines-and-backstrap/will-skyrocketing-corn-prices-affect-your-deer-season")</f>
        <v>https://realtree.com/brow-tines-and-backstrap/will-skyrocketing-corn-prices-affect-your-deer-season</v>
      </c>
      <c r="H653" s="18" t="str">
        <f>IFERROR(__xludf.DUMMYFUNCTION("""COMPUTED_VALUE"""),"Not ranking")</f>
        <v>Not ranking</v>
      </c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5" t="str">
        <f>IFERROR(__xludf.DUMMYFUNCTION("""COMPUTED_VALUE"""),"deer antler velvet")</f>
        <v>deer antler velvet</v>
      </c>
      <c r="B654" s="15" t="str">
        <f>IFERROR(__xludf.DUMMYFUNCTION("""COMPUTED_VALUE"""),"9900")</f>
        <v>9900</v>
      </c>
      <c r="C654" s="15" t="str">
        <f>IFERROR(__xludf.DUMMYFUNCTION("""COMPUTED_VALUE"""),"Not ranking")</f>
        <v>Not ranking</v>
      </c>
      <c r="D654" s="15" t="str">
        <f>IFERROR(__xludf.DUMMYFUNCTION("""COMPUTED_VALUE"""),"66")</f>
        <v>66</v>
      </c>
      <c r="E654" s="15" t="str">
        <f>IFERROR(__xludf.DUMMYFUNCTION("""COMPUTED_VALUE"""),"Not ranking")</f>
        <v>Not ranking</v>
      </c>
      <c r="F654" s="18" t="str">
        <f>IFERROR(__xludf.DUMMYFUNCTION("""COMPUTED_VALUE"""),"Not ranking")</f>
        <v>Not ranking</v>
      </c>
      <c r="G654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654" s="18" t="str">
        <f>IFERROR(__xludf.DUMMYFUNCTION("""COMPUTED_VALUE"""),"Not ranking")</f>
        <v>Not ranking</v>
      </c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5" t="str">
        <f>IFERROR(__xludf.DUMMYFUNCTION("""COMPUTED_VALUE"""),"ehd deer")</f>
        <v>ehd deer</v>
      </c>
      <c r="B655" s="15" t="str">
        <f>IFERROR(__xludf.DUMMYFUNCTION("""COMPUTED_VALUE"""),"9900")</f>
        <v>9900</v>
      </c>
      <c r="C655" s="15" t="str">
        <f>IFERROR(__xludf.DUMMYFUNCTION("""COMPUTED_VALUE"""),"Not ranking")</f>
        <v>Not ranking</v>
      </c>
      <c r="D655" s="15" t="str">
        <f>IFERROR(__xludf.DUMMYFUNCTION("""COMPUTED_VALUE"""),"37")</f>
        <v>37</v>
      </c>
      <c r="E655" s="15" t="str">
        <f>IFERROR(__xludf.DUMMYFUNCTION("""COMPUTED_VALUE"""),"Not ranking")</f>
        <v>Not ranking</v>
      </c>
      <c r="F655" s="18" t="str">
        <f>IFERROR(__xludf.DUMMYFUNCTION("""COMPUTED_VALUE"""),"Not ranking")</f>
        <v>Not ranking</v>
      </c>
      <c r="G655" s="17" t="str">
        <f>IFERROR(__xludf.DUMMYFUNCTION("""COMPUTED_VALUE"""),"https://realtree.com/brow-tines-and-backstrap/will-ehd-be-a-factor-this-deer-season")</f>
        <v>https://realtree.com/brow-tines-and-backstrap/will-ehd-be-a-factor-this-deer-season</v>
      </c>
      <c r="H655" s="18" t="str">
        <f>IFERROR(__xludf.DUMMYFUNCTION("""COMPUTED_VALUE"""),"Not ranking")</f>
        <v>Not ranking</v>
      </c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5" t="str">
        <f>IFERROR(__xludf.DUMMYFUNCTION("""COMPUTED_VALUE"""),"deer feeding times")</f>
        <v>deer feeding times</v>
      </c>
      <c r="B656" s="15" t="str">
        <f>IFERROR(__xludf.DUMMYFUNCTION("""COMPUTED_VALUE"""),"8100")</f>
        <v>8100</v>
      </c>
      <c r="C656" s="15" t="str">
        <f>IFERROR(__xludf.DUMMYFUNCTION("""COMPUTED_VALUE"""),"Not ranking")</f>
        <v>Not ranking</v>
      </c>
      <c r="D656" s="15" t="str">
        <f>IFERROR(__xludf.DUMMYFUNCTION("""COMPUTED_VALUE"""),"Not ranking")</f>
        <v>Not ranking</v>
      </c>
      <c r="E656" s="15" t="str">
        <f>IFERROR(__xludf.DUMMYFUNCTION("""COMPUTED_VALUE"""),"23")</f>
        <v>23</v>
      </c>
      <c r="F656" s="18" t="str">
        <f>IFERROR(__xludf.DUMMYFUNCTION("""COMPUTED_VALUE"""),"Not ranking")</f>
        <v>Not ranking</v>
      </c>
      <c r="G656" s="18" t="str">
        <f>IFERROR(__xludf.DUMMYFUNCTION("""COMPUTED_VALUE"""),"Not ranking")</f>
        <v>Not ranking</v>
      </c>
      <c r="H656" s="17" t="str">
        <f>IFERROR(__xludf.DUMMYFUNCTION("""COMPUTED_VALUE"""),"https://www.wideopenspaces.com/deer-feeding-times/")</f>
        <v>https://www.wideopenspaces.com/deer-feeding-times/</v>
      </c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5" t="str">
        <f>IFERROR(__xludf.DUMMYFUNCTION("""COMPUTED_VALUE"""),"deer head")</f>
        <v>deer head</v>
      </c>
      <c r="B657" s="15" t="str">
        <f>IFERROR(__xludf.DUMMYFUNCTION("""COMPUTED_VALUE"""),"8100")</f>
        <v>8100</v>
      </c>
      <c r="C657" s="15" t="str">
        <f>IFERROR(__xludf.DUMMYFUNCTION("""COMPUTED_VALUE"""),"Not ranking")</f>
        <v>Not ranking</v>
      </c>
      <c r="D657" s="15" t="str">
        <f>IFERROR(__xludf.DUMMYFUNCTION("""COMPUTED_VALUE"""),"34")</f>
        <v>34</v>
      </c>
      <c r="E657" s="15" t="str">
        <f>IFERROR(__xludf.DUMMYFUNCTION("""COMPUTED_VALUE"""),"Not ranking")</f>
        <v>Not ranking</v>
      </c>
      <c r="F657" s="18" t="str">
        <f>IFERROR(__xludf.DUMMYFUNCTION("""COMPUTED_VALUE"""),"Not ranking")</f>
        <v>Not ranking</v>
      </c>
      <c r="G657" s="17" t="str">
        <f>IFERROR(__xludf.DUMMYFUNCTION("""COMPUTED_VALUE"""),"https://realtree.com/brow-tines-and-backstrap/how-long-should-deer-taxidermy-take")</f>
        <v>https://realtree.com/brow-tines-and-backstrap/how-long-should-deer-taxidermy-take</v>
      </c>
      <c r="H657" s="18" t="str">
        <f>IFERROR(__xludf.DUMMYFUNCTION("""COMPUTED_VALUE"""),"Not ranking")</f>
        <v>Not ranking</v>
      </c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5" t="str">
        <f>IFERROR(__xludf.DUMMYFUNCTION("""COMPUTED_VALUE"""),"deer antler")</f>
        <v>deer antler</v>
      </c>
      <c r="B658" s="15" t="str">
        <f>IFERROR(__xludf.DUMMYFUNCTION("""COMPUTED_VALUE"""),"6600")</f>
        <v>6600</v>
      </c>
      <c r="C658" s="15" t="str">
        <f>IFERROR(__xludf.DUMMYFUNCTION("""COMPUTED_VALUE"""),"Not ranking")</f>
        <v>Not ranking</v>
      </c>
      <c r="D658" s="15" t="str">
        <f>IFERROR(__xludf.DUMMYFUNCTION("""COMPUTED_VALUE"""),"63")</f>
        <v>63</v>
      </c>
      <c r="E658" s="15" t="str">
        <f>IFERROR(__xludf.DUMMYFUNCTION("""COMPUTED_VALUE"""),"Not ranking")</f>
        <v>Not ranking</v>
      </c>
      <c r="F658" s="18" t="str">
        <f>IFERROR(__xludf.DUMMYFUNCTION("""COMPUTED_VALUE"""),"Not ranking")</f>
        <v>Not ranking</v>
      </c>
      <c r="G658" s="17" t="str">
        <f>IFERROR(__xludf.DUMMYFUNCTION("""COMPUTED_VALUE"""),"https://realtree.com/all/articles/antler-trivia")</f>
        <v>https://realtree.com/all/articles/antler-trivia</v>
      </c>
      <c r="H658" s="18" t="str">
        <f>IFERROR(__xludf.DUMMYFUNCTION("""COMPUTED_VALUE"""),"Not ranking")</f>
        <v>Not ranking</v>
      </c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5" t="str">
        <f>IFERROR(__xludf.DUMMYFUNCTION("""COMPUTED_VALUE"""),"deer processors near me")</f>
        <v>deer processors near me</v>
      </c>
      <c r="B659" s="15" t="str">
        <f>IFERROR(__xludf.DUMMYFUNCTION("""COMPUTED_VALUE"""),"6600")</f>
        <v>6600</v>
      </c>
      <c r="C659" s="15" t="str">
        <f>IFERROR(__xludf.DUMMYFUNCTION("""COMPUTED_VALUE"""),"Not ranking")</f>
        <v>Not ranking</v>
      </c>
      <c r="D659" s="15" t="str">
        <f>IFERROR(__xludf.DUMMYFUNCTION("""COMPUTED_VALUE"""),"35")</f>
        <v>35</v>
      </c>
      <c r="E659" s="15" t="str">
        <f>IFERROR(__xludf.DUMMYFUNCTION("""COMPUTED_VALUE"""),"Not ranking")</f>
        <v>Not ranking</v>
      </c>
      <c r="F659" s="18" t="str">
        <f>IFERROR(__xludf.DUMMYFUNCTION("""COMPUTED_VALUE"""),"Not ranking")</f>
        <v>Not ranking</v>
      </c>
      <c r="G659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659" s="18" t="str">
        <f>IFERROR(__xludf.DUMMYFUNCTION("""COMPUTED_VALUE"""),"Not ranking")</f>
        <v>Not ranking</v>
      </c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5" t="str">
        <f>IFERROR(__xludf.DUMMYFUNCTION("""COMPUTED_VALUE"""),"doe deer")</f>
        <v>doe deer</v>
      </c>
      <c r="B660" s="15" t="str">
        <f>IFERROR(__xludf.DUMMYFUNCTION("""COMPUTED_VALUE"""),"6600")</f>
        <v>6600</v>
      </c>
      <c r="C660" s="15" t="str">
        <f>IFERROR(__xludf.DUMMYFUNCTION("""COMPUTED_VALUE"""),"Not ranking")</f>
        <v>Not ranking</v>
      </c>
      <c r="D660" s="15" t="str">
        <f>IFERROR(__xludf.DUMMYFUNCTION("""COMPUTED_VALUE"""),"34")</f>
        <v>34</v>
      </c>
      <c r="E660" s="15" t="str">
        <f>IFERROR(__xludf.DUMMYFUNCTION("""COMPUTED_VALUE"""),"Not ranking")</f>
        <v>Not ranking</v>
      </c>
      <c r="F660" s="18" t="str">
        <f>IFERROR(__xludf.DUMMYFUNCTION("""COMPUTED_VALUE"""),"Not ranking")</f>
        <v>Not ranking</v>
      </c>
      <c r="G660" s="17" t="str">
        <f>IFERROR(__xludf.DUMMYFUNCTION("""COMPUTED_VALUE"""),"https://realtree.com/deer-hunting/articles/5-characteristics-of-adult-does")</f>
        <v>https://realtree.com/deer-hunting/articles/5-characteristics-of-adult-does</v>
      </c>
      <c r="H660" s="18" t="str">
        <f>IFERROR(__xludf.DUMMYFUNCTION("""COMPUTED_VALUE"""),"Not ranking")</f>
        <v>Not ranking</v>
      </c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5" t="str">
        <f>IFERROR(__xludf.DUMMYFUNCTION("""COMPUTED_VALUE"""),"how to draw a deer")</f>
        <v>how to draw a deer</v>
      </c>
      <c r="B661" s="15" t="str">
        <f>IFERROR(__xludf.DUMMYFUNCTION("""COMPUTED_VALUE"""),"6600")</f>
        <v>6600</v>
      </c>
      <c r="C661" s="15" t="str">
        <f>IFERROR(__xludf.DUMMYFUNCTION("""COMPUTED_VALUE"""),"Not ranking")</f>
        <v>Not ranking</v>
      </c>
      <c r="D661" s="15" t="str">
        <f>IFERROR(__xludf.DUMMYFUNCTION("""COMPUTED_VALUE"""),"22")</f>
        <v>22</v>
      </c>
      <c r="E661" s="15" t="str">
        <f>IFERROR(__xludf.DUMMYFUNCTION("""COMPUTED_VALUE"""),"Not ranking")</f>
        <v>Not ranking</v>
      </c>
      <c r="F661" s="18" t="str">
        <f>IFERROR(__xludf.DUMMYFUNCTION("""COMPUTED_VALUE"""),"Not ranking")</f>
        <v>Not ranking</v>
      </c>
      <c r="G661" s="17" t="str">
        <f>IFERROR(__xludf.DUMMYFUNCTION("""COMPUTED_VALUE"""),"https://realtree.com/brow-tines-and-backstrap/when-to-draw-your-bow-on-deer")</f>
        <v>https://realtree.com/brow-tines-and-backstrap/when-to-draw-your-bow-on-deer</v>
      </c>
      <c r="H661" s="18" t="str">
        <f>IFERROR(__xludf.DUMMYFUNCTION("""COMPUTED_VALUE"""),"Not ranking")</f>
        <v>Not ranking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5" t="str">
        <f>IFERROR(__xludf.DUMMYFUNCTION("""COMPUTED_VALUE"""),"deer processor near me")</f>
        <v>deer processor near me</v>
      </c>
      <c r="B662" s="15" t="str">
        <f>IFERROR(__xludf.DUMMYFUNCTION("""COMPUTED_VALUE"""),"5400")</f>
        <v>5400</v>
      </c>
      <c r="C662" s="15" t="str">
        <f>IFERROR(__xludf.DUMMYFUNCTION("""COMPUTED_VALUE"""),"Not ranking")</f>
        <v>Not ranking</v>
      </c>
      <c r="D662" s="15" t="str">
        <f>IFERROR(__xludf.DUMMYFUNCTION("""COMPUTED_VALUE"""),"26")</f>
        <v>26</v>
      </c>
      <c r="E662" s="15" t="str">
        <f>IFERROR(__xludf.DUMMYFUNCTION("""COMPUTED_VALUE"""),"Not ranking")</f>
        <v>Not ranking</v>
      </c>
      <c r="F662" s="18" t="str">
        <f>IFERROR(__xludf.DUMMYFUNCTION("""COMPUTED_VALUE"""),"Not ranking")</f>
        <v>Not ranking</v>
      </c>
      <c r="G662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662" s="18" t="str">
        <f>IFERROR(__xludf.DUMMYFUNCTION("""COMPUTED_VALUE"""),"Not ranking")</f>
        <v>Not ranking</v>
      </c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5" t="str">
        <f>IFERROR(__xludf.DUMMYFUNCTION("""COMPUTED_VALUE"""),"deer season 2022")</f>
        <v>deer season 2022</v>
      </c>
      <c r="B663" s="15" t="str">
        <f>IFERROR(__xludf.DUMMYFUNCTION("""COMPUTED_VALUE"""),"5400")</f>
        <v>5400</v>
      </c>
      <c r="C663" s="15" t="str">
        <f>IFERROR(__xludf.DUMMYFUNCTION("""COMPUTED_VALUE"""),"Not ranking")</f>
        <v>Not ranking</v>
      </c>
      <c r="D663" s="15" t="str">
        <f>IFERROR(__xludf.DUMMYFUNCTION("""COMPUTED_VALUE"""),"96")</f>
        <v>96</v>
      </c>
      <c r="E663" s="15" t="str">
        <f>IFERROR(__xludf.DUMMYFUNCTION("""COMPUTED_VALUE"""),"Not ranking")</f>
        <v>Not ranking</v>
      </c>
      <c r="F663" s="18" t="str">
        <f>IFERROR(__xludf.DUMMYFUNCTION("""COMPUTED_VALUE"""),"Not ranking")</f>
        <v>Not ranking</v>
      </c>
      <c r="G663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663" s="18" t="str">
        <f>IFERROR(__xludf.DUMMYFUNCTION("""COMPUTED_VALUE"""),"Not ranking")</f>
        <v>Not ranking</v>
      </c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5" t="str">
        <f>IFERROR(__xludf.DUMMYFUNCTION("""COMPUTED_VALUE"""),"missouri deer season 2022")</f>
        <v>missouri deer season 2022</v>
      </c>
      <c r="B664" s="15" t="str">
        <f>IFERROR(__xludf.DUMMYFUNCTION("""COMPUTED_VALUE"""),"5400")</f>
        <v>5400</v>
      </c>
      <c r="C664" s="15" t="str">
        <f>IFERROR(__xludf.DUMMYFUNCTION("""COMPUTED_VALUE"""),"Not ranking")</f>
        <v>Not ranking</v>
      </c>
      <c r="D664" s="15" t="str">
        <f>IFERROR(__xludf.DUMMYFUNCTION("""COMPUTED_VALUE"""),"100")</f>
        <v>100</v>
      </c>
      <c r="E664" s="15" t="str">
        <f>IFERROR(__xludf.DUMMYFUNCTION("""COMPUTED_VALUE"""),"36")</f>
        <v>36</v>
      </c>
      <c r="F664" s="18" t="str">
        <f>IFERROR(__xludf.DUMMYFUNCTION("""COMPUTED_VALUE"""),"Not ranking")</f>
        <v>Not ranking</v>
      </c>
      <c r="G664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664" s="17" t="str">
        <f>IFERROR(__xludf.DUMMYFUNCTION("""COMPUTED_VALUE"""),"https://www.wideopenspaces.com/when-does-deer-season-end-in-missouri/")</f>
        <v>https://www.wideopenspaces.com/when-does-deer-season-end-in-missouri/</v>
      </c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5" t="str">
        <f>IFERROR(__xludf.DUMMYFUNCTION("""COMPUTED_VALUE"""),"tripod deer stand")</f>
        <v>tripod deer stand</v>
      </c>
      <c r="B665" s="15" t="str">
        <f>IFERROR(__xludf.DUMMYFUNCTION("""COMPUTED_VALUE"""),"5400")</f>
        <v>5400</v>
      </c>
      <c r="C665" s="15" t="str">
        <f>IFERROR(__xludf.DUMMYFUNCTION("""COMPUTED_VALUE"""),"Not ranking")</f>
        <v>Not ranking</v>
      </c>
      <c r="D665" s="15" t="str">
        <f>IFERROR(__xludf.DUMMYFUNCTION("""COMPUTED_VALUE"""),"Not ranking")</f>
        <v>Not ranking</v>
      </c>
      <c r="E665" s="15" t="str">
        <f>IFERROR(__xludf.DUMMYFUNCTION("""COMPUTED_VALUE"""),"39")</f>
        <v>39</v>
      </c>
      <c r="F665" s="18" t="str">
        <f>IFERROR(__xludf.DUMMYFUNCTION("""COMPUTED_VALUE"""),"Not ranking")</f>
        <v>Not ranking</v>
      </c>
      <c r="G665" s="18" t="str">
        <f>IFERROR(__xludf.DUMMYFUNCTION("""COMPUTED_VALUE"""),"Not ranking")</f>
        <v>Not ranking</v>
      </c>
      <c r="H665" s="17" t="str">
        <f>IFERROR(__xludf.DUMMYFUNCTION("""COMPUTED_VALUE"""),"https://www.wideopenspaces.com/tripod-treestand/")</f>
        <v>https://www.wideopenspaces.com/tripod-treestand/</v>
      </c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5" t="str">
        <f>IFERROR(__xludf.DUMMYFUNCTION("""COMPUTED_VALUE"""),"water deer")</f>
        <v>water deer</v>
      </c>
      <c r="B666" s="15" t="str">
        <f>IFERROR(__xludf.DUMMYFUNCTION("""COMPUTED_VALUE"""),"5400")</f>
        <v>5400</v>
      </c>
      <c r="C666" s="15" t="str">
        <f>IFERROR(__xludf.DUMMYFUNCTION("""COMPUTED_VALUE"""),"Not ranking")</f>
        <v>Not ranking</v>
      </c>
      <c r="D666" s="15" t="str">
        <f>IFERROR(__xludf.DUMMYFUNCTION("""COMPUTED_VALUE"""),"12")</f>
        <v>12</v>
      </c>
      <c r="E666" s="15" t="str">
        <f>IFERROR(__xludf.DUMMYFUNCTION("""COMPUTED_VALUE"""),"Not ranking")</f>
        <v>Not ranking</v>
      </c>
      <c r="F666" s="18" t="str">
        <f>IFERROR(__xludf.DUMMYFUNCTION("""COMPUTED_VALUE"""),"Not ranking")</f>
        <v>Not ranking</v>
      </c>
      <c r="G666" s="17" t="str">
        <f>IFERROR(__xludf.DUMMYFUNCTION("""COMPUTED_VALUE"""),"https://realtree.com/all/articles/just-add-water")</f>
        <v>https://realtree.com/all/articles/just-add-water</v>
      </c>
      <c r="H666" s="18" t="str">
        <f>IFERROR(__xludf.DUMMYFUNCTION("""COMPUTED_VALUE"""),"Not ranking")</f>
        <v>Not ranking</v>
      </c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5" t="str">
        <f>IFERROR(__xludf.DUMMYFUNCTION("""COMPUTED_VALUE"""),"what do deers eat")</f>
        <v>what do deers eat</v>
      </c>
      <c r="B667" s="15" t="str">
        <f>IFERROR(__xludf.DUMMYFUNCTION("""COMPUTED_VALUE"""),"5400")</f>
        <v>5400</v>
      </c>
      <c r="C667" s="15" t="str">
        <f>IFERROR(__xludf.DUMMYFUNCTION("""COMPUTED_VALUE"""),"Not ranking")</f>
        <v>Not ranking</v>
      </c>
      <c r="D667" s="15" t="str">
        <f>IFERROR(__xludf.DUMMYFUNCTION("""COMPUTED_VALUE"""),"57")</f>
        <v>57</v>
      </c>
      <c r="E667" s="15" t="str">
        <f>IFERROR(__xludf.DUMMYFUNCTION("""COMPUTED_VALUE"""),"34")</f>
        <v>34</v>
      </c>
      <c r="F667" s="18" t="str">
        <f>IFERROR(__xludf.DUMMYFUNCTION("""COMPUTED_VALUE"""),"Not ranking")</f>
        <v>Not ranking</v>
      </c>
      <c r="G667" s="17" t="str">
        <f>IFERROR(__xludf.DUMMYFUNCTION("""COMPUTED_VALUE"""),"https://realtree.com/the-realblog-with-stephanie-mallory/did-you-know-deer-eat-meat")</f>
        <v>https://realtree.com/the-realblog-with-stephanie-mallory/did-you-know-deer-eat-meat</v>
      </c>
      <c r="H667" s="17" t="str">
        <f>IFERROR(__xludf.DUMMYFUNCTION("""COMPUTED_VALUE"""),"https://www.wideopenspaces.com/do-deer-eat-meat/")</f>
        <v>https://www.wideopenspaces.com/do-deer-eat-meat/</v>
      </c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5" t="str">
        <f>IFERROR(__xludf.DUMMYFUNCTION("""COMPUTED_VALUE"""),"black deer")</f>
        <v>black deer</v>
      </c>
      <c r="B668" s="15" t="str">
        <f>IFERROR(__xludf.DUMMYFUNCTION("""COMPUTED_VALUE"""),"4400")</f>
        <v>4400</v>
      </c>
      <c r="C668" s="15" t="str">
        <f>IFERROR(__xludf.DUMMYFUNCTION("""COMPUTED_VALUE"""),"Not ranking")</f>
        <v>Not ranking</v>
      </c>
      <c r="D668" s="15" t="str">
        <f>IFERROR(__xludf.DUMMYFUNCTION("""COMPUTED_VALUE"""),"15")</f>
        <v>15</v>
      </c>
      <c r="E668" s="15" t="str">
        <f>IFERROR(__xludf.DUMMYFUNCTION("""COMPUTED_VALUE"""),"7")</f>
        <v>7</v>
      </c>
      <c r="F668" s="18" t="str">
        <f>IFERROR(__xludf.DUMMYFUNCTION("""COMPUTED_VALUE"""),"Not ranking")</f>
        <v>Not ranking</v>
      </c>
      <c r="G668" s="17" t="str">
        <f>IFERROR(__xludf.DUMMYFUNCTION("""COMPUTED_VALUE"""),"https://realtree.com/brow-tines-and-backstrap/have-you-ever-seen-a-melanistic-whitetail")</f>
        <v>https://realtree.com/brow-tines-and-backstrap/have-you-ever-seen-a-melanistic-whitetail</v>
      </c>
      <c r="H668" s="17" t="str">
        <f>IFERROR(__xludf.DUMMYFUNCTION("""COMPUTED_VALUE"""),"https://www.wideopenspaces.com/black-deer-in-backyard-how-rare-is-this-color-variation/")</f>
        <v>https://www.wideopenspaces.com/black-deer-in-backyard-how-rare-is-this-color-variation/</v>
      </c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5" t="str">
        <f>IFERROR(__xludf.DUMMYFUNCTION("""COMPUTED_VALUE"""),"deer cart")</f>
        <v>deer cart</v>
      </c>
      <c r="B669" s="15" t="str">
        <f>IFERROR(__xludf.DUMMYFUNCTION("""COMPUTED_VALUE"""),"4400")</f>
        <v>4400</v>
      </c>
      <c r="C669" s="15" t="str">
        <f>IFERROR(__xludf.DUMMYFUNCTION("""COMPUTED_VALUE"""),"Not ranking")</f>
        <v>Not ranking</v>
      </c>
      <c r="D669" s="15" t="str">
        <f>IFERROR(__xludf.DUMMYFUNCTION("""COMPUTED_VALUE"""),"Not ranking")</f>
        <v>Not ranking</v>
      </c>
      <c r="E669" s="15" t="str">
        <f>IFERROR(__xludf.DUMMYFUNCTION("""COMPUTED_VALUE"""),"10")</f>
        <v>10</v>
      </c>
      <c r="F669" s="18" t="str">
        <f>IFERROR(__xludf.DUMMYFUNCTION("""COMPUTED_VALUE"""),"Not ranking")</f>
        <v>Not ranking</v>
      </c>
      <c r="G669" s="18" t="str">
        <f>IFERROR(__xludf.DUMMYFUNCTION("""COMPUTED_VALUE"""),"Not ranking")</f>
        <v>Not ranking</v>
      </c>
      <c r="H669" s="17" t="str">
        <f>IFERROR(__xludf.DUMMYFUNCTION("""COMPUTED_VALUE"""),"https://www.wideopenspaces.com/best-deer-carts/")</f>
        <v>https://www.wideopenspaces.com/best-deer-carts/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5" t="str">
        <f>IFERROR(__xludf.DUMMYFUNCTION("""COMPUTED_VALUE"""),"deer eyes")</f>
        <v>deer eyes</v>
      </c>
      <c r="B670" s="15" t="str">
        <f>IFERROR(__xludf.DUMMYFUNCTION("""COMPUTED_VALUE"""),"4400")</f>
        <v>4400</v>
      </c>
      <c r="C670" s="15" t="str">
        <f>IFERROR(__xludf.DUMMYFUNCTION("""COMPUTED_VALUE"""),"Not ranking")</f>
        <v>Not ranking</v>
      </c>
      <c r="D670" s="15" t="str">
        <f>IFERROR(__xludf.DUMMYFUNCTION("""COMPUTED_VALUE"""),"34")</f>
        <v>34</v>
      </c>
      <c r="E670" s="15" t="str">
        <f>IFERROR(__xludf.DUMMYFUNCTION("""COMPUTED_VALUE"""),"Not ranking")</f>
        <v>Not ranking</v>
      </c>
      <c r="F670" s="18" t="str">
        <f>IFERROR(__xludf.DUMMYFUNCTION("""COMPUTED_VALUE"""),"Not ranking")</f>
        <v>Not ranking</v>
      </c>
      <c r="G670" s="17" t="str">
        <f>IFERROR(__xludf.DUMMYFUNCTION("""COMPUTED_VALUE"""),"https://realtree.com/the-realblog-with-stephanie-mallory/taxidermist-discovers-third-eye-when-preparing-deer-for-european")</f>
        <v>https://realtree.com/the-realblog-with-stephanie-mallory/taxidermist-discovers-third-eye-when-preparing-deer-for-european</v>
      </c>
      <c r="H670" s="18" t="str">
        <f>IFERROR(__xludf.DUMMYFUNCTION("""COMPUTED_VALUE"""),"Not ranking")</f>
        <v>Not ranking</v>
      </c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5" t="str">
        <f>IFERROR(__xludf.DUMMYFUNCTION("""COMPUTED_VALUE"""),"indiana deer season 2022")</f>
        <v>indiana deer season 2022</v>
      </c>
      <c r="B671" s="15" t="str">
        <f>IFERROR(__xludf.DUMMYFUNCTION("""COMPUTED_VALUE"""),"4400")</f>
        <v>4400</v>
      </c>
      <c r="C671" s="15" t="str">
        <f>IFERROR(__xludf.DUMMYFUNCTION("""COMPUTED_VALUE"""),"Not ranking")</f>
        <v>Not ranking</v>
      </c>
      <c r="D671" s="15" t="str">
        <f>IFERROR(__xludf.DUMMYFUNCTION("""COMPUTED_VALUE"""),"81")</f>
        <v>81</v>
      </c>
      <c r="E671" s="15" t="str">
        <f>IFERROR(__xludf.DUMMYFUNCTION("""COMPUTED_VALUE"""),"38")</f>
        <v>38</v>
      </c>
      <c r="F671" s="18" t="str">
        <f>IFERROR(__xludf.DUMMYFUNCTION("""COMPUTED_VALUE"""),"Not ranking")</f>
        <v>Not ranking</v>
      </c>
      <c r="G671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671" s="17" t="str">
        <f>IFERROR(__xludf.DUMMYFUNCTION("""COMPUTED_VALUE"""),"https://www.wideopenspaces.com/indiana-hunting-license/")</f>
        <v>https://www.wideopenspaces.com/indiana-hunting-license/</v>
      </c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5" t="str">
        <f>IFERROR(__xludf.DUMMYFUNCTION("""COMPUTED_VALUE"""),"pictures of deer")</f>
        <v>pictures of deer</v>
      </c>
      <c r="B672" s="15" t="str">
        <f>IFERROR(__xludf.DUMMYFUNCTION("""COMPUTED_VALUE"""),"4400")</f>
        <v>4400</v>
      </c>
      <c r="C672" s="15" t="str">
        <f>IFERROR(__xludf.DUMMYFUNCTION("""COMPUTED_VALUE"""),"Not ranking")</f>
        <v>Not ranking</v>
      </c>
      <c r="D672" s="15" t="str">
        <f>IFERROR(__xludf.DUMMYFUNCTION("""COMPUTED_VALUE"""),"23")</f>
        <v>23</v>
      </c>
      <c r="E672" s="15" t="str">
        <f>IFERROR(__xludf.DUMMYFUNCTION("""COMPUTED_VALUE"""),"Not ranking")</f>
        <v>Not ranking</v>
      </c>
      <c r="F672" s="18" t="str">
        <f>IFERROR(__xludf.DUMMYFUNCTION("""COMPUTED_VALUE"""),"Not ranking")</f>
        <v>Not ranking</v>
      </c>
      <c r="G672" s="17" t="str">
        <f>IFERROR(__xludf.DUMMYFUNCTION("""COMPUTED_VALUE"""),"https://realtree.com/deer-hunting/articles/10-tips-for-great-deer-pictures")</f>
        <v>https://realtree.com/deer-hunting/articles/10-tips-for-great-deer-pictures</v>
      </c>
      <c r="H672" s="18" t="str">
        <f>IFERROR(__xludf.DUMMYFUNCTION("""COMPUTED_VALUE"""),"Not ranking")</f>
        <v>Not ranking</v>
      </c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5" t="str">
        <f>IFERROR(__xludf.DUMMYFUNCTION("""COMPUTED_VALUE"""),"tndeer")</f>
        <v>tndeer</v>
      </c>
      <c r="B673" s="15" t="str">
        <f>IFERROR(__xludf.DUMMYFUNCTION("""COMPUTED_VALUE"""),"4400")</f>
        <v>4400</v>
      </c>
      <c r="C673" s="15" t="str">
        <f>IFERROR(__xludf.DUMMYFUNCTION("""COMPUTED_VALUE"""),"Not ranking")</f>
        <v>Not ranking</v>
      </c>
      <c r="D673" s="15" t="str">
        <f>IFERROR(__xludf.DUMMYFUNCTION("""COMPUTED_VALUE"""),"49")</f>
        <v>49</v>
      </c>
      <c r="E673" s="15" t="str">
        <f>IFERROR(__xludf.DUMMYFUNCTION("""COMPUTED_VALUE"""),"Not ranking")</f>
        <v>Not ranking</v>
      </c>
      <c r="F673" s="18" t="str">
        <f>IFERROR(__xludf.DUMMYFUNCTION("""COMPUTED_VALUE"""),"Not ranking")</f>
        <v>Not ranking</v>
      </c>
      <c r="G673" s="17" t="str">
        <f>IFERROR(__xludf.DUMMYFUNCTION("""COMPUTED_VALUE"""),"https://oldforums.realtree.com/topic/109585-anyone-hunting-western-tn/")</f>
        <v>https://oldforums.realtree.com/topic/109585-anyone-hunting-western-tn/</v>
      </c>
      <c r="H673" s="18" t="str">
        <f>IFERROR(__xludf.DUMMYFUNCTION("""COMPUTED_VALUE"""),"Not ranking")</f>
        <v>Not ranking</v>
      </c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5" t="str">
        <f>IFERROR(__xludf.DUMMYFUNCTION("""COMPUTED_VALUE"""),"when do deer shed their antlers")</f>
        <v>when do deer shed their antlers</v>
      </c>
      <c r="B674" s="15" t="str">
        <f>IFERROR(__xludf.DUMMYFUNCTION("""COMPUTED_VALUE"""),"4400")</f>
        <v>4400</v>
      </c>
      <c r="C674" s="15" t="str">
        <f>IFERROR(__xludf.DUMMYFUNCTION("""COMPUTED_VALUE"""),"Not ranking")</f>
        <v>Not ranking</v>
      </c>
      <c r="D674" s="15" t="str">
        <f>IFERROR(__xludf.DUMMYFUNCTION("""COMPUTED_VALUE"""),"20")</f>
        <v>20</v>
      </c>
      <c r="E674" s="15" t="str">
        <f>IFERROR(__xludf.DUMMYFUNCTION("""COMPUTED_VALUE"""),"8")</f>
        <v>8</v>
      </c>
      <c r="F674" s="18" t="str">
        <f>IFERROR(__xludf.DUMMYFUNCTION("""COMPUTED_VALUE"""),"Not ranking")</f>
        <v>Not ranking</v>
      </c>
      <c r="G674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674" s="17" t="str">
        <f>IFERROR(__xludf.DUMMYFUNCTION("""COMPUTED_VALUE"""),"https://www.wideopenspaces.com/deer-shed-antlers-pics/")</f>
        <v>https://www.wideopenspaces.com/deer-shed-antlers-pics/</v>
      </c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5" t="str">
        <f>IFERROR(__xludf.DUMMYFUNCTION("""COMPUTED_VALUE"""),"dead deer")</f>
        <v>dead deer</v>
      </c>
      <c r="B675" s="15" t="str">
        <f>IFERROR(__xludf.DUMMYFUNCTION("""COMPUTED_VALUE"""),"3600")</f>
        <v>3600</v>
      </c>
      <c r="C675" s="15" t="str">
        <f>IFERROR(__xludf.DUMMYFUNCTION("""COMPUTED_VALUE"""),"Not ranking")</f>
        <v>Not ranking</v>
      </c>
      <c r="D675" s="15" t="str">
        <f>IFERROR(__xludf.DUMMYFUNCTION("""COMPUTED_VALUE"""),"86")</f>
        <v>86</v>
      </c>
      <c r="E675" s="15" t="str">
        <f>IFERROR(__xludf.DUMMYFUNCTION("""COMPUTED_VALUE"""),"Not ranking")</f>
        <v>Not ranking</v>
      </c>
      <c r="F675" s="18" t="str">
        <f>IFERROR(__xludf.DUMMYFUNCTION("""COMPUTED_VALUE"""),"Not ranking")</f>
        <v>Not ranking</v>
      </c>
      <c r="G675" s="17" t="str">
        <f>IFERROR(__xludf.DUMMYFUNCTION("""COMPUTED_VALUE"""),"https://realtree.com/deer-hunting/rack-reports/2023/04/02/3-year-old-finds-monster-dead-buck-in-ohio")</f>
        <v>https://realtree.com/deer-hunting/rack-reports/2023/04/02/3-year-old-finds-monster-dead-buck-in-ohio</v>
      </c>
      <c r="H675" s="18" t="str">
        <f>IFERROR(__xludf.DUMMYFUNCTION("""COMPUTED_VALUE"""),"Not ranking")</f>
        <v>Not ranking</v>
      </c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5" t="str">
        <f>IFERROR(__xludf.DUMMYFUNCTION("""COMPUTED_VALUE"""),"deer corn near me")</f>
        <v>deer corn near me</v>
      </c>
      <c r="B676" s="15" t="str">
        <f>IFERROR(__xludf.DUMMYFUNCTION("""COMPUTED_VALUE"""),"3600")</f>
        <v>3600</v>
      </c>
      <c r="C676" s="15" t="str">
        <f>IFERROR(__xludf.DUMMYFUNCTION("""COMPUTED_VALUE"""),"Not ranking")</f>
        <v>Not ranking</v>
      </c>
      <c r="D676" s="15" t="str">
        <f>IFERROR(__xludf.DUMMYFUNCTION("""COMPUTED_VALUE"""),"28")</f>
        <v>28</v>
      </c>
      <c r="E676" s="15" t="str">
        <f>IFERROR(__xludf.DUMMYFUNCTION("""COMPUTED_VALUE"""),"Not ranking")</f>
        <v>Not ranking</v>
      </c>
      <c r="F676" s="18" t="str">
        <f>IFERROR(__xludf.DUMMYFUNCTION("""COMPUTED_VALUE"""),"Not ranking")</f>
        <v>Not ranking</v>
      </c>
      <c r="G676" s="17" t="str">
        <f>IFERROR(__xludf.DUMMYFUNCTION("""COMPUTED_VALUE"""),"https://realtree.com/brow-tines-and-backstrap/will-skyrocketing-corn-prices-affect-your-deer-season")</f>
        <v>https://realtree.com/brow-tines-and-backstrap/will-skyrocketing-corn-prices-affect-your-deer-season</v>
      </c>
      <c r="H676" s="18" t="str">
        <f>IFERROR(__xludf.DUMMYFUNCTION("""COMPUTED_VALUE"""),"Not ranking")</f>
        <v>Not ranking</v>
      </c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5" t="str">
        <f>IFERROR(__xludf.DUMMYFUNCTION("""COMPUTED_VALUE"""),"deer season texas")</f>
        <v>deer season texas</v>
      </c>
      <c r="B677" s="15" t="str">
        <f>IFERROR(__xludf.DUMMYFUNCTION("""COMPUTED_VALUE"""),"3600")</f>
        <v>3600</v>
      </c>
      <c r="C677" s="15" t="str">
        <f>IFERROR(__xludf.DUMMYFUNCTION("""COMPUTED_VALUE"""),"Not ranking")</f>
        <v>Not ranking</v>
      </c>
      <c r="D677" s="15" t="str">
        <f>IFERROR(__xludf.DUMMYFUNCTION("""COMPUTED_VALUE"""),"Not ranking")</f>
        <v>Not ranking</v>
      </c>
      <c r="E677" s="15" t="str">
        <f>IFERROR(__xludf.DUMMYFUNCTION("""COMPUTED_VALUE"""),"9")</f>
        <v>9</v>
      </c>
      <c r="F677" s="18" t="str">
        <f>IFERROR(__xludf.DUMMYFUNCTION("""COMPUTED_VALUE"""),"Not ranking")</f>
        <v>Not ranking</v>
      </c>
      <c r="G677" s="18" t="str">
        <f>IFERROR(__xludf.DUMMYFUNCTION("""COMPUTED_VALUE"""),"Not ranking")</f>
        <v>Not ranking</v>
      </c>
      <c r="H677" s="17" t="str">
        <f>IFERROR(__xludf.DUMMYFUNCTION("""COMPUTED_VALUE"""),"https://www.wideopenspaces.com/when-does-deer-season-end-in-texas/")</f>
        <v>https://www.wideopenspaces.com/when-does-deer-season-end-in-texas/</v>
      </c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5" t="str">
        <f>IFERROR(__xludf.DUMMYFUNCTION("""COMPUTED_VALUE"""),"deer shedding antlers")</f>
        <v>deer shedding antlers</v>
      </c>
      <c r="B678" s="15" t="str">
        <f>IFERROR(__xludf.DUMMYFUNCTION("""COMPUTED_VALUE"""),"3600")</f>
        <v>3600</v>
      </c>
      <c r="C678" s="15" t="str">
        <f>IFERROR(__xludf.DUMMYFUNCTION("""COMPUTED_VALUE"""),"Not ranking")</f>
        <v>Not ranking</v>
      </c>
      <c r="D678" s="15" t="str">
        <f>IFERROR(__xludf.DUMMYFUNCTION("""COMPUTED_VALUE"""),"5")</f>
        <v>5</v>
      </c>
      <c r="E678" s="15" t="str">
        <f>IFERROR(__xludf.DUMMYFUNCTION("""COMPUTED_VALUE"""),"2")</f>
        <v>2</v>
      </c>
      <c r="F678" s="18" t="str">
        <f>IFERROR(__xludf.DUMMYFUNCTION("""COMPUTED_VALUE"""),"Not ranking")</f>
        <v>Not ranking</v>
      </c>
      <c r="G678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678" s="17" t="str">
        <f>IFERROR(__xludf.DUMMYFUNCTION("""COMPUTED_VALUE"""),"https://www.wideopenspaces.com/deer-shed-antlers-pics/")</f>
        <v>https://www.wideopenspaces.com/deer-shed-antlers-pics/</v>
      </c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5" t="str">
        <f>IFERROR(__xludf.DUMMYFUNCTION("""COMPUTED_VALUE"""),"deer skeleton")</f>
        <v>deer skeleton</v>
      </c>
      <c r="B679" s="15" t="str">
        <f>IFERROR(__xludf.DUMMYFUNCTION("""COMPUTED_VALUE"""),"3600")</f>
        <v>3600</v>
      </c>
      <c r="C679" s="15" t="str">
        <f>IFERROR(__xludf.DUMMYFUNCTION("""COMPUTED_VALUE"""),"Not ranking")</f>
        <v>Not ranking</v>
      </c>
      <c r="D679" s="15" t="str">
        <f>IFERROR(__xludf.DUMMYFUNCTION("""COMPUTED_VALUE"""),"Not ranking")</f>
        <v>Not ranking</v>
      </c>
      <c r="E679" s="15" t="str">
        <f>IFERROR(__xludf.DUMMYFUNCTION("""COMPUTED_VALUE"""),"69")</f>
        <v>69</v>
      </c>
      <c r="F679" s="18" t="str">
        <f>IFERROR(__xludf.DUMMYFUNCTION("""COMPUTED_VALUE"""),"Not ranking")</f>
        <v>Not ranking</v>
      </c>
      <c r="G679" s="18" t="str">
        <f>IFERROR(__xludf.DUMMYFUNCTION("""COMPUTED_VALUE"""),"Not ranking")</f>
        <v>Not ranking</v>
      </c>
      <c r="H679" s="17" t="str">
        <f>IFERROR(__xludf.DUMMYFUNCTION("""COMPUTED_VALUE"""),"https://www.wideopenspaces.com/pics-fully-assembled-deer-skeleton-is-eye-candy-for-the-whitetail-lover/")</f>
        <v>https://www.wideopenspaces.com/pics-fully-assembled-deer-skeleton-is-eye-candy-for-the-whitetail-lover/</v>
      </c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5" t="str">
        <f>IFERROR(__xludf.DUMMYFUNCTION("""COMPUTED_VALUE"""),"deer sounds")</f>
        <v>deer sounds</v>
      </c>
      <c r="B680" s="15" t="str">
        <f>IFERROR(__xludf.DUMMYFUNCTION("""COMPUTED_VALUE"""),"3600")</f>
        <v>3600</v>
      </c>
      <c r="C680" s="15" t="str">
        <f>IFERROR(__xludf.DUMMYFUNCTION("""COMPUTED_VALUE"""),"Not ranking")</f>
        <v>Not ranking</v>
      </c>
      <c r="D680" s="15" t="str">
        <f>IFERROR(__xludf.DUMMYFUNCTION("""COMPUTED_VALUE"""),"Not ranking")</f>
        <v>Not ranking</v>
      </c>
      <c r="E680" s="15" t="str">
        <f>IFERROR(__xludf.DUMMYFUNCTION("""COMPUTED_VALUE"""),"8")</f>
        <v>8</v>
      </c>
      <c r="F680" s="18" t="str">
        <f>IFERROR(__xludf.DUMMYFUNCTION("""COMPUTED_VALUE"""),"Not ranking")</f>
        <v>Not ranking</v>
      </c>
      <c r="G680" s="18" t="str">
        <f>IFERROR(__xludf.DUMMYFUNCTION("""COMPUTED_VALUE"""),"Not ranking")</f>
        <v>Not ranking</v>
      </c>
      <c r="H680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5" t="str">
        <f>IFERROR(__xludf.DUMMYFUNCTION("""COMPUTED_VALUE"""),"deer symbolism")</f>
        <v>deer symbolism</v>
      </c>
      <c r="B681" s="15" t="str">
        <f>IFERROR(__xludf.DUMMYFUNCTION("""COMPUTED_VALUE"""),"3600")</f>
        <v>3600</v>
      </c>
      <c r="C681" s="15" t="str">
        <f>IFERROR(__xludf.DUMMYFUNCTION("""COMPUTED_VALUE"""),"Not ranking")</f>
        <v>Not ranking</v>
      </c>
      <c r="D681" s="15" t="str">
        <f>IFERROR(__xludf.DUMMYFUNCTION("""COMPUTED_VALUE"""),"92")</f>
        <v>92</v>
      </c>
      <c r="E681" s="15" t="str">
        <f>IFERROR(__xludf.DUMMYFUNCTION("""COMPUTED_VALUE"""),"Not ranking")</f>
        <v>Not ranking</v>
      </c>
      <c r="F681" s="18" t="str">
        <f>IFERROR(__xludf.DUMMYFUNCTION("""COMPUTED_VALUE"""),"Not ranking")</f>
        <v>Not ranking</v>
      </c>
      <c r="G681" s="17" t="str">
        <f>IFERROR(__xludf.DUMMYFUNCTION("""COMPUTED_VALUE"""),"https://realtree.com/deer-hunting/articles/the-meaning-of-deer-hunting-hunting-truth-in-life")</f>
        <v>https://realtree.com/deer-hunting/articles/the-meaning-of-deer-hunting-hunting-truth-in-life</v>
      </c>
      <c r="H681" s="18" t="str">
        <f>IFERROR(__xludf.DUMMYFUNCTION("""COMPUTED_VALUE"""),"Not ranking")</f>
        <v>Not ranking</v>
      </c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5" t="str">
        <f>IFERROR(__xludf.DUMMYFUNCTION("""COMPUTED_VALUE"""),"deer teeth")</f>
        <v>deer teeth</v>
      </c>
      <c r="B682" s="15" t="str">
        <f>IFERROR(__xludf.DUMMYFUNCTION("""COMPUTED_VALUE"""),"3600")</f>
        <v>3600</v>
      </c>
      <c r="C682" s="15" t="str">
        <f>IFERROR(__xludf.DUMMYFUNCTION("""COMPUTED_VALUE"""),"Not ranking")</f>
        <v>Not ranking</v>
      </c>
      <c r="D682" s="15" t="str">
        <f>IFERROR(__xludf.DUMMYFUNCTION("""COMPUTED_VALUE"""),"Not ranking")</f>
        <v>Not ranking</v>
      </c>
      <c r="E682" s="15" t="str">
        <f>IFERROR(__xludf.DUMMYFUNCTION("""COMPUTED_VALUE"""),"47")</f>
        <v>47</v>
      </c>
      <c r="F682" s="18" t="str">
        <f>IFERROR(__xludf.DUMMYFUNCTION("""COMPUTED_VALUE"""),"Not ranking")</f>
        <v>Not ranking</v>
      </c>
      <c r="G682" s="18" t="str">
        <f>IFERROR(__xludf.DUMMYFUNCTION("""COMPUTED_VALUE"""),"Not ranking")</f>
        <v>Not ranking</v>
      </c>
      <c r="H682" s="17" t="str">
        <f>IFERROR(__xludf.DUMMYFUNCTION("""COMPUTED_VALUE"""),"https://www.wideopenspaces.com/tell-age-deer-pics/")</f>
        <v>https://www.wideopenspaces.com/tell-age-deer-pics/</v>
      </c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5" t="str">
        <f>IFERROR(__xludf.DUMMYFUNCTION("""COMPUTED_VALUE"""),"field dressing a deer")</f>
        <v>field dressing a deer</v>
      </c>
      <c r="B683" s="15" t="str">
        <f>IFERROR(__xludf.DUMMYFUNCTION("""COMPUTED_VALUE"""),"3600")</f>
        <v>3600</v>
      </c>
      <c r="C683" s="15" t="str">
        <f>IFERROR(__xludf.DUMMYFUNCTION("""COMPUTED_VALUE"""),"Not ranking")</f>
        <v>Not ranking</v>
      </c>
      <c r="D683" s="15" t="str">
        <f>IFERROR(__xludf.DUMMYFUNCTION("""COMPUTED_VALUE"""),"10")</f>
        <v>10</v>
      </c>
      <c r="E683" s="15" t="str">
        <f>IFERROR(__xludf.DUMMYFUNCTION("""COMPUTED_VALUE"""),"91")</f>
        <v>91</v>
      </c>
      <c r="F683" s="18" t="str">
        <f>IFERROR(__xludf.DUMMYFUNCTION("""COMPUTED_VALUE"""),"Not ranking")</f>
        <v>Not ranking</v>
      </c>
      <c r="G683" s="17" t="str">
        <f>IFERROR(__xludf.DUMMYFUNCTION("""COMPUTED_VALUE"""),"https://realtree.com/deer-hunting/articles/7-serious-field-dressing-mistakes")</f>
        <v>https://realtree.com/deer-hunting/articles/7-serious-field-dressing-mistakes</v>
      </c>
      <c r="H683" s="17" t="str">
        <f>IFERROR(__xludf.DUMMYFUNCTION("""COMPUTED_VALUE"""),"https://www.wideopenspaces.com/field-dressing-deer-with-gloves/")</f>
        <v>https://www.wideopenspaces.com/field-dressing-deer-with-gloves/</v>
      </c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5" t="str">
        <f>IFERROR(__xludf.DUMMYFUNCTION("""COMPUTED_VALUE"""),"how long do deer live")</f>
        <v>how long do deer live</v>
      </c>
      <c r="B684" s="15" t="str">
        <f>IFERROR(__xludf.DUMMYFUNCTION("""COMPUTED_VALUE"""),"3600")</f>
        <v>3600</v>
      </c>
      <c r="C684" s="15" t="str">
        <f>IFERROR(__xludf.DUMMYFUNCTION("""COMPUTED_VALUE"""),"Not ranking")</f>
        <v>Not ranking</v>
      </c>
      <c r="D684" s="15" t="str">
        <f>IFERROR(__xludf.DUMMYFUNCTION("""COMPUTED_VALUE"""),"5")</f>
        <v>5</v>
      </c>
      <c r="E684" s="15" t="str">
        <f>IFERROR(__xludf.DUMMYFUNCTION("""COMPUTED_VALUE"""),"19")</f>
        <v>19</v>
      </c>
      <c r="F684" s="18" t="str">
        <f>IFERROR(__xludf.DUMMYFUNCTION("""COMPUTED_VALUE"""),"Not ranking")</f>
        <v>Not ranking</v>
      </c>
      <c r="G684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684" s="17" t="str">
        <f>IFERROR(__xludf.DUMMYFUNCTION("""COMPUTED_VALUE"""),"https://www.wideopenspaces.com/lifespan-whitetail-deer/")</f>
        <v>https://www.wideopenspaces.com/lifespan-whitetail-deer/</v>
      </c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5" t="str">
        <f>IFERROR(__xludf.DUMMYFUNCTION("""COMPUTED_VALUE"""),"missouri deer season")</f>
        <v>missouri deer season</v>
      </c>
      <c r="B685" s="15" t="str">
        <f>IFERROR(__xludf.DUMMYFUNCTION("""COMPUTED_VALUE"""),"3600")</f>
        <v>3600</v>
      </c>
      <c r="C685" s="15" t="str">
        <f>IFERROR(__xludf.DUMMYFUNCTION("""COMPUTED_VALUE"""),"Not ranking")</f>
        <v>Not ranking</v>
      </c>
      <c r="D685" s="15" t="str">
        <f>IFERROR(__xludf.DUMMYFUNCTION("""COMPUTED_VALUE"""),"Not ranking")</f>
        <v>Not ranking</v>
      </c>
      <c r="E685" s="15" t="str">
        <f>IFERROR(__xludf.DUMMYFUNCTION("""COMPUTED_VALUE"""),"97")</f>
        <v>97</v>
      </c>
      <c r="F685" s="18" t="str">
        <f>IFERROR(__xludf.DUMMYFUNCTION("""COMPUTED_VALUE"""),"Not ranking")</f>
        <v>Not ranking</v>
      </c>
      <c r="G685" s="18" t="str">
        <f>IFERROR(__xludf.DUMMYFUNCTION("""COMPUTED_VALUE"""),"Not ranking")</f>
        <v>Not ranking</v>
      </c>
      <c r="H685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5" t="str">
        <f>IFERROR(__xludf.DUMMYFUNCTION("""COMPUTED_VALUE"""),"nc deer season 2022")</f>
        <v>nc deer season 2022</v>
      </c>
      <c r="B686" s="15" t="str">
        <f>IFERROR(__xludf.DUMMYFUNCTION("""COMPUTED_VALUE"""),"3600")</f>
        <v>3600</v>
      </c>
      <c r="C686" s="15" t="str">
        <f>IFERROR(__xludf.DUMMYFUNCTION("""COMPUTED_VALUE"""),"Not ranking")</f>
        <v>Not ranking</v>
      </c>
      <c r="D686" s="15" t="str">
        <f>IFERROR(__xludf.DUMMYFUNCTION("""COMPUTED_VALUE"""),"66")</f>
        <v>66</v>
      </c>
      <c r="E686" s="15" t="str">
        <f>IFERROR(__xludf.DUMMYFUNCTION("""COMPUTED_VALUE"""),"Not ranking")</f>
        <v>Not ranking</v>
      </c>
      <c r="F686" s="18" t="str">
        <f>IFERROR(__xludf.DUMMYFUNCTION("""COMPUTED_VALUE"""),"Not ranking")</f>
        <v>Not ranking</v>
      </c>
      <c r="G686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686" s="18" t="str">
        <f>IFERROR(__xludf.DUMMYFUNCTION("""COMPUTED_VALUE"""),"Not ranking")</f>
        <v>Not ranking</v>
      </c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5" t="str">
        <f>IFERROR(__xludf.DUMMYFUNCTION("""COMPUTED_VALUE"""),"red stag deer")</f>
        <v>red stag deer</v>
      </c>
      <c r="B687" s="15" t="str">
        <f>IFERROR(__xludf.DUMMYFUNCTION("""COMPUTED_VALUE"""),"3600")</f>
        <v>3600</v>
      </c>
      <c r="C687" s="15" t="str">
        <f>IFERROR(__xludf.DUMMYFUNCTION("""COMPUTED_VALUE"""),"Not ranking")</f>
        <v>Not ranking</v>
      </c>
      <c r="D687" s="15" t="str">
        <f>IFERROR(__xludf.DUMMYFUNCTION("""COMPUTED_VALUE"""),"34")</f>
        <v>34</v>
      </c>
      <c r="E687" s="15" t="str">
        <f>IFERROR(__xludf.DUMMYFUNCTION("""COMPUTED_VALUE"""),"47")</f>
        <v>47</v>
      </c>
      <c r="F687" s="18" t="str">
        <f>IFERROR(__xludf.DUMMYFUNCTION("""COMPUTED_VALUE"""),"Not ranking")</f>
        <v>Not ranking</v>
      </c>
      <c r="G687" s="17" t="str">
        <f>IFERROR(__xludf.DUMMYFUNCTION("""COMPUTED_VALUE"""),"https://realtree.com/the-realblog-with-stephanie-mallory/red-stag-spotted-on-georgia-game-cameras")</f>
        <v>https://realtree.com/the-realblog-with-stephanie-mallory/red-stag-spotted-on-georgia-game-cameras</v>
      </c>
      <c r="H687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5" t="str">
        <f>IFERROR(__xludf.DUMMYFUNCTION("""COMPUTED_VALUE"""),"tripod deer stands")</f>
        <v>tripod deer stands</v>
      </c>
      <c r="B688" s="15" t="str">
        <f>IFERROR(__xludf.DUMMYFUNCTION("""COMPUTED_VALUE"""),"3600")</f>
        <v>3600</v>
      </c>
      <c r="C688" s="15" t="str">
        <f>IFERROR(__xludf.DUMMYFUNCTION("""COMPUTED_VALUE"""),"Not ranking")</f>
        <v>Not ranking</v>
      </c>
      <c r="D688" s="15" t="str">
        <f>IFERROR(__xludf.DUMMYFUNCTION("""COMPUTED_VALUE"""),"Not ranking")</f>
        <v>Not ranking</v>
      </c>
      <c r="E688" s="15" t="str">
        <f>IFERROR(__xludf.DUMMYFUNCTION("""COMPUTED_VALUE"""),"30")</f>
        <v>30</v>
      </c>
      <c r="F688" s="18" t="str">
        <f>IFERROR(__xludf.DUMMYFUNCTION("""COMPUTED_VALUE"""),"Not ranking")</f>
        <v>Not ranking</v>
      </c>
      <c r="G688" s="18" t="str">
        <f>IFERROR(__xludf.DUMMYFUNCTION("""COMPUTED_VALUE"""),"Not ranking")</f>
        <v>Not ranking</v>
      </c>
      <c r="H688" s="17" t="str">
        <f>IFERROR(__xludf.DUMMYFUNCTION("""COMPUTED_VALUE"""),"https://www.wideopenspaces.com/tripod-treestand/")</f>
        <v>https://www.wideopenspaces.com/tripod-treestand/</v>
      </c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5" t="str">
        <f>IFERROR(__xludf.DUMMYFUNCTION("""COMPUTED_VALUE"""),"alabama deer season")</f>
        <v>alabama deer season</v>
      </c>
      <c r="B689" s="15" t="str">
        <f>IFERROR(__xludf.DUMMYFUNCTION("""COMPUTED_VALUE"""),"2900")</f>
        <v>2900</v>
      </c>
      <c r="C689" s="15" t="str">
        <f>IFERROR(__xludf.DUMMYFUNCTION("""COMPUTED_VALUE"""),"Not ranking")</f>
        <v>Not ranking</v>
      </c>
      <c r="D689" s="15" t="str">
        <f>IFERROR(__xludf.DUMMYFUNCTION("""COMPUTED_VALUE"""),"40")</f>
        <v>40</v>
      </c>
      <c r="E689" s="15" t="str">
        <f>IFERROR(__xludf.DUMMYFUNCTION("""COMPUTED_VALUE"""),"Not ranking")</f>
        <v>Not ranking</v>
      </c>
      <c r="F689" s="18" t="str">
        <f>IFERROR(__xludf.DUMMYFUNCTION("""COMPUTED_VALUE"""),"Not ranking")</f>
        <v>Not ranking</v>
      </c>
      <c r="G689" s="17" t="str">
        <f>IFERROR(__xludf.DUMMYFUNCTION("""COMPUTED_VALUE"""),"https://realtree.com/brow-tines-and-backstrap/debate-settled-deep-south-deer-are-the-toughest-to-hunt")</f>
        <v>https://realtree.com/brow-tines-and-backstrap/debate-settled-deep-south-deer-are-the-toughest-to-hunt</v>
      </c>
      <c r="H689" s="18" t="str">
        <f>IFERROR(__xludf.DUMMYFUNCTION("""COMPUTED_VALUE"""),"Not ranking")</f>
        <v>Not ranking</v>
      </c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5" t="str">
        <f>IFERROR(__xludf.DUMMYFUNCTION("""COMPUTED_VALUE"""),"antlers deer")</f>
        <v>antlers deer</v>
      </c>
      <c r="B690" s="15" t="str">
        <f>IFERROR(__xludf.DUMMYFUNCTION("""COMPUTED_VALUE"""),"2900")</f>
        <v>2900</v>
      </c>
      <c r="C690" s="15" t="str">
        <f>IFERROR(__xludf.DUMMYFUNCTION("""COMPUTED_VALUE"""),"Not ranking")</f>
        <v>Not ranking</v>
      </c>
      <c r="D690" s="15" t="str">
        <f>IFERROR(__xludf.DUMMYFUNCTION("""COMPUTED_VALUE"""),"28")</f>
        <v>28</v>
      </c>
      <c r="E690" s="15" t="str">
        <f>IFERROR(__xludf.DUMMYFUNCTION("""COMPUTED_VALUE"""),"Not ranking")</f>
        <v>Not ranking</v>
      </c>
      <c r="F690" s="18" t="str">
        <f>IFERROR(__xludf.DUMMYFUNCTION("""COMPUTED_VALUE"""),"Not ranking")</f>
        <v>Not ranking</v>
      </c>
      <c r="G690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690" s="18" t="str">
        <f>IFERROR(__xludf.DUMMYFUNCTION("""COMPUTED_VALUE"""),"Not ranking")</f>
        <v>Not ranking</v>
      </c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5" t="str">
        <f>IFERROR(__xludf.DUMMYFUNCTION("""COMPUTED_VALUE"""),"deer chili recipe")</f>
        <v>deer chili recipe</v>
      </c>
      <c r="B691" s="15" t="str">
        <f>IFERROR(__xludf.DUMMYFUNCTION("""COMPUTED_VALUE"""),"2900")</f>
        <v>2900</v>
      </c>
      <c r="C691" s="15" t="str">
        <f>IFERROR(__xludf.DUMMYFUNCTION("""COMPUTED_VALUE"""),"Not ranking")</f>
        <v>Not ranking</v>
      </c>
      <c r="D691" s="15" t="str">
        <f>IFERROR(__xludf.DUMMYFUNCTION("""COMPUTED_VALUE"""),"13")</f>
        <v>13</v>
      </c>
      <c r="E691" s="15" t="str">
        <f>IFERROR(__xludf.DUMMYFUNCTION("""COMPUTED_VALUE"""),"45")</f>
        <v>45</v>
      </c>
      <c r="F691" s="18" t="str">
        <f>IFERROR(__xludf.DUMMYFUNCTION("""COMPUTED_VALUE"""),"Not ranking")</f>
        <v>Not ranking</v>
      </c>
      <c r="G691" s="17" t="str">
        <f>IFERROR(__xludf.DUMMYFUNCTION("""COMPUTED_VALUE"""),"https://realtree.com/timber-2-table-wild-game-recipes/contest-winning-venison-chili-recipe")</f>
        <v>https://realtree.com/timber-2-table-wild-game-recipes/contest-winning-venison-chili-recipe</v>
      </c>
      <c r="H691" s="17" t="str">
        <f>IFERROR(__xludf.DUMMYFUNCTION("""COMPUTED_VALUE"""),"https://www.wideopenspaces.com/top-5-venison-chili-recipe/")</f>
        <v>https://www.wideopenspaces.com/top-5-venison-chili-recipe/</v>
      </c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5" t="str">
        <f>IFERROR(__xludf.DUMMYFUNCTION("""COMPUTED_VALUE"""),"deer picture")</f>
        <v>deer picture</v>
      </c>
      <c r="B692" s="15" t="str">
        <f>IFERROR(__xludf.DUMMYFUNCTION("""COMPUTED_VALUE"""),"2900")</f>
        <v>2900</v>
      </c>
      <c r="C692" s="15" t="str">
        <f>IFERROR(__xludf.DUMMYFUNCTION("""COMPUTED_VALUE"""),"Not ranking")</f>
        <v>Not ranking</v>
      </c>
      <c r="D692" s="15" t="str">
        <f>IFERROR(__xludf.DUMMYFUNCTION("""COMPUTED_VALUE"""),"80")</f>
        <v>80</v>
      </c>
      <c r="E692" s="15" t="str">
        <f>IFERROR(__xludf.DUMMYFUNCTION("""COMPUTED_VALUE"""),"Not ranking")</f>
        <v>Not ranking</v>
      </c>
      <c r="F692" s="18" t="str">
        <f>IFERROR(__xludf.DUMMYFUNCTION("""COMPUTED_VALUE"""),"Not ranking")</f>
        <v>Not ranking</v>
      </c>
      <c r="G692" s="17" t="str">
        <f>IFERROR(__xludf.DUMMYFUNCTION("""COMPUTED_VALUE"""),"https://realtree.com/deer-hunting/articles/10-tips-for-great-deer-pictures")</f>
        <v>https://realtree.com/deer-hunting/articles/10-tips-for-great-deer-pictures</v>
      </c>
      <c r="H692" s="18" t="str">
        <f>IFERROR(__xludf.DUMMYFUNCTION("""COMPUTED_VALUE"""),"Not ranking")</f>
        <v>Not ranking</v>
      </c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5" t="str">
        <f>IFERROR(__xludf.DUMMYFUNCTION("""COMPUTED_VALUE"""),"deer season nc 2022")</f>
        <v>deer season nc 2022</v>
      </c>
      <c r="B693" s="15" t="str">
        <f>IFERROR(__xludf.DUMMYFUNCTION("""COMPUTED_VALUE"""),"2900")</f>
        <v>2900</v>
      </c>
      <c r="C693" s="15" t="str">
        <f>IFERROR(__xludf.DUMMYFUNCTION("""COMPUTED_VALUE"""),"Not ranking")</f>
        <v>Not ranking</v>
      </c>
      <c r="D693" s="15" t="str">
        <f>IFERROR(__xludf.DUMMYFUNCTION("""COMPUTED_VALUE"""),"61")</f>
        <v>61</v>
      </c>
      <c r="E693" s="15" t="str">
        <f>IFERROR(__xludf.DUMMYFUNCTION("""COMPUTED_VALUE"""),"Not ranking")</f>
        <v>Not ranking</v>
      </c>
      <c r="F693" s="18" t="str">
        <f>IFERROR(__xludf.DUMMYFUNCTION("""COMPUTED_VALUE"""),"Not ranking")</f>
        <v>Not ranking</v>
      </c>
      <c r="G693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693" s="18" t="str">
        <f>IFERROR(__xludf.DUMMYFUNCTION("""COMPUTED_VALUE"""),"Not ranking")</f>
        <v>Not ranking</v>
      </c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5" t="str">
        <f>IFERROR(__xludf.DUMMYFUNCTION("""COMPUTED_VALUE"""),"deer target")</f>
        <v>deer target</v>
      </c>
      <c r="B694" s="15" t="str">
        <f>IFERROR(__xludf.DUMMYFUNCTION("""COMPUTED_VALUE"""),"2900")</f>
        <v>2900</v>
      </c>
      <c r="C694" s="15" t="str">
        <f>IFERROR(__xludf.DUMMYFUNCTION("""COMPUTED_VALUE"""),"Not ranking")</f>
        <v>Not ranking</v>
      </c>
      <c r="D694" s="15" t="str">
        <f>IFERROR(__xludf.DUMMYFUNCTION("""COMPUTED_VALUE"""),"Not ranking")</f>
        <v>Not ranking</v>
      </c>
      <c r="E694" s="15" t="str">
        <f>IFERROR(__xludf.DUMMYFUNCTION("""COMPUTED_VALUE"""),"55")</f>
        <v>55</v>
      </c>
      <c r="F694" s="18" t="str">
        <f>IFERROR(__xludf.DUMMYFUNCTION("""COMPUTED_VALUE"""),"Not ranking")</f>
        <v>Not ranking</v>
      </c>
      <c r="G694" s="18" t="str">
        <f>IFERROR(__xludf.DUMMYFUNCTION("""COMPUTED_VALUE"""),"Not ranking")</f>
        <v>Not ranking</v>
      </c>
      <c r="H694" s="17" t="str">
        <f>IFERROR(__xludf.DUMMYFUNCTION("""COMPUTED_VALUE"""),"https://www.wideopenspaces.com/the-best-3d-archery-targets/")</f>
        <v>https://www.wideopenspaces.com/the-best-3d-archery-targets/</v>
      </c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5" t="str">
        <f>IFERROR(__xludf.DUMMYFUNCTION("""COMPUTED_VALUE"""),"deer velvet")</f>
        <v>deer velvet</v>
      </c>
      <c r="B695" s="15" t="str">
        <f>IFERROR(__xludf.DUMMYFUNCTION("""COMPUTED_VALUE"""),"2900")</f>
        <v>2900</v>
      </c>
      <c r="C695" s="15" t="str">
        <f>IFERROR(__xludf.DUMMYFUNCTION("""COMPUTED_VALUE"""),"Not ranking")</f>
        <v>Not ranking</v>
      </c>
      <c r="D695" s="15" t="str">
        <f>IFERROR(__xludf.DUMMYFUNCTION("""COMPUTED_VALUE"""),"45")</f>
        <v>45</v>
      </c>
      <c r="E695" s="15" t="str">
        <f>IFERROR(__xludf.DUMMYFUNCTION("""COMPUTED_VALUE"""),"Not ranking")</f>
        <v>Not ranking</v>
      </c>
      <c r="F695" s="18" t="str">
        <f>IFERROR(__xludf.DUMMYFUNCTION("""COMPUTED_VALUE"""),"Not ranking")</f>
        <v>Not ranking</v>
      </c>
      <c r="G695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695" s="18" t="str">
        <f>IFERROR(__xludf.DUMMYFUNCTION("""COMPUTED_VALUE"""),"Not ranking")</f>
        <v>Not ranking</v>
      </c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5" t="str">
        <f>IFERROR(__xludf.DUMMYFUNCTION("""COMPUTED_VALUE"""),"ehd in deer")</f>
        <v>ehd in deer</v>
      </c>
      <c r="B696" s="15" t="str">
        <f>IFERROR(__xludf.DUMMYFUNCTION("""COMPUTED_VALUE"""),"2900")</f>
        <v>2900</v>
      </c>
      <c r="C696" s="15" t="str">
        <f>IFERROR(__xludf.DUMMYFUNCTION("""COMPUTED_VALUE"""),"Not ranking")</f>
        <v>Not ranking</v>
      </c>
      <c r="D696" s="15" t="str">
        <f>IFERROR(__xludf.DUMMYFUNCTION("""COMPUTED_VALUE"""),"51")</f>
        <v>51</v>
      </c>
      <c r="E696" s="15" t="str">
        <f>IFERROR(__xludf.DUMMYFUNCTION("""COMPUTED_VALUE"""),"Not ranking")</f>
        <v>Not ranking</v>
      </c>
      <c r="F696" s="18" t="str">
        <f>IFERROR(__xludf.DUMMYFUNCTION("""COMPUTED_VALUE"""),"Not ranking")</f>
        <v>Not ranking</v>
      </c>
      <c r="G696" s="17" t="str">
        <f>IFERROR(__xludf.DUMMYFUNCTION("""COMPUTED_VALUE"""),"https://realtree.com/brow-tines-and-backstrap/will-ehd-be-a-factor-this-deer-season")</f>
        <v>https://realtree.com/brow-tines-and-backstrap/will-ehd-be-a-factor-this-deer-season</v>
      </c>
      <c r="H696" s="18" t="str">
        <f>IFERROR(__xludf.DUMMYFUNCTION("""COMPUTED_VALUE"""),"Not ranking")</f>
        <v>Not ranking</v>
      </c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5" t="str">
        <f>IFERROR(__xludf.DUMMYFUNCTION("""COMPUTED_VALUE"""),"indiana deer season")</f>
        <v>indiana deer season</v>
      </c>
      <c r="B697" s="15" t="str">
        <f>IFERROR(__xludf.DUMMYFUNCTION("""COMPUTED_VALUE"""),"2900")</f>
        <v>2900</v>
      </c>
      <c r="C697" s="15" t="str">
        <f>IFERROR(__xludf.DUMMYFUNCTION("""COMPUTED_VALUE"""),"Not ranking")</f>
        <v>Not ranking</v>
      </c>
      <c r="D697" s="15" t="str">
        <f>IFERROR(__xludf.DUMMYFUNCTION("""COMPUTED_VALUE"""),"Not ranking")</f>
        <v>Not ranking</v>
      </c>
      <c r="E697" s="15" t="str">
        <f>IFERROR(__xludf.DUMMYFUNCTION("""COMPUTED_VALUE"""),"64")</f>
        <v>64</v>
      </c>
      <c r="F697" s="18" t="str">
        <f>IFERROR(__xludf.DUMMYFUNCTION("""COMPUTED_VALUE"""),"Not ranking")</f>
        <v>Not ranking</v>
      </c>
      <c r="G697" s="18" t="str">
        <f>IFERROR(__xludf.DUMMYFUNCTION("""COMPUTED_VALUE"""),"Not ranking")</f>
        <v>Not ranking</v>
      </c>
      <c r="H697" s="17" t="str">
        <f>IFERROR(__xludf.DUMMYFUNCTION("""COMPUTED_VALUE"""),"https://www.wideopenspaces.com/indiana-shotgun-deer-season/")</f>
        <v>https://www.wideopenspaces.com/indiana-shotgun-deer-season/</v>
      </c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5" t="str">
        <f>IFERROR(__xludf.DUMMYFUNCTION("""COMPUTED_VALUE"""),"opening season for deer")</f>
        <v>opening season for deer</v>
      </c>
      <c r="B698" s="15" t="str">
        <f>IFERROR(__xludf.DUMMYFUNCTION("""COMPUTED_VALUE"""),"2900")</f>
        <v>2900</v>
      </c>
      <c r="C698" s="15" t="str">
        <f>IFERROR(__xludf.DUMMYFUNCTION("""COMPUTED_VALUE"""),"Not ranking")</f>
        <v>Not ranking</v>
      </c>
      <c r="D698" s="15" t="str">
        <f>IFERROR(__xludf.DUMMYFUNCTION("""COMPUTED_VALUE"""),"89")</f>
        <v>89</v>
      </c>
      <c r="E698" s="15" t="str">
        <f>IFERROR(__xludf.DUMMYFUNCTION("""COMPUTED_VALUE"""),"Not ranking")</f>
        <v>Not ranking</v>
      </c>
      <c r="F698" s="18" t="str">
        <f>IFERROR(__xludf.DUMMYFUNCTION("""COMPUTED_VALUE"""),"Not ranking")</f>
        <v>Not ranking</v>
      </c>
      <c r="G698" s="17" t="str">
        <f>IFERROR(__xludf.DUMMYFUNCTION("""COMPUTED_VALUE"""),"https://realtree.com/deer-hunting/articles/15-tips-for-opening-day-of-gun-season")</f>
        <v>https://realtree.com/deer-hunting/articles/15-tips-for-opening-day-of-gun-season</v>
      </c>
      <c r="H698" s="18" t="str">
        <f>IFERROR(__xludf.DUMMYFUNCTION("""COMPUTED_VALUE"""),"Not ranking")</f>
        <v>Not ranking</v>
      </c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5" t="str">
        <f>IFERROR(__xludf.DUMMYFUNCTION("""COMPUTED_VALUE"""),"texas deer season")</f>
        <v>texas deer season</v>
      </c>
      <c r="B699" s="15" t="str">
        <f>IFERROR(__xludf.DUMMYFUNCTION("""COMPUTED_VALUE"""),"2900")</f>
        <v>2900</v>
      </c>
      <c r="C699" s="15" t="str">
        <f>IFERROR(__xludf.DUMMYFUNCTION("""COMPUTED_VALUE"""),"Not ranking")</f>
        <v>Not ranking</v>
      </c>
      <c r="D699" s="15" t="str">
        <f>IFERROR(__xludf.DUMMYFUNCTION("""COMPUTED_VALUE"""),"Not ranking")</f>
        <v>Not ranking</v>
      </c>
      <c r="E699" s="15" t="str">
        <f>IFERROR(__xludf.DUMMYFUNCTION("""COMPUTED_VALUE"""),"9")</f>
        <v>9</v>
      </c>
      <c r="F699" s="18" t="str">
        <f>IFERROR(__xludf.DUMMYFUNCTION("""COMPUTED_VALUE"""),"Not ranking")</f>
        <v>Not ranking</v>
      </c>
      <c r="G699" s="18" t="str">
        <f>IFERROR(__xludf.DUMMYFUNCTION("""COMPUTED_VALUE"""),"Not ranking")</f>
        <v>Not ranking</v>
      </c>
      <c r="H699" s="17" t="str">
        <f>IFERROR(__xludf.DUMMYFUNCTION("""COMPUTED_VALUE"""),"https://www.wideopenspaces.com/when-does-deer-season-end-in-texas/")</f>
        <v>https://www.wideopenspaces.com/when-does-deer-season-end-in-texas/</v>
      </c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5" t="str">
        <f>IFERROR(__xludf.DUMMYFUNCTION("""COMPUTED_VALUE"""),"arkansas deer season")</f>
        <v>arkansas deer season</v>
      </c>
      <c r="B700" s="15" t="str">
        <f>IFERROR(__xludf.DUMMYFUNCTION("""COMPUTED_VALUE"""),"2400")</f>
        <v>2400</v>
      </c>
      <c r="C700" s="15" t="str">
        <f>IFERROR(__xludf.DUMMYFUNCTION("""COMPUTED_VALUE"""),"Not ranking")</f>
        <v>Not ranking</v>
      </c>
      <c r="D700" s="15" t="str">
        <f>IFERROR(__xludf.DUMMYFUNCTION("""COMPUTED_VALUE"""),"49")</f>
        <v>49</v>
      </c>
      <c r="E700" s="15" t="str">
        <f>IFERROR(__xludf.DUMMYFUNCTION("""COMPUTED_VALUE"""),"Not ranking")</f>
        <v>Not ranking</v>
      </c>
      <c r="F700" s="18" t="str">
        <f>IFERROR(__xludf.DUMMYFUNCTION("""COMPUTED_VALUE"""),"Not ranking")</f>
        <v>Not ranking</v>
      </c>
      <c r="G700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00" s="18" t="str">
        <f>IFERROR(__xludf.DUMMYFUNCTION("""COMPUTED_VALUE"""),"Not ranking")</f>
        <v>Not ranking</v>
      </c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5" t="str">
        <f>IFERROR(__xludf.DUMMYFUNCTION("""COMPUTED_VALUE"""),"brownville deer pantry")</f>
        <v>brownville deer pantry</v>
      </c>
      <c r="B701" s="15" t="str">
        <f>IFERROR(__xludf.DUMMYFUNCTION("""COMPUTED_VALUE"""),"2400")</f>
        <v>2400</v>
      </c>
      <c r="C701" s="15" t="str">
        <f>IFERROR(__xludf.DUMMYFUNCTION("""COMPUTED_VALUE"""),"Not ranking")</f>
        <v>Not ranking</v>
      </c>
      <c r="D701" s="15" t="str">
        <f>IFERROR(__xludf.DUMMYFUNCTION("""COMPUTED_VALUE"""),"12")</f>
        <v>12</v>
      </c>
      <c r="E701" s="15" t="str">
        <f>IFERROR(__xludf.DUMMYFUNCTION("""COMPUTED_VALUE"""),"Not ranking")</f>
        <v>Not ranking</v>
      </c>
      <c r="F701" s="18" t="str">
        <f>IFERROR(__xludf.DUMMYFUNCTION("""COMPUTED_VALUE"""),"Not ranking")</f>
        <v>Not ranking</v>
      </c>
      <c r="G701" s="17" t="str">
        <f>IFERROR(__xludf.DUMMYFUNCTION("""COMPUTED_VALUE"""),"https://realtree.com/the-realblog-with-stephanie-mallory/watch-live-cam-of-maine-deer-pantry")</f>
        <v>https://realtree.com/the-realblog-with-stephanie-mallory/watch-live-cam-of-maine-deer-pantry</v>
      </c>
      <c r="H701" s="18" t="str">
        <f>IFERROR(__xludf.DUMMYFUNCTION("""COMPUTED_VALUE"""),"Not ranking")</f>
        <v>Not ranking</v>
      </c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5" t="str">
        <f>IFERROR(__xludf.DUMMYFUNCTION("""COMPUTED_VALUE"""),"call of deer")</f>
        <v>call of deer</v>
      </c>
      <c r="B702" s="15" t="str">
        <f>IFERROR(__xludf.DUMMYFUNCTION("""COMPUTED_VALUE"""),"2400")</f>
        <v>2400</v>
      </c>
      <c r="C702" s="15" t="str">
        <f>IFERROR(__xludf.DUMMYFUNCTION("""COMPUTED_VALUE"""),"Not ranking")</f>
        <v>Not ranking</v>
      </c>
      <c r="D702" s="15" t="str">
        <f>IFERROR(__xludf.DUMMYFUNCTION("""COMPUTED_VALUE"""),"54")</f>
        <v>54</v>
      </c>
      <c r="E702" s="15" t="str">
        <f>IFERROR(__xludf.DUMMYFUNCTION("""COMPUTED_VALUE"""),"Not ranking")</f>
        <v>Not ranking</v>
      </c>
      <c r="F702" s="18" t="str">
        <f>IFERROR(__xludf.DUMMYFUNCTION("""COMPUTED_VALUE"""),"Not ranking")</f>
        <v>Not ranking</v>
      </c>
      <c r="G702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702" s="18" t="str">
        <f>IFERROR(__xludf.DUMMYFUNCTION("""COMPUTED_VALUE"""),"Not ranking")</f>
        <v>Not ranking</v>
      </c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5" t="str">
        <f>IFERROR(__xludf.DUMMYFUNCTION("""COMPUTED_VALUE"""),"catchin deers")</f>
        <v>catchin deers</v>
      </c>
      <c r="B703" s="15" t="str">
        <f>IFERROR(__xludf.DUMMYFUNCTION("""COMPUTED_VALUE"""),"2400")</f>
        <v>2400</v>
      </c>
      <c r="C703" s="15" t="str">
        <f>IFERROR(__xludf.DUMMYFUNCTION("""COMPUTED_VALUE"""),"Not ranking")</f>
        <v>Not ranking</v>
      </c>
      <c r="D703" s="15" t="str">
        <f>IFERROR(__xludf.DUMMYFUNCTION("""COMPUTED_VALUE"""),"Not ranking")</f>
        <v>Not ranking</v>
      </c>
      <c r="E703" s="15" t="str">
        <f>IFERROR(__xludf.DUMMYFUNCTION("""COMPUTED_VALUE"""),"36")</f>
        <v>36</v>
      </c>
      <c r="F703" s="18" t="str">
        <f>IFERROR(__xludf.DUMMYFUNCTION("""COMPUTED_VALUE"""),"Not ranking")</f>
        <v>Not ranking</v>
      </c>
      <c r="G703" s="18" t="str">
        <f>IFERROR(__xludf.DUMMYFUNCTION("""COMPUTED_VALUE"""),"Not ranking")</f>
        <v>Not ranking</v>
      </c>
      <c r="H703" s="17" t="str">
        <f>IFERROR(__xludf.DUMMYFUNCTION("""COMPUTED_VALUE"""),"https://www.wideopenspaces.com/catchin-up-with-catchin-deers-wide-open-spaces-speaks-with-former-nhler-mike-fisher/")</f>
        <v>https://www.wideopenspaces.com/catchin-up-with-catchin-deers-wide-open-spaces-speaks-with-former-nhler-mike-fisher/</v>
      </c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5" t="str">
        <f>IFERROR(__xludf.DUMMYFUNCTION("""COMPUTED_VALUE"""),"deer doe")</f>
        <v>deer doe</v>
      </c>
      <c r="B704" s="15" t="str">
        <f>IFERROR(__xludf.DUMMYFUNCTION("""COMPUTED_VALUE"""),"2400")</f>
        <v>2400</v>
      </c>
      <c r="C704" s="15" t="str">
        <f>IFERROR(__xludf.DUMMYFUNCTION("""COMPUTED_VALUE"""),"Not ranking")</f>
        <v>Not ranking</v>
      </c>
      <c r="D704" s="15" t="str">
        <f>IFERROR(__xludf.DUMMYFUNCTION("""COMPUTED_VALUE"""),"72")</f>
        <v>72</v>
      </c>
      <c r="E704" s="15" t="str">
        <f>IFERROR(__xludf.DUMMYFUNCTION("""COMPUTED_VALUE"""),"Not ranking")</f>
        <v>Not ranking</v>
      </c>
      <c r="F704" s="18" t="str">
        <f>IFERROR(__xludf.DUMMYFUNCTION("""COMPUTED_VALUE"""),"Not ranking")</f>
        <v>Not ranking</v>
      </c>
      <c r="G704" s="17" t="str">
        <f>IFERROR(__xludf.DUMMYFUNCTION("""COMPUTED_VALUE"""),"https://realtree.com/deer-hunting/articles/5-characteristics-of-adult-does")</f>
        <v>https://realtree.com/deer-hunting/articles/5-characteristics-of-adult-does</v>
      </c>
      <c r="H704" s="18" t="str">
        <f>IFERROR(__xludf.DUMMYFUNCTION("""COMPUTED_VALUE"""),"Not ranking")</f>
        <v>Not ranking</v>
      </c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5" t="str">
        <f>IFERROR(__xludf.DUMMYFUNCTION("""COMPUTED_VALUE"""),"deer food plot seed")</f>
        <v>deer food plot seed</v>
      </c>
      <c r="B705" s="15" t="str">
        <f>IFERROR(__xludf.DUMMYFUNCTION("""COMPUTED_VALUE"""),"2400")</f>
        <v>2400</v>
      </c>
      <c r="C705" s="15" t="str">
        <f>IFERROR(__xludf.DUMMYFUNCTION("""COMPUTED_VALUE"""),"Not ranking")</f>
        <v>Not ranking</v>
      </c>
      <c r="D705" s="15" t="str">
        <f>IFERROR(__xludf.DUMMYFUNCTION("""COMPUTED_VALUE"""),"63")</f>
        <v>63</v>
      </c>
      <c r="E705" s="15" t="str">
        <f>IFERROR(__xludf.DUMMYFUNCTION("""COMPUTED_VALUE"""),"Not ranking")</f>
        <v>Not ranking</v>
      </c>
      <c r="F705" s="18" t="str">
        <f>IFERROR(__xludf.DUMMYFUNCTION("""COMPUTED_VALUE"""),"Not ranking")</f>
        <v>Not ranking</v>
      </c>
      <c r="G705" s="17" t="str">
        <f>IFERROR(__xludf.DUMMYFUNCTION("""COMPUTED_VALUE"""),"https://realtree.com/food-plots-and-land-management/articles/food-plot-seed-how-to-plant-white-clover")</f>
        <v>https://realtree.com/food-plots-and-land-management/articles/food-plot-seed-how-to-plant-white-clover</v>
      </c>
      <c r="H705" s="18" t="str">
        <f>IFERROR(__xludf.DUMMYFUNCTION("""COMPUTED_VALUE"""),"Not ranking")</f>
        <v>Not ranking</v>
      </c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5" t="str">
        <f>IFERROR(__xludf.DUMMYFUNCTION("""COMPUTED_VALUE"""),"deer hooves")</f>
        <v>deer hooves</v>
      </c>
      <c r="B706" s="15" t="str">
        <f>IFERROR(__xludf.DUMMYFUNCTION("""COMPUTED_VALUE"""),"2400")</f>
        <v>2400</v>
      </c>
      <c r="C706" s="15" t="str">
        <f>IFERROR(__xludf.DUMMYFUNCTION("""COMPUTED_VALUE"""),"Not ranking")</f>
        <v>Not ranking</v>
      </c>
      <c r="D706" s="15" t="str">
        <f>IFERROR(__xludf.DUMMYFUNCTION("""COMPUTED_VALUE"""),"Not ranking")</f>
        <v>Not ranking</v>
      </c>
      <c r="E706" s="15" t="str">
        <f>IFERROR(__xludf.DUMMYFUNCTION("""COMPUTED_VALUE"""),"7")</f>
        <v>7</v>
      </c>
      <c r="F706" s="18" t="str">
        <f>IFERROR(__xludf.DUMMYFUNCTION("""COMPUTED_VALUE"""),"Not ranking")</f>
        <v>Not ranking</v>
      </c>
      <c r="G706" s="18" t="str">
        <f>IFERROR(__xludf.DUMMYFUNCTION("""COMPUTED_VALUE"""),"Not ranking")</f>
        <v>Not ranking</v>
      </c>
      <c r="H706" s="17" t="str">
        <f>IFERROR(__xludf.DUMMYFUNCTION("""COMPUTED_VALUE"""),"https://www.wideopenspaces.com/deer-hooves-what-theyre-made-from-and-indicators-of-health/")</f>
        <v>https://www.wideopenspaces.com/deer-hooves-what-theyre-made-from-and-indicators-of-health/</v>
      </c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5" t="str">
        <f>IFERROR(__xludf.DUMMYFUNCTION("""COMPUTED_VALUE"""),"deer images")</f>
        <v>deer images</v>
      </c>
      <c r="B707" s="15" t="str">
        <f>IFERROR(__xludf.DUMMYFUNCTION("""COMPUTED_VALUE"""),"2400")</f>
        <v>2400</v>
      </c>
      <c r="C707" s="15" t="str">
        <f>IFERROR(__xludf.DUMMYFUNCTION("""COMPUTED_VALUE"""),"Not ranking")</f>
        <v>Not ranking</v>
      </c>
      <c r="D707" s="15" t="str">
        <f>IFERROR(__xludf.DUMMYFUNCTION("""COMPUTED_VALUE"""),"80")</f>
        <v>80</v>
      </c>
      <c r="E707" s="15" t="str">
        <f>IFERROR(__xludf.DUMMYFUNCTION("""COMPUTED_VALUE"""),"Not ranking")</f>
        <v>Not ranking</v>
      </c>
      <c r="F707" s="18" t="str">
        <f>IFERROR(__xludf.DUMMYFUNCTION("""COMPUTED_VALUE"""),"Not ranking")</f>
        <v>Not ranking</v>
      </c>
      <c r="G707" s="17" t="str">
        <f>IFERROR(__xludf.DUMMYFUNCTION("""COMPUTED_VALUE"""),"https://realtree.com/")</f>
        <v>https://realtree.com/</v>
      </c>
      <c r="H707" s="18" t="str">
        <f>IFERROR(__xludf.DUMMYFUNCTION("""COMPUTED_VALUE"""),"Not ranking")</f>
        <v>Not ranking</v>
      </c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5" t="str">
        <f>IFERROR(__xludf.DUMMYFUNCTION("""COMPUTED_VALUE"""),"deer lifespan")</f>
        <v>deer lifespan</v>
      </c>
      <c r="B708" s="15" t="str">
        <f>IFERROR(__xludf.DUMMYFUNCTION("""COMPUTED_VALUE"""),"2400")</f>
        <v>2400</v>
      </c>
      <c r="C708" s="15" t="str">
        <f>IFERROR(__xludf.DUMMYFUNCTION("""COMPUTED_VALUE"""),"Not ranking")</f>
        <v>Not ranking</v>
      </c>
      <c r="D708" s="15" t="str">
        <f>IFERROR(__xludf.DUMMYFUNCTION("""COMPUTED_VALUE"""),"5")</f>
        <v>5</v>
      </c>
      <c r="E708" s="15" t="str">
        <f>IFERROR(__xludf.DUMMYFUNCTION("""COMPUTED_VALUE"""),"15")</f>
        <v>15</v>
      </c>
      <c r="F708" s="18" t="str">
        <f>IFERROR(__xludf.DUMMYFUNCTION("""COMPUTED_VALUE"""),"Not ranking")</f>
        <v>Not ranking</v>
      </c>
      <c r="G708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708" s="17" t="str">
        <f>IFERROR(__xludf.DUMMYFUNCTION("""COMPUTED_VALUE"""),"https://www.wideopenspaces.com/lifespan-whitetail-deer/")</f>
        <v>https://www.wideopenspaces.com/lifespan-whitetail-deer/</v>
      </c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5" t="str">
        <f>IFERROR(__xludf.DUMMYFUNCTION("""COMPUTED_VALUE"""),"deer meme")</f>
        <v>deer meme</v>
      </c>
      <c r="B709" s="15" t="str">
        <f>IFERROR(__xludf.DUMMYFUNCTION("""COMPUTED_VALUE"""),"2400")</f>
        <v>2400</v>
      </c>
      <c r="C709" s="15" t="str">
        <f>IFERROR(__xludf.DUMMYFUNCTION("""COMPUTED_VALUE"""),"Not ranking")</f>
        <v>Not ranking</v>
      </c>
      <c r="D709" s="15" t="str">
        <f>IFERROR(__xludf.DUMMYFUNCTION("""COMPUTED_VALUE"""),"Not ranking")</f>
        <v>Not ranking</v>
      </c>
      <c r="E709" s="15" t="str">
        <f>IFERROR(__xludf.DUMMYFUNCTION("""COMPUTED_VALUE"""),"39")</f>
        <v>39</v>
      </c>
      <c r="F709" s="18" t="str">
        <f>IFERROR(__xludf.DUMMYFUNCTION("""COMPUTED_VALUE"""),"Not ranking")</f>
        <v>Not ranking</v>
      </c>
      <c r="G709" s="18" t="str">
        <f>IFERROR(__xludf.DUMMYFUNCTION("""COMPUTED_VALUE"""),"Not ranking")</f>
        <v>Not ranking</v>
      </c>
      <c r="H709" s="17" t="str">
        <f>IFERROR(__xludf.DUMMYFUNCTION("""COMPUTED_VALUE"""),"https://www.wideopenspaces.com/whitetailwednesday-15-hilarious-deer-hunting-memes-true/")</f>
        <v>https://www.wideopenspaces.com/whitetailwednesday-15-hilarious-deer-hunting-memes-true/</v>
      </c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5" t="str">
        <f>IFERROR(__xludf.DUMMYFUNCTION("""COMPUTED_VALUE"""),"deer processors")</f>
        <v>deer processors</v>
      </c>
      <c r="B710" s="15" t="str">
        <f>IFERROR(__xludf.DUMMYFUNCTION("""COMPUTED_VALUE"""),"2400")</f>
        <v>2400</v>
      </c>
      <c r="C710" s="15" t="str">
        <f>IFERROR(__xludf.DUMMYFUNCTION("""COMPUTED_VALUE"""),"Not ranking")</f>
        <v>Not ranking</v>
      </c>
      <c r="D710" s="15" t="str">
        <f>IFERROR(__xludf.DUMMYFUNCTION("""COMPUTED_VALUE"""),"4")</f>
        <v>4</v>
      </c>
      <c r="E710" s="15" t="str">
        <f>IFERROR(__xludf.DUMMYFUNCTION("""COMPUTED_VALUE"""),"Not ranking")</f>
        <v>Not ranking</v>
      </c>
      <c r="F710" s="18" t="str">
        <f>IFERROR(__xludf.DUMMYFUNCTION("""COMPUTED_VALUE"""),"Not ranking")</f>
        <v>Not ranking</v>
      </c>
      <c r="G710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710" s="18" t="str">
        <f>IFERROR(__xludf.DUMMYFUNCTION("""COMPUTED_VALUE"""),"Not ranking")</f>
        <v>Not ranking</v>
      </c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5" t="str">
        <f>IFERROR(__xludf.DUMMYFUNCTION("""COMPUTED_VALUE"""),"deer season georgia")</f>
        <v>deer season georgia</v>
      </c>
      <c r="B711" s="15" t="str">
        <f>IFERROR(__xludf.DUMMYFUNCTION("""COMPUTED_VALUE"""),"2400")</f>
        <v>2400</v>
      </c>
      <c r="C711" s="15" t="str">
        <f>IFERROR(__xludf.DUMMYFUNCTION("""COMPUTED_VALUE"""),"Not ranking")</f>
        <v>Not ranking</v>
      </c>
      <c r="D711" s="15" t="str">
        <f>IFERROR(__xludf.DUMMYFUNCTION("""COMPUTED_VALUE"""),"Not ranking")</f>
        <v>Not ranking</v>
      </c>
      <c r="E711" s="15" t="str">
        <f>IFERROR(__xludf.DUMMYFUNCTION("""COMPUTED_VALUE"""),"19")</f>
        <v>19</v>
      </c>
      <c r="F711" s="18" t="str">
        <f>IFERROR(__xludf.DUMMYFUNCTION("""COMPUTED_VALUE"""),"Not ranking")</f>
        <v>Not ranking</v>
      </c>
      <c r="G711" s="18" t="str">
        <f>IFERROR(__xludf.DUMMYFUNCTION("""COMPUTED_VALUE"""),"Not ranking")</f>
        <v>Not ranking</v>
      </c>
      <c r="H711" s="17" t="str">
        <f>IFERROR(__xludf.DUMMYFUNCTION("""COMPUTED_VALUE"""),"https://www.wideopenspaces.com/when-does-deer-season-end-in-georgia/")</f>
        <v>https://www.wideopenspaces.com/when-does-deer-season-end-in-georgia/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5" t="str">
        <f>IFERROR(__xludf.DUMMYFUNCTION("""COMPUTED_VALUE"""),"do deer shed their antlers")</f>
        <v>do deer shed their antlers</v>
      </c>
      <c r="B712" s="15" t="str">
        <f>IFERROR(__xludf.DUMMYFUNCTION("""COMPUTED_VALUE"""),"2400")</f>
        <v>2400</v>
      </c>
      <c r="C712" s="15" t="str">
        <f>IFERROR(__xludf.DUMMYFUNCTION("""COMPUTED_VALUE"""),"Not ranking")</f>
        <v>Not ranking</v>
      </c>
      <c r="D712" s="15" t="str">
        <f>IFERROR(__xludf.DUMMYFUNCTION("""COMPUTED_VALUE"""),"Not ranking")</f>
        <v>Not ranking</v>
      </c>
      <c r="E712" s="15" t="str">
        <f>IFERROR(__xludf.DUMMYFUNCTION("""COMPUTED_VALUE"""),"2")</f>
        <v>2</v>
      </c>
      <c r="F712" s="18" t="str">
        <f>IFERROR(__xludf.DUMMYFUNCTION("""COMPUTED_VALUE"""),"Not ranking")</f>
        <v>Not ranking</v>
      </c>
      <c r="G712" s="18" t="str">
        <f>IFERROR(__xludf.DUMMYFUNCTION("""COMPUTED_VALUE"""),"Not ranking")</f>
        <v>Not ranking</v>
      </c>
      <c r="H712" s="17" t="str">
        <f>IFERROR(__xludf.DUMMYFUNCTION("""COMPUTED_VALUE"""),"https://www.wideopenspaces.com/deer-shed-antlers-pics/")</f>
        <v>https://www.wideopenspaces.com/deer-shed-antlers-pics/</v>
      </c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5" t="str">
        <f>IFERROR(__xludf.DUMMYFUNCTION("""COMPUTED_VALUE"""),"eye of the deer")</f>
        <v>eye of the deer</v>
      </c>
      <c r="B713" s="15" t="str">
        <f>IFERROR(__xludf.DUMMYFUNCTION("""COMPUTED_VALUE"""),"2400")</f>
        <v>2400</v>
      </c>
      <c r="C713" s="15" t="str">
        <f>IFERROR(__xludf.DUMMYFUNCTION("""COMPUTED_VALUE"""),"Not ranking")</f>
        <v>Not ranking</v>
      </c>
      <c r="D713" s="15" t="str">
        <f>IFERROR(__xludf.DUMMYFUNCTION("""COMPUTED_VALUE"""),"50")</f>
        <v>50</v>
      </c>
      <c r="E713" s="15" t="str">
        <f>IFERROR(__xludf.DUMMYFUNCTION("""COMPUTED_VALUE"""),"88")</f>
        <v>88</v>
      </c>
      <c r="F713" s="18" t="str">
        <f>IFERROR(__xludf.DUMMYFUNCTION("""COMPUTED_VALUE"""),"Not ranking")</f>
        <v>Not ranking</v>
      </c>
      <c r="G713" s="17" t="str">
        <f>IFERROR(__xludf.DUMMYFUNCTION("""COMPUTED_VALUE"""),"https://realtree.com/the-realblog-with-stephanie-mallory/taxidermist-discovers-third-eye-when-preparing-deer-for-european")</f>
        <v>https://realtree.com/the-realblog-with-stephanie-mallory/taxidermist-discovers-third-eye-when-preparing-deer-for-european</v>
      </c>
      <c r="H713" s="17" t="str">
        <f>IFERROR(__xludf.DUMMYFUNCTION("""COMPUTED_VALUE"""),"https://www.wideopenspaces.com/buck-hidden-third-eye/")</f>
        <v>https://www.wideopenspaces.com/buck-hidden-third-eye/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5" t="str">
        <f>IFERROR(__xludf.DUMMYFUNCTION("""COMPUTED_VALUE"""),"florida deer season")</f>
        <v>florida deer season</v>
      </c>
      <c r="B714" s="15" t="str">
        <f>IFERROR(__xludf.DUMMYFUNCTION("""COMPUTED_VALUE"""),"2400")</f>
        <v>2400</v>
      </c>
      <c r="C714" s="15" t="str">
        <f>IFERROR(__xludf.DUMMYFUNCTION("""COMPUTED_VALUE"""),"Not ranking")</f>
        <v>Not ranking</v>
      </c>
      <c r="D714" s="15" t="str">
        <f>IFERROR(__xludf.DUMMYFUNCTION("""COMPUTED_VALUE"""),"33")</f>
        <v>33</v>
      </c>
      <c r="E714" s="15" t="str">
        <f>IFERROR(__xludf.DUMMYFUNCTION("""COMPUTED_VALUE"""),"84")</f>
        <v>84</v>
      </c>
      <c r="F714" s="18" t="str">
        <f>IFERROR(__xludf.DUMMYFUNCTION("""COMPUTED_VALUE"""),"Not ranking")</f>
        <v>Not ranking</v>
      </c>
      <c r="G714" s="17" t="str">
        <f>IFERROR(__xludf.DUMMYFUNCTION("""COMPUTED_VALUE"""),"https://realtree.com/deer-hunting/articles/where-to-deer-hunt-in-february")</f>
        <v>https://realtree.com/deer-hunting/articles/where-to-deer-hunt-in-february</v>
      </c>
      <c r="H714" s="17" t="str">
        <f>IFERROR(__xludf.DUMMYFUNCTION("""COMPUTED_VALUE"""),"https://www.wideopenspaces.com/hunt-deer-january-february/")</f>
        <v>https://www.wideopenspaces.com/hunt-deer-january-february/</v>
      </c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5" t="str">
        <f>IFERROR(__xludf.DUMMYFUNCTION("""COMPUTED_VALUE"""),"georgia deer season")</f>
        <v>georgia deer season</v>
      </c>
      <c r="B715" s="15" t="str">
        <f>IFERROR(__xludf.DUMMYFUNCTION("""COMPUTED_VALUE"""),"2400")</f>
        <v>2400</v>
      </c>
      <c r="C715" s="15" t="str">
        <f>IFERROR(__xludf.DUMMYFUNCTION("""COMPUTED_VALUE"""),"Not ranking")</f>
        <v>Not ranking</v>
      </c>
      <c r="D715" s="15" t="str">
        <f>IFERROR(__xludf.DUMMYFUNCTION("""COMPUTED_VALUE"""),"71")</f>
        <v>71</v>
      </c>
      <c r="E715" s="15" t="str">
        <f>IFERROR(__xludf.DUMMYFUNCTION("""COMPUTED_VALUE"""),"28")</f>
        <v>28</v>
      </c>
      <c r="F715" s="18" t="str">
        <f>IFERROR(__xludf.DUMMYFUNCTION("""COMPUTED_VALUE"""),"Not ranking")</f>
        <v>Not ranking</v>
      </c>
      <c r="G715" s="17" t="str">
        <f>IFERROR(__xludf.DUMMYFUNCTION("""COMPUTED_VALUE"""),"https://realtree.com/brow-tines-and-backstrap/ranking-the-toughest-deer-hunting-no-1-the-southeast")</f>
        <v>https://realtree.com/brow-tines-and-backstrap/ranking-the-toughest-deer-hunting-no-1-the-southeast</v>
      </c>
      <c r="H715" s="17" t="str">
        <f>IFERROR(__xludf.DUMMYFUNCTION("""COMPUTED_VALUE"""),"https://www.wideopenspaces.com/georgia-deer-hunting/")</f>
        <v>https://www.wideopenspaces.com/georgia-deer-hunting/</v>
      </c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5" t="str">
        <f>IFERROR(__xludf.DUMMYFUNCTION("""COMPUTED_VALUE"""),"georgia deer season 2022")</f>
        <v>georgia deer season 2022</v>
      </c>
      <c r="B716" s="15" t="str">
        <f>IFERROR(__xludf.DUMMYFUNCTION("""COMPUTED_VALUE"""),"2400")</f>
        <v>2400</v>
      </c>
      <c r="C716" s="15" t="str">
        <f>IFERROR(__xludf.DUMMYFUNCTION("""COMPUTED_VALUE"""),"Not ranking")</f>
        <v>Not ranking</v>
      </c>
      <c r="D716" s="15" t="str">
        <f>IFERROR(__xludf.DUMMYFUNCTION("""COMPUTED_VALUE"""),"38")</f>
        <v>38</v>
      </c>
      <c r="E716" s="15" t="str">
        <f>IFERROR(__xludf.DUMMYFUNCTION("""COMPUTED_VALUE"""),"19")</f>
        <v>19</v>
      </c>
      <c r="F716" s="18" t="str">
        <f>IFERROR(__xludf.DUMMYFUNCTION("""COMPUTED_VALUE"""),"Not ranking")</f>
        <v>Not ranking</v>
      </c>
      <c r="G716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16" s="17" t="str">
        <f>IFERROR(__xludf.DUMMYFUNCTION("""COMPUTED_VALUE"""),"https://www.wideopenspaces.com/when-does-deer-season-end-in-georgia/")</f>
        <v>https://www.wideopenspaces.com/when-does-deer-season-end-in-georgia/</v>
      </c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5" t="str">
        <f>IFERROR(__xludf.DUMMYFUNCTION("""COMPUTED_VALUE"""),"kentucky deer season")</f>
        <v>kentucky deer season</v>
      </c>
      <c r="B717" s="15" t="str">
        <f>IFERROR(__xludf.DUMMYFUNCTION("""COMPUTED_VALUE"""),"2400")</f>
        <v>2400</v>
      </c>
      <c r="C717" s="15" t="str">
        <f>IFERROR(__xludf.DUMMYFUNCTION("""COMPUTED_VALUE"""),"Not ranking")</f>
        <v>Not ranking</v>
      </c>
      <c r="D717" s="15" t="str">
        <f>IFERROR(__xludf.DUMMYFUNCTION("""COMPUTED_VALUE"""),"19")</f>
        <v>19</v>
      </c>
      <c r="E717" s="15" t="str">
        <f>IFERROR(__xludf.DUMMYFUNCTION("""COMPUTED_VALUE"""),"Not ranking")</f>
        <v>Not ranking</v>
      </c>
      <c r="F717" s="18" t="str">
        <f>IFERROR(__xludf.DUMMYFUNCTION("""COMPUTED_VALUE"""),"Not ranking")</f>
        <v>Not ranking</v>
      </c>
      <c r="G717" s="17" t="str">
        <f>IFERROR(__xludf.DUMMYFUNCTION("""COMPUTED_VALUE"""),"https://realtree.com/brow-tines-and-backstrap/kentucky-proposes-massive-changes-to-deer-hunting-seasons-and-regulations")</f>
        <v>https://realtree.com/brow-tines-and-backstrap/kentucky-proposes-massive-changes-to-deer-hunting-seasons-and-regulations</v>
      </c>
      <c r="H717" s="18" t="str">
        <f>IFERROR(__xludf.DUMMYFUNCTION("""COMPUTED_VALUE"""),"Not ranking")</f>
        <v>Not ranking</v>
      </c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5" t="str">
        <f>IFERROR(__xludf.DUMMYFUNCTION("""COMPUTED_VALUE"""),"kill deer")</f>
        <v>kill deer</v>
      </c>
      <c r="B718" s="15" t="str">
        <f>IFERROR(__xludf.DUMMYFUNCTION("""COMPUTED_VALUE"""),"2400")</f>
        <v>2400</v>
      </c>
      <c r="C718" s="15" t="str">
        <f>IFERROR(__xludf.DUMMYFUNCTION("""COMPUTED_VALUE"""),"Not ranking")</f>
        <v>Not ranking</v>
      </c>
      <c r="D718" s="15" t="str">
        <f>IFERROR(__xludf.DUMMYFUNCTION("""COMPUTED_VALUE"""),"59")</f>
        <v>59</v>
      </c>
      <c r="E718" s="15" t="str">
        <f>IFERROR(__xludf.DUMMYFUNCTION("""COMPUTED_VALUE"""),"Not ranking")</f>
        <v>Not ranking</v>
      </c>
      <c r="F718" s="18" t="str">
        <f>IFERROR(__xludf.DUMMYFUNCTION("""COMPUTED_VALUE"""),"Not ranking")</f>
        <v>Not ranking</v>
      </c>
      <c r="G718" s="17" t="str">
        <f>IFERROR(__xludf.DUMMYFUNCTION("""COMPUTED_VALUE"""),"https://realtree.com/brow-tines-and-backstrap/don-t-let-a-dead-deer-kill-you")</f>
        <v>https://realtree.com/brow-tines-and-backstrap/don-t-let-a-dead-deer-kill-you</v>
      </c>
      <c r="H718" s="18" t="str">
        <f>IFERROR(__xludf.DUMMYFUNCTION("""COMPUTED_VALUE"""),"Not ranking")</f>
        <v>Not ranking</v>
      </c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5" t="str">
        <f>IFERROR(__xludf.DUMMYFUNCTION("""COMPUTED_VALUE"""),"michigan deer season")</f>
        <v>michigan deer season</v>
      </c>
      <c r="B719" s="15" t="str">
        <f>IFERROR(__xludf.DUMMYFUNCTION("""COMPUTED_VALUE"""),"2400")</f>
        <v>2400</v>
      </c>
      <c r="C719" s="15" t="str">
        <f>IFERROR(__xludf.DUMMYFUNCTION("""COMPUTED_VALUE"""),"Not ranking")</f>
        <v>Not ranking</v>
      </c>
      <c r="D719" s="15" t="str">
        <f>IFERROR(__xludf.DUMMYFUNCTION("""COMPUTED_VALUE"""),"Not ranking")</f>
        <v>Not ranking</v>
      </c>
      <c r="E719" s="15" t="str">
        <f>IFERROR(__xludf.DUMMYFUNCTION("""COMPUTED_VALUE"""),"45")</f>
        <v>45</v>
      </c>
      <c r="F719" s="18" t="str">
        <f>IFERROR(__xludf.DUMMYFUNCTION("""COMPUTED_VALUE"""),"Not ranking")</f>
        <v>Not ranking</v>
      </c>
      <c r="G719" s="18" t="str">
        <f>IFERROR(__xludf.DUMMYFUNCTION("""COMPUTED_VALUE"""),"Not ranking")</f>
        <v>Not ranking</v>
      </c>
      <c r="H719" s="17" t="str">
        <f>IFERROR(__xludf.DUMMYFUNCTION("""COMPUTED_VALUE"""),"https://www.wideopenspaces.com/heres-michigans-early-antlerless-deer-season-explained-quickly-easily/")</f>
        <v>https://www.wideopenspaces.com/heres-michigans-early-antlerless-deer-season-explained-quickly-easily/</v>
      </c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5" t="str">
        <f>IFERROR(__xludf.DUMMYFUNCTION("""COMPUTED_VALUE"""),"michigan deer season 2022")</f>
        <v>michigan deer season 2022</v>
      </c>
      <c r="B720" s="15" t="str">
        <f>IFERROR(__xludf.DUMMYFUNCTION("""COMPUTED_VALUE"""),"2400")</f>
        <v>2400</v>
      </c>
      <c r="C720" s="15" t="str">
        <f>IFERROR(__xludf.DUMMYFUNCTION("""COMPUTED_VALUE"""),"Not ranking")</f>
        <v>Not ranking</v>
      </c>
      <c r="D720" s="15" t="str">
        <f>IFERROR(__xludf.DUMMYFUNCTION("""COMPUTED_VALUE"""),"Not ranking")</f>
        <v>Not ranking</v>
      </c>
      <c r="E720" s="15" t="str">
        <f>IFERROR(__xludf.DUMMYFUNCTION("""COMPUTED_VALUE"""),"47")</f>
        <v>47</v>
      </c>
      <c r="F720" s="18" t="str">
        <f>IFERROR(__xludf.DUMMYFUNCTION("""COMPUTED_VALUE"""),"Not ranking")</f>
        <v>Not ranking</v>
      </c>
      <c r="G720" s="18" t="str">
        <f>IFERROR(__xludf.DUMMYFUNCTION("""COMPUTED_VALUE"""),"Not ranking")</f>
        <v>Not ranking</v>
      </c>
      <c r="H720" s="17" t="str">
        <f>IFERROR(__xludf.DUMMYFUNCTION("""COMPUTED_VALUE"""),"https://www.wideopenspaces.com/michigan-muzzleloader-season/")</f>
        <v>https://www.wideopenspaces.com/michigan-muzzleloader-season/</v>
      </c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5" t="str">
        <f>IFERROR(__xludf.DUMMYFUNCTION("""COMPUTED_VALUE"""),"mississippi deer season")</f>
        <v>mississippi deer season</v>
      </c>
      <c r="B721" s="15" t="str">
        <f>IFERROR(__xludf.DUMMYFUNCTION("""COMPUTED_VALUE"""),"2400")</f>
        <v>2400</v>
      </c>
      <c r="C721" s="15" t="str">
        <f>IFERROR(__xludf.DUMMYFUNCTION("""COMPUTED_VALUE"""),"Not ranking")</f>
        <v>Not ranking</v>
      </c>
      <c r="D721" s="15" t="str">
        <f>IFERROR(__xludf.DUMMYFUNCTION("""COMPUTED_VALUE"""),"40")</f>
        <v>40</v>
      </c>
      <c r="E721" s="15" t="str">
        <f>IFERROR(__xludf.DUMMYFUNCTION("""COMPUTED_VALUE"""),"46")</f>
        <v>46</v>
      </c>
      <c r="F721" s="18" t="str">
        <f>IFERROR(__xludf.DUMMYFUNCTION("""COMPUTED_VALUE"""),"Not ranking")</f>
        <v>Not ranking</v>
      </c>
      <c r="G721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21" s="17" t="str">
        <f>IFERROR(__xludf.DUMMYFUNCTION("""COMPUTED_VALUE"""),"https://www.wideopenspaces.com/hunt-deer-january-february/")</f>
        <v>https://www.wideopenspaces.com/hunt-deer-january-february/</v>
      </c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5" t="str">
        <f>IFERROR(__xludf.DUMMYFUNCTION("""COMPUTED_VALUE"""),"mn deer hunting 2022")</f>
        <v>mn deer hunting 2022</v>
      </c>
      <c r="B722" s="15" t="str">
        <f>IFERROR(__xludf.DUMMYFUNCTION("""COMPUTED_VALUE"""),"2400")</f>
        <v>2400</v>
      </c>
      <c r="C722" s="15" t="str">
        <f>IFERROR(__xludf.DUMMYFUNCTION("""COMPUTED_VALUE"""),"Not ranking")</f>
        <v>Not ranking</v>
      </c>
      <c r="D722" s="15" t="str">
        <f>IFERROR(__xludf.DUMMYFUNCTION("""COMPUTED_VALUE"""),"Not ranking")</f>
        <v>Not ranking</v>
      </c>
      <c r="E722" s="15" t="str">
        <f>IFERROR(__xludf.DUMMYFUNCTION("""COMPUTED_VALUE"""),"47")</f>
        <v>47</v>
      </c>
      <c r="F722" s="18" t="str">
        <f>IFERROR(__xludf.DUMMYFUNCTION("""COMPUTED_VALUE"""),"Not ranking")</f>
        <v>Not ranking</v>
      </c>
      <c r="G722" s="18" t="str">
        <f>IFERROR(__xludf.DUMMYFUNCTION("""COMPUTED_VALUE"""),"Not ranking")</f>
        <v>Not ranking</v>
      </c>
      <c r="H722" s="17" t="str">
        <f>IFERROR(__xludf.DUMMYFUNCTION("""COMPUTED_VALUE"""),"https://www.wideopenspaces.com/mn-deer-hunting-zones/")</f>
        <v>https://www.wideopenspaces.com/mn-deer-hunting-zones/</v>
      </c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5" t="str">
        <f>IFERROR(__xludf.DUMMYFUNCTION("""COMPUTED_VALUE"""),"open season for deer")</f>
        <v>open season for deer</v>
      </c>
      <c r="B723" s="15" t="str">
        <f>IFERROR(__xludf.DUMMYFUNCTION("""COMPUTED_VALUE"""),"2400")</f>
        <v>2400</v>
      </c>
      <c r="C723" s="15" t="str">
        <f>IFERROR(__xludf.DUMMYFUNCTION("""COMPUTED_VALUE"""),"Not ranking")</f>
        <v>Not ranking</v>
      </c>
      <c r="D723" s="15" t="str">
        <f>IFERROR(__xludf.DUMMYFUNCTION("""COMPUTED_VALUE"""),"Not ranking")</f>
        <v>Not ranking</v>
      </c>
      <c r="E723" s="15" t="str">
        <f>IFERROR(__xludf.DUMMYFUNCTION("""COMPUTED_VALUE"""),"83")</f>
        <v>83</v>
      </c>
      <c r="F723" s="18" t="str">
        <f>IFERROR(__xludf.DUMMYFUNCTION("""COMPUTED_VALUE"""),"Not ranking")</f>
        <v>Not ranking</v>
      </c>
      <c r="G723" s="18" t="str">
        <f>IFERROR(__xludf.DUMMYFUNCTION("""COMPUTED_VALUE"""),"Not ranking")</f>
        <v>Not ranking</v>
      </c>
      <c r="H723" s="17" t="str">
        <f>IFERROR(__xludf.DUMMYFUNCTION("""COMPUTED_VALUE"""),"https://www.wideopenspaces.com/when-does-deer-season-end-in-texas/")</f>
        <v>https://www.wideopenspaces.com/when-does-deer-season-end-in-texas/</v>
      </c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5" t="str">
        <f>IFERROR(__xludf.DUMMYFUNCTION("""COMPUTED_VALUE"""),"opening day of deer season 2022")</f>
        <v>opening day of deer season 2022</v>
      </c>
      <c r="B724" s="15" t="str">
        <f>IFERROR(__xludf.DUMMYFUNCTION("""COMPUTED_VALUE"""),"2400")</f>
        <v>2400</v>
      </c>
      <c r="C724" s="15" t="str">
        <f>IFERROR(__xludf.DUMMYFUNCTION("""COMPUTED_VALUE"""),"Not ranking")</f>
        <v>Not ranking</v>
      </c>
      <c r="D724" s="15" t="str">
        <f>IFERROR(__xludf.DUMMYFUNCTION("""COMPUTED_VALUE"""),"99")</f>
        <v>99</v>
      </c>
      <c r="E724" s="15" t="str">
        <f>IFERROR(__xludf.DUMMYFUNCTION("""COMPUTED_VALUE"""),"Not ranking")</f>
        <v>Not ranking</v>
      </c>
      <c r="F724" s="18" t="str">
        <f>IFERROR(__xludf.DUMMYFUNCTION("""COMPUTED_VALUE"""),"Not ranking")</f>
        <v>Not ranking</v>
      </c>
      <c r="G724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724" s="18" t="str">
        <f>IFERROR(__xludf.DUMMYFUNCTION("""COMPUTED_VALUE"""),"Not ranking")</f>
        <v>Not ranking</v>
      </c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5" t="str">
        <f>IFERROR(__xludf.DUMMYFUNCTION("""COMPUTED_VALUE"""),"pa deer season")</f>
        <v>pa deer season</v>
      </c>
      <c r="B725" s="15" t="str">
        <f>IFERROR(__xludf.DUMMYFUNCTION("""COMPUTED_VALUE"""),"2400")</f>
        <v>2400</v>
      </c>
      <c r="C725" s="15" t="str">
        <f>IFERROR(__xludf.DUMMYFUNCTION("""COMPUTED_VALUE"""),"Not ranking")</f>
        <v>Not ranking</v>
      </c>
      <c r="D725" s="15" t="str">
        <f>IFERROR(__xludf.DUMMYFUNCTION("""COMPUTED_VALUE"""),"Not ranking")</f>
        <v>Not ranking</v>
      </c>
      <c r="E725" s="15" t="str">
        <f>IFERROR(__xludf.DUMMYFUNCTION("""COMPUTED_VALUE"""),"85")</f>
        <v>85</v>
      </c>
      <c r="F725" s="18" t="str">
        <f>IFERROR(__xludf.DUMMYFUNCTION("""COMPUTED_VALUE"""),"Not ranking")</f>
        <v>Not ranking</v>
      </c>
      <c r="G725" s="18" t="str">
        <f>IFERROR(__xludf.DUMMYFUNCTION("""COMPUTED_VALUE"""),"Not ranking")</f>
        <v>Not ranking</v>
      </c>
      <c r="H725" s="17" t="str">
        <f>IFERROR(__xludf.DUMMYFUNCTION("""COMPUTED_VALUE"""),"https://www.wideopenspaces.com/pennsylvania-deer-hunting/")</f>
        <v>https://www.wideopenspaces.com/pennsylvania-deer-hunting/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5" t="str">
        <f>IFERROR(__xludf.DUMMYFUNCTION("""COMPUTED_VALUE"""),"stag deer")</f>
        <v>stag deer</v>
      </c>
      <c r="B726" s="15" t="str">
        <f>IFERROR(__xludf.DUMMYFUNCTION("""COMPUTED_VALUE"""),"2400")</f>
        <v>2400</v>
      </c>
      <c r="C726" s="15" t="str">
        <f>IFERROR(__xludf.DUMMYFUNCTION("""COMPUTED_VALUE"""),"Not ranking")</f>
        <v>Not ranking</v>
      </c>
      <c r="D726" s="15" t="str">
        <f>IFERROR(__xludf.DUMMYFUNCTION("""COMPUTED_VALUE"""),"Not ranking")</f>
        <v>Not ranking</v>
      </c>
      <c r="E726" s="15" t="str">
        <f>IFERROR(__xludf.DUMMYFUNCTION("""COMPUTED_VALUE"""),"41")</f>
        <v>41</v>
      </c>
      <c r="F726" s="18" t="str">
        <f>IFERROR(__xludf.DUMMYFUNCTION("""COMPUTED_VALUE"""),"Not ranking")</f>
        <v>Not ranking</v>
      </c>
      <c r="G726" s="18" t="str">
        <f>IFERROR(__xludf.DUMMYFUNCTION("""COMPUTED_VALUE"""),"Not ranking")</f>
        <v>Not ranking</v>
      </c>
      <c r="H726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5" t="str">
        <f>IFERROR(__xludf.DUMMYFUNCTION("""COMPUTED_VALUE"""),"texas deer season 2022")</f>
        <v>texas deer season 2022</v>
      </c>
      <c r="B727" s="15" t="str">
        <f>IFERROR(__xludf.DUMMYFUNCTION("""COMPUTED_VALUE"""),"2400")</f>
        <v>2400</v>
      </c>
      <c r="C727" s="15" t="str">
        <f>IFERROR(__xludf.DUMMYFUNCTION("""COMPUTED_VALUE"""),"Not ranking")</f>
        <v>Not ranking</v>
      </c>
      <c r="D727" s="15" t="str">
        <f>IFERROR(__xludf.DUMMYFUNCTION("""COMPUTED_VALUE"""),"Not ranking")</f>
        <v>Not ranking</v>
      </c>
      <c r="E727" s="15" t="str">
        <f>IFERROR(__xludf.DUMMYFUNCTION("""COMPUTED_VALUE"""),"22")</f>
        <v>22</v>
      </c>
      <c r="F727" s="18" t="str">
        <f>IFERROR(__xludf.DUMMYFUNCTION("""COMPUTED_VALUE"""),"Not ranking")</f>
        <v>Not ranking</v>
      </c>
      <c r="G727" s="18" t="str">
        <f>IFERROR(__xludf.DUMMYFUNCTION("""COMPUTED_VALUE"""),"Not ranking")</f>
        <v>Not ranking</v>
      </c>
      <c r="H727" s="17" t="str">
        <f>IFERROR(__xludf.DUMMYFUNCTION("""COMPUTED_VALUE"""),"https://www.wideopenspaces.com/when-does-deer-season-end-in-texas/")</f>
        <v>https://www.wideopenspaces.com/when-does-deer-season-end-in-texas/</v>
      </c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5" t="str">
        <f>IFERROR(__xludf.DUMMYFUNCTION("""COMPUTED_VALUE"""),"when is deer season")</f>
        <v>when is deer season</v>
      </c>
      <c r="B728" s="15" t="str">
        <f>IFERROR(__xludf.DUMMYFUNCTION("""COMPUTED_VALUE"""),"2400")</f>
        <v>2400</v>
      </c>
      <c r="C728" s="15" t="str">
        <f>IFERROR(__xludf.DUMMYFUNCTION("""COMPUTED_VALUE"""),"Not ranking")</f>
        <v>Not ranking</v>
      </c>
      <c r="D728" s="15" t="str">
        <f>IFERROR(__xludf.DUMMYFUNCTION("""COMPUTED_VALUE"""),"Not ranking")</f>
        <v>Not ranking</v>
      </c>
      <c r="E728" s="15" t="str">
        <f>IFERROR(__xludf.DUMMYFUNCTION("""COMPUTED_VALUE"""),"71")</f>
        <v>71</v>
      </c>
      <c r="F728" s="18" t="str">
        <f>IFERROR(__xludf.DUMMYFUNCTION("""COMPUTED_VALUE"""),"Not ranking")</f>
        <v>Not ranking</v>
      </c>
      <c r="G728" s="18" t="str">
        <f>IFERROR(__xludf.DUMMYFUNCTION("""COMPUTED_VALUE"""),"Not ranking")</f>
        <v>Not ranking</v>
      </c>
      <c r="H728" s="17" t="str">
        <f>IFERROR(__xludf.DUMMYFUNCTION("""COMPUTED_VALUE"""),"https://www.wideopenspaces.com/when-does-deer-season-end-in-texas/")</f>
        <v>https://www.wideopenspaces.com/when-does-deer-season-end-in-texas/</v>
      </c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5" t="str">
        <f>IFERROR(__xludf.DUMMYFUNCTION("""COMPUTED_VALUE"""),"wisconsin deer season")</f>
        <v>wisconsin deer season</v>
      </c>
      <c r="B729" s="15" t="str">
        <f>IFERROR(__xludf.DUMMYFUNCTION("""COMPUTED_VALUE"""),"2400")</f>
        <v>2400</v>
      </c>
      <c r="C729" s="15" t="str">
        <f>IFERROR(__xludf.DUMMYFUNCTION("""COMPUTED_VALUE"""),"Not ranking")</f>
        <v>Not ranking</v>
      </c>
      <c r="D729" s="15" t="str">
        <f>IFERROR(__xludf.DUMMYFUNCTION("""COMPUTED_VALUE"""),"9")</f>
        <v>9</v>
      </c>
      <c r="E729" s="15" t="str">
        <f>IFERROR(__xludf.DUMMYFUNCTION("""COMPUTED_VALUE"""),"Not ranking")</f>
        <v>Not ranking</v>
      </c>
      <c r="F729" s="18" t="str">
        <f>IFERROR(__xludf.DUMMYFUNCTION("""COMPUTED_VALUE"""),"Not ranking")</f>
        <v>Not ranking</v>
      </c>
      <c r="G729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729" s="18" t="str">
        <f>IFERROR(__xludf.DUMMYFUNCTION("""COMPUTED_VALUE"""),"Not ranking")</f>
        <v>Not ranking</v>
      </c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5" t="str">
        <f>IFERROR(__xludf.DUMMYFUNCTION("""COMPUTED_VALUE"""),"axis deer texas")</f>
        <v>axis deer texas</v>
      </c>
      <c r="B730" s="15" t="str">
        <f>IFERROR(__xludf.DUMMYFUNCTION("""COMPUTED_VALUE"""),"1900")</f>
        <v>1900</v>
      </c>
      <c r="C730" s="15" t="str">
        <f>IFERROR(__xludf.DUMMYFUNCTION("""COMPUTED_VALUE"""),"Not ranking")</f>
        <v>Not ranking</v>
      </c>
      <c r="D730" s="15" t="str">
        <f>IFERROR(__xludf.DUMMYFUNCTION("""COMPUTED_VALUE"""),"Not ranking")</f>
        <v>Not ranking</v>
      </c>
      <c r="E730" s="15" t="str">
        <f>IFERROR(__xludf.DUMMYFUNCTION("""COMPUTED_VALUE"""),"30")</f>
        <v>30</v>
      </c>
      <c r="F730" s="18" t="str">
        <f>IFERROR(__xludf.DUMMYFUNCTION("""COMPUTED_VALUE"""),"Not ranking")</f>
        <v>Not ranking</v>
      </c>
      <c r="G730" s="18" t="str">
        <f>IFERROR(__xludf.DUMMYFUNCTION("""COMPUTED_VALUE"""),"Not ranking")</f>
        <v>Not ranking</v>
      </c>
      <c r="H730" s="17" t="str">
        <f>IFERROR(__xludf.DUMMYFUNCTION("""COMPUTED_VALUE"""),"https://www.wideopenspaces.com/invasion-axis-deer/")</f>
        <v>https://www.wideopenspaces.com/invasion-axis-deer/</v>
      </c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5" t="str">
        <f>IFERROR(__xludf.DUMMYFUNCTION("""COMPUTED_VALUE"""),"best deer attractant")</f>
        <v>best deer attractant</v>
      </c>
      <c r="B731" s="15" t="str">
        <f>IFERROR(__xludf.DUMMYFUNCTION("""COMPUTED_VALUE"""),"1900")</f>
        <v>1900</v>
      </c>
      <c r="C731" s="15" t="str">
        <f>IFERROR(__xludf.DUMMYFUNCTION("""COMPUTED_VALUE"""),"Not ranking")</f>
        <v>Not ranking</v>
      </c>
      <c r="D731" s="15" t="str">
        <f>IFERROR(__xludf.DUMMYFUNCTION("""COMPUTED_VALUE"""),"8")</f>
        <v>8</v>
      </c>
      <c r="E731" s="15" t="str">
        <f>IFERROR(__xludf.DUMMYFUNCTION("""COMPUTED_VALUE"""),"11")</f>
        <v>11</v>
      </c>
      <c r="F731" s="18" t="str">
        <f>IFERROR(__xludf.DUMMYFUNCTION("""COMPUTED_VALUE"""),"Not ranking")</f>
        <v>Not ranking</v>
      </c>
      <c r="G731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731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5" t="str">
        <f>IFERROR(__xludf.DUMMYFUNCTION("""COMPUTED_VALUE"""),"blue tongue deer")</f>
        <v>blue tongue deer</v>
      </c>
      <c r="B732" s="15" t="str">
        <f>IFERROR(__xludf.DUMMYFUNCTION("""COMPUTED_VALUE"""),"1900")</f>
        <v>1900</v>
      </c>
      <c r="C732" s="15" t="str">
        <f>IFERROR(__xludf.DUMMYFUNCTION("""COMPUTED_VALUE"""),"Not ranking")</f>
        <v>Not ranking</v>
      </c>
      <c r="D732" s="15" t="str">
        <f>IFERROR(__xludf.DUMMYFUNCTION("""COMPUTED_VALUE"""),"Not ranking")</f>
        <v>Not ranking</v>
      </c>
      <c r="E732" s="15" t="str">
        <f>IFERROR(__xludf.DUMMYFUNCTION("""COMPUTED_VALUE"""),"74")</f>
        <v>74</v>
      </c>
      <c r="F732" s="18" t="str">
        <f>IFERROR(__xludf.DUMMYFUNCTION("""COMPUTED_VALUE"""),"Not ranking")</f>
        <v>Not ranking</v>
      </c>
      <c r="G732" s="18" t="str">
        <f>IFERROR(__xludf.DUMMYFUNCTION("""COMPUTED_VALUE"""),"Not ranking")</f>
        <v>Not ranking</v>
      </c>
      <c r="H732" s="17" t="str">
        <f>IFERROR(__xludf.DUMMYFUNCTION("""COMPUTED_VALUE"""),"https://www.wideopenspaces.com/blue-tongue-disease-in-deer/")</f>
        <v>https://www.wideopenspaces.com/blue-tongue-disease-in-deer/</v>
      </c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5" t="str">
        <f>IFERROR(__xludf.DUMMYFUNCTION("""COMPUTED_VALUE"""),"deer attractant")</f>
        <v>deer attractant</v>
      </c>
      <c r="B733" s="15" t="str">
        <f>IFERROR(__xludf.DUMMYFUNCTION("""COMPUTED_VALUE"""),"1900")</f>
        <v>1900</v>
      </c>
      <c r="C733" s="15" t="str">
        <f>IFERROR(__xludf.DUMMYFUNCTION("""COMPUTED_VALUE"""),"Not ranking")</f>
        <v>Not ranking</v>
      </c>
      <c r="D733" s="15" t="str">
        <f>IFERROR(__xludf.DUMMYFUNCTION("""COMPUTED_VALUE"""),"53")</f>
        <v>53</v>
      </c>
      <c r="E733" s="15" t="str">
        <f>IFERROR(__xludf.DUMMYFUNCTION("""COMPUTED_VALUE"""),"42")</f>
        <v>42</v>
      </c>
      <c r="F733" s="18" t="str">
        <f>IFERROR(__xludf.DUMMYFUNCTION("""COMPUTED_VALUE"""),"Not ranking")</f>
        <v>Not ranking</v>
      </c>
      <c r="G733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733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5" t="str">
        <f>IFERROR(__xludf.DUMMYFUNCTION("""COMPUTED_VALUE"""),"deer butcher near me")</f>
        <v>deer butcher near me</v>
      </c>
      <c r="B734" s="15" t="str">
        <f>IFERROR(__xludf.DUMMYFUNCTION("""COMPUTED_VALUE"""),"1900")</f>
        <v>1900</v>
      </c>
      <c r="C734" s="15" t="str">
        <f>IFERROR(__xludf.DUMMYFUNCTION("""COMPUTED_VALUE"""),"Not ranking")</f>
        <v>Not ranking</v>
      </c>
      <c r="D734" s="15" t="str">
        <f>IFERROR(__xludf.DUMMYFUNCTION("""COMPUTED_VALUE"""),"81")</f>
        <v>81</v>
      </c>
      <c r="E734" s="15" t="str">
        <f>IFERROR(__xludf.DUMMYFUNCTION("""COMPUTED_VALUE"""),"Not ranking")</f>
        <v>Not ranking</v>
      </c>
      <c r="F734" s="18" t="str">
        <f>IFERROR(__xludf.DUMMYFUNCTION("""COMPUTED_VALUE"""),"Not ranking")</f>
        <v>Not ranking</v>
      </c>
      <c r="G734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734" s="18" t="str">
        <f>IFERROR(__xludf.DUMMYFUNCTION("""COMPUTED_VALUE"""),"Not ranking")</f>
        <v>Not ranking</v>
      </c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5" t="str">
        <f>IFERROR(__xludf.DUMMYFUNCTION("""COMPUTED_VALUE"""),"deer ehd")</f>
        <v>deer ehd</v>
      </c>
      <c r="B735" s="15" t="str">
        <f>IFERROR(__xludf.DUMMYFUNCTION("""COMPUTED_VALUE"""),"1900")</f>
        <v>1900</v>
      </c>
      <c r="C735" s="15" t="str">
        <f>IFERROR(__xludf.DUMMYFUNCTION("""COMPUTED_VALUE"""),"Not ranking")</f>
        <v>Not ranking</v>
      </c>
      <c r="D735" s="15" t="str">
        <f>IFERROR(__xludf.DUMMYFUNCTION("""COMPUTED_VALUE"""),"37")</f>
        <v>37</v>
      </c>
      <c r="E735" s="15" t="str">
        <f>IFERROR(__xludf.DUMMYFUNCTION("""COMPUTED_VALUE"""),"Not ranking")</f>
        <v>Not ranking</v>
      </c>
      <c r="F735" s="18" t="str">
        <f>IFERROR(__xludf.DUMMYFUNCTION("""COMPUTED_VALUE"""),"Not ranking")</f>
        <v>Not ranking</v>
      </c>
      <c r="G735" s="17" t="str">
        <f>IFERROR(__xludf.DUMMYFUNCTION("""COMPUTED_VALUE"""),"https://realtree.com/brow-tines-and-backstrap/will-ehd-be-a-factor-this-deer-season")</f>
        <v>https://realtree.com/brow-tines-and-backstrap/will-ehd-be-a-factor-this-deer-season</v>
      </c>
      <c r="H735" s="18" t="str">
        <f>IFERROR(__xludf.DUMMYFUNCTION("""COMPUTED_VALUE"""),"Not ranking")</f>
        <v>Not ranking</v>
      </c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5" t="str">
        <f>IFERROR(__xludf.DUMMYFUNCTION("""COMPUTED_VALUE"""),"deer gestation period")</f>
        <v>deer gestation period</v>
      </c>
      <c r="B736" s="15" t="str">
        <f>IFERROR(__xludf.DUMMYFUNCTION("""COMPUTED_VALUE"""),"1900")</f>
        <v>1900</v>
      </c>
      <c r="C736" s="15" t="str">
        <f>IFERROR(__xludf.DUMMYFUNCTION("""COMPUTED_VALUE"""),"Not ranking")</f>
        <v>Not ranking</v>
      </c>
      <c r="D736" s="15" t="str">
        <f>IFERROR(__xludf.DUMMYFUNCTION("""COMPUTED_VALUE"""),"Not ranking")</f>
        <v>Not ranking</v>
      </c>
      <c r="E736" s="15" t="str">
        <f>IFERROR(__xludf.DUMMYFUNCTION("""COMPUTED_VALUE"""),"7")</f>
        <v>7</v>
      </c>
      <c r="F736" s="18" t="str">
        <f>IFERROR(__xludf.DUMMYFUNCTION("""COMPUTED_VALUE"""),"Not ranking")</f>
        <v>Not ranking</v>
      </c>
      <c r="G736" s="18" t="str">
        <f>IFERROR(__xludf.DUMMYFUNCTION("""COMPUTED_VALUE"""),"Not ranking")</f>
        <v>Not ranking</v>
      </c>
      <c r="H736" s="17" t="str">
        <f>IFERROR(__xludf.DUMMYFUNCTION("""COMPUTED_VALUE"""),"https://www.wideopenspaces.com/whitetail-deer-gestation-period/")</f>
        <v>https://www.wideopenspaces.com/whitetail-deer-gestation-period/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5" t="str">
        <f>IFERROR(__xludf.DUMMYFUNCTION("""COMPUTED_VALUE"""),"deer hiding")</f>
        <v>deer hiding</v>
      </c>
      <c r="B737" s="15" t="str">
        <f>IFERROR(__xludf.DUMMYFUNCTION("""COMPUTED_VALUE"""),"1900")</f>
        <v>1900</v>
      </c>
      <c r="C737" s="15" t="str">
        <f>IFERROR(__xludf.DUMMYFUNCTION("""COMPUTED_VALUE"""),"Not ranking")</f>
        <v>Not ranking</v>
      </c>
      <c r="D737" s="15" t="str">
        <f>IFERROR(__xludf.DUMMYFUNCTION("""COMPUTED_VALUE"""),"85")</f>
        <v>85</v>
      </c>
      <c r="E737" s="15" t="str">
        <f>IFERROR(__xludf.DUMMYFUNCTION("""COMPUTED_VALUE"""),"2")</f>
        <v>2</v>
      </c>
      <c r="F737" s="18" t="str">
        <f>IFERROR(__xludf.DUMMYFUNCTION("""COMPUTED_VALUE"""),"Not ranking")</f>
        <v>Not ranking</v>
      </c>
      <c r="G737" s="17" t="str">
        <f>IFERROR(__xludf.DUMMYFUNCTION("""COMPUTED_VALUE"""),"https://realtree.com/brow-tines-and-backstrap/15-places-big-bucks-bed-that-deer-hunters-should-hunt")</f>
        <v>https://realtree.com/brow-tines-and-backstrap/15-places-big-bucks-bed-that-deer-hunters-should-hunt</v>
      </c>
      <c r="H737" s="17" t="str">
        <f>IFERROR(__xludf.DUMMYFUNCTION("""COMPUTED_VALUE"""),"https://www.wideopenspaces.com/find-7-deer-hiding-images/")</f>
        <v>https://www.wideopenspaces.com/find-7-deer-hiding-images/</v>
      </c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5" t="str">
        <f>IFERROR(__xludf.DUMMYFUNCTION("""COMPUTED_VALUE"""),"deer mount poses")</f>
        <v>deer mount poses</v>
      </c>
      <c r="B738" s="15" t="str">
        <f>IFERROR(__xludf.DUMMYFUNCTION("""COMPUTED_VALUE"""),"1900")</f>
        <v>1900</v>
      </c>
      <c r="C738" s="15" t="str">
        <f>IFERROR(__xludf.DUMMYFUNCTION("""COMPUTED_VALUE"""),"Not ranking")</f>
        <v>Not ranking</v>
      </c>
      <c r="D738" s="15" t="str">
        <f>IFERROR(__xludf.DUMMYFUNCTION("""COMPUTED_VALUE"""),"4")</f>
        <v>4</v>
      </c>
      <c r="E738" s="15" t="str">
        <f>IFERROR(__xludf.DUMMYFUNCTION("""COMPUTED_VALUE"""),"98")</f>
        <v>98</v>
      </c>
      <c r="F738" s="18" t="str">
        <f>IFERROR(__xludf.DUMMYFUNCTION("""COMPUTED_VALUE"""),"Not ranking")</f>
        <v>Not ranking</v>
      </c>
      <c r="G738" s="17" t="str">
        <f>IFERROR(__xludf.DUMMYFUNCTION("""COMPUTED_VALUE"""),"https://realtree.com/brow-tines-and-backstrap/whitetail-taxidermy-poses-for-your-next-deer-mount")</f>
        <v>https://realtree.com/brow-tines-and-backstrap/whitetail-taxidermy-poses-for-your-next-deer-mount</v>
      </c>
      <c r="H738" s="17" t="str">
        <f>IFERROR(__xludf.DUMMYFUNCTION("""COMPUTED_VALUE"""),"https://www.wideopenspaces.com/deer-taxidermy-options/")</f>
        <v>https://www.wideopenspaces.com/deer-taxidermy-options/</v>
      </c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5" t="str">
        <f>IFERROR(__xludf.DUMMYFUNCTION("""COMPUTED_VALUE"""),"deer mushroom")</f>
        <v>deer mushroom</v>
      </c>
      <c r="B739" s="15" t="str">
        <f>IFERROR(__xludf.DUMMYFUNCTION("""COMPUTED_VALUE"""),"1900")</f>
        <v>1900</v>
      </c>
      <c r="C739" s="15" t="str">
        <f>IFERROR(__xludf.DUMMYFUNCTION("""COMPUTED_VALUE"""),"Not ranking")</f>
        <v>Not ranking</v>
      </c>
      <c r="D739" s="15" t="str">
        <f>IFERROR(__xludf.DUMMYFUNCTION("""COMPUTED_VALUE"""),"63")</f>
        <v>63</v>
      </c>
      <c r="E739" s="15" t="str">
        <f>IFERROR(__xludf.DUMMYFUNCTION("""COMPUTED_VALUE"""),"Not ranking")</f>
        <v>Not ranking</v>
      </c>
      <c r="F739" s="18" t="str">
        <f>IFERROR(__xludf.DUMMYFUNCTION("""COMPUTED_VALUE"""),"Not ranking")</f>
        <v>Not ranking</v>
      </c>
      <c r="G739" s="17" t="str">
        <f>IFERROR(__xludf.DUMMYFUNCTION("""COMPUTED_VALUE"""),"https://realtree.com/timber-2-table-wild-game-recipes/deer-heart-and-mushroom-steak-sandwiches")</f>
        <v>https://realtree.com/timber-2-table-wild-game-recipes/deer-heart-and-mushroom-steak-sandwiches</v>
      </c>
      <c r="H739" s="18" t="str">
        <f>IFERROR(__xludf.DUMMYFUNCTION("""COMPUTED_VALUE"""),"Not ranking")</f>
        <v>Not ranking</v>
      </c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5" t="str">
        <f>IFERROR(__xludf.DUMMYFUNCTION("""COMPUTED_VALUE"""),"deer season tn 2022")</f>
        <v>deer season tn 2022</v>
      </c>
      <c r="B740" s="15" t="str">
        <f>IFERROR(__xludf.DUMMYFUNCTION("""COMPUTED_VALUE"""),"1900")</f>
        <v>1900</v>
      </c>
      <c r="C740" s="15" t="str">
        <f>IFERROR(__xludf.DUMMYFUNCTION("""COMPUTED_VALUE"""),"Not ranking")</f>
        <v>Not ranking</v>
      </c>
      <c r="D740" s="15" t="str">
        <f>IFERROR(__xludf.DUMMYFUNCTION("""COMPUTED_VALUE"""),"52")</f>
        <v>52</v>
      </c>
      <c r="E740" s="15" t="str">
        <f>IFERROR(__xludf.DUMMYFUNCTION("""COMPUTED_VALUE"""),"Not ranking")</f>
        <v>Not ranking</v>
      </c>
      <c r="F740" s="18" t="str">
        <f>IFERROR(__xludf.DUMMYFUNCTION("""COMPUTED_VALUE"""),"Not ranking")</f>
        <v>Not ranking</v>
      </c>
      <c r="G740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40" s="18" t="str">
        <f>IFERROR(__xludf.DUMMYFUNCTION("""COMPUTED_VALUE"""),"Not ranking")</f>
        <v>Not ranking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5" t="str">
        <f>IFERROR(__xludf.DUMMYFUNCTION("""COMPUTED_VALUE"""),"deer seed for food plots")</f>
        <v>deer seed for food plots</v>
      </c>
      <c r="B741" s="15" t="str">
        <f>IFERROR(__xludf.DUMMYFUNCTION("""COMPUTED_VALUE"""),"1900")</f>
        <v>1900</v>
      </c>
      <c r="C741" s="15" t="str">
        <f>IFERROR(__xludf.DUMMYFUNCTION("""COMPUTED_VALUE"""),"Not ranking")</f>
        <v>Not ranking</v>
      </c>
      <c r="D741" s="15" t="str">
        <f>IFERROR(__xludf.DUMMYFUNCTION("""COMPUTED_VALUE"""),"58")</f>
        <v>58</v>
      </c>
      <c r="E741" s="15" t="str">
        <f>IFERROR(__xludf.DUMMYFUNCTION("""COMPUTED_VALUE"""),"Not ranking")</f>
        <v>Not ranking</v>
      </c>
      <c r="F741" s="18" t="str">
        <f>IFERROR(__xludf.DUMMYFUNCTION("""COMPUTED_VALUE"""),"Not ranking")</f>
        <v>Not ranking</v>
      </c>
      <c r="G741" s="17" t="str">
        <f>IFERROR(__xludf.DUMMYFUNCTION("""COMPUTED_VALUE"""),"https://realtree.com/food-plots-and-land-management/articles/mess-hall-mixtures-5-food-plot-combos-for-full-season")</f>
        <v>https://realtree.com/food-plots-and-land-management/articles/mess-hall-mixtures-5-food-plot-combos-for-full-season</v>
      </c>
      <c r="H741" s="18" t="str">
        <f>IFERROR(__xludf.DUMMYFUNCTION("""COMPUTED_VALUE"""),"Not ranking")</f>
        <v>Not ranking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5" t="str">
        <f>IFERROR(__xludf.DUMMYFUNCTION("""COMPUTED_VALUE"""),"deer shed antlers")</f>
        <v>deer shed antlers</v>
      </c>
      <c r="B742" s="15" t="str">
        <f>IFERROR(__xludf.DUMMYFUNCTION("""COMPUTED_VALUE"""),"1900")</f>
        <v>1900</v>
      </c>
      <c r="C742" s="15" t="str">
        <f>IFERROR(__xludf.DUMMYFUNCTION("""COMPUTED_VALUE"""),"Not ranking")</f>
        <v>Not ranking</v>
      </c>
      <c r="D742" s="15" t="str">
        <f>IFERROR(__xludf.DUMMYFUNCTION("""COMPUTED_VALUE"""),"11")</f>
        <v>11</v>
      </c>
      <c r="E742" s="15" t="str">
        <f>IFERROR(__xludf.DUMMYFUNCTION("""COMPUTED_VALUE"""),"2")</f>
        <v>2</v>
      </c>
      <c r="F742" s="18" t="str">
        <f>IFERROR(__xludf.DUMMYFUNCTION("""COMPUTED_VALUE"""),"Not ranking")</f>
        <v>Not ranking</v>
      </c>
      <c r="G742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742" s="17" t="str">
        <f>IFERROR(__xludf.DUMMYFUNCTION("""COMPUTED_VALUE"""),"https://www.wideopenspaces.com/deer-shed-antlers-pics/")</f>
        <v>https://www.wideopenspaces.com/deer-shed-antlers-pics/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5" t="str">
        <f>IFERROR(__xludf.DUMMYFUNCTION("""COMPUTED_VALUE"""),"deer shedding velvet")</f>
        <v>deer shedding velvet</v>
      </c>
      <c r="B743" s="15" t="str">
        <f>IFERROR(__xludf.DUMMYFUNCTION("""COMPUTED_VALUE"""),"1900")</f>
        <v>1900</v>
      </c>
      <c r="C743" s="15" t="str">
        <f>IFERROR(__xludf.DUMMYFUNCTION("""COMPUTED_VALUE"""),"Not ranking")</f>
        <v>Not ranking</v>
      </c>
      <c r="D743" s="15" t="str">
        <f>IFERROR(__xludf.DUMMYFUNCTION("""COMPUTED_VALUE"""),"Not ranking")</f>
        <v>Not ranking</v>
      </c>
      <c r="E743" s="15" t="str">
        <f>IFERROR(__xludf.DUMMYFUNCTION("""COMPUTED_VALUE"""),"49")</f>
        <v>49</v>
      </c>
      <c r="F743" s="18" t="str">
        <f>IFERROR(__xludf.DUMMYFUNCTION("""COMPUTED_VALUE"""),"Not ranking")</f>
        <v>Not ranking</v>
      </c>
      <c r="G743" s="18" t="str">
        <f>IFERROR(__xludf.DUMMYFUNCTION("""COMPUTED_VALUE"""),"Not ranking")</f>
        <v>Not ranking</v>
      </c>
      <c r="H743" s="17" t="str">
        <f>IFERROR(__xludf.DUMMYFUNCTION("""COMPUTED_VALUE"""),"https://www.wideopenspaces.com/10-awesome-photos-of-deer-shedding-their-velvet-pics/")</f>
        <v>https://www.wideopenspaces.com/10-awesome-photos-of-deer-shedding-their-velvet-pics/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5" t="str">
        <f>IFERROR(__xludf.DUMMYFUNCTION("""COMPUTED_VALUE"""),"deer tail")</f>
        <v>deer tail</v>
      </c>
      <c r="B744" s="15" t="str">
        <f>IFERROR(__xludf.DUMMYFUNCTION("""COMPUTED_VALUE"""),"1900")</f>
        <v>1900</v>
      </c>
      <c r="C744" s="15" t="str">
        <f>IFERROR(__xludf.DUMMYFUNCTION("""COMPUTED_VALUE"""),"Not ranking")</f>
        <v>Not ranking</v>
      </c>
      <c r="D744" s="15" t="str">
        <f>IFERROR(__xludf.DUMMYFUNCTION("""COMPUTED_VALUE"""),"29")</f>
        <v>29</v>
      </c>
      <c r="E744" s="15" t="str">
        <f>IFERROR(__xludf.DUMMYFUNCTION("""COMPUTED_VALUE"""),"Not ranking")</f>
        <v>Not ranking</v>
      </c>
      <c r="F744" s="18" t="str">
        <f>IFERROR(__xludf.DUMMYFUNCTION("""COMPUTED_VALUE"""),"Not ranking")</f>
        <v>Not ranking</v>
      </c>
      <c r="G744" s="17" t="str">
        <f>IFERROR(__xludf.DUMMYFUNCTION("""COMPUTED_VALUE"""),"https://realtree.com/deer-hunting/articles/talk-to-the-tail-understanding-whitetail-body-language")</f>
        <v>https://realtree.com/deer-hunting/articles/talk-to-the-tail-understanding-whitetail-body-language</v>
      </c>
      <c r="H744" s="18" t="str">
        <f>IFERROR(__xludf.DUMMYFUNCTION("""COMPUTED_VALUE"""),"Not ranking")</f>
        <v>Not ranking</v>
      </c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5" t="str">
        <f>IFERROR(__xludf.DUMMYFUNCTION("""COMPUTED_VALUE"""),"deer warts")</f>
        <v>deer warts</v>
      </c>
      <c r="B745" s="15" t="str">
        <f>IFERROR(__xludf.DUMMYFUNCTION("""COMPUTED_VALUE"""),"1900")</f>
        <v>1900</v>
      </c>
      <c r="C745" s="15" t="str">
        <f>IFERROR(__xludf.DUMMYFUNCTION("""COMPUTED_VALUE"""),"Not ranking")</f>
        <v>Not ranking</v>
      </c>
      <c r="D745" s="15" t="str">
        <f>IFERROR(__xludf.DUMMYFUNCTION("""COMPUTED_VALUE"""),"7")</f>
        <v>7</v>
      </c>
      <c r="E745" s="15" t="str">
        <f>IFERROR(__xludf.DUMMYFUNCTION("""COMPUTED_VALUE"""),"25")</f>
        <v>25</v>
      </c>
      <c r="F745" s="18" t="str">
        <f>IFERROR(__xludf.DUMMYFUNCTION("""COMPUTED_VALUE"""),"Not ranking")</f>
        <v>Not ranking</v>
      </c>
      <c r="G745" s="17" t="str">
        <f>IFERROR(__xludf.DUMMYFUNCTION("""COMPUTED_VALUE"""),"https://realtree.com/deer-hunting/all-about-deer-warts")</f>
        <v>https://realtree.com/deer-hunting/all-about-deer-warts</v>
      </c>
      <c r="H745" s="17" t="str">
        <f>IFERROR(__xludf.DUMMYFUNCTION("""COMPUTED_VALUE"""),"https://www.wideopenspaces.com/deer-warts/")</f>
        <v>https://www.wideopenspaces.com/deer-warts/</v>
      </c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5" t="str">
        <f>IFERROR(__xludf.DUMMYFUNCTION("""COMPUTED_VALUE"""),"deerstand")</f>
        <v>deerstand</v>
      </c>
      <c r="B746" s="15" t="str">
        <f>IFERROR(__xludf.DUMMYFUNCTION("""COMPUTED_VALUE"""),"1900")</f>
        <v>1900</v>
      </c>
      <c r="C746" s="15" t="str">
        <f>IFERROR(__xludf.DUMMYFUNCTION("""COMPUTED_VALUE"""),"Not ranking")</f>
        <v>Not ranking</v>
      </c>
      <c r="D746" s="15" t="str">
        <f>IFERROR(__xludf.DUMMYFUNCTION("""COMPUTED_VALUE"""),"79")</f>
        <v>79</v>
      </c>
      <c r="E746" s="15" t="str">
        <f>IFERROR(__xludf.DUMMYFUNCTION("""COMPUTED_VALUE"""),"Not ranking")</f>
        <v>Not ranking</v>
      </c>
      <c r="F746" s="18" t="str">
        <f>IFERROR(__xludf.DUMMYFUNCTION("""COMPUTED_VALUE"""),"Not ranking")</f>
        <v>Not ranking</v>
      </c>
      <c r="G746" s="17" t="str">
        <f>IFERROR(__xludf.DUMMYFUNCTION("""COMPUTED_VALUE"""),"https://realtree.com/timber-2-table-articles/the-10-best-snacks-for-the-deer-stand")</f>
        <v>https://realtree.com/timber-2-table-articles/the-10-best-snacks-for-the-deer-stand</v>
      </c>
      <c r="H746" s="18" t="str">
        <f>IFERROR(__xludf.DUMMYFUNCTION("""COMPUTED_VALUE"""),"Not ranking")</f>
        <v>Not ranking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5" t="str">
        <f>IFERROR(__xludf.DUMMYFUNCTION("""COMPUTED_VALUE"""),"diy deer feeder")</f>
        <v>diy deer feeder</v>
      </c>
      <c r="B747" s="15" t="str">
        <f>IFERROR(__xludf.DUMMYFUNCTION("""COMPUTED_VALUE"""),"1900")</f>
        <v>1900</v>
      </c>
      <c r="C747" s="15" t="str">
        <f>IFERROR(__xludf.DUMMYFUNCTION("""COMPUTED_VALUE"""),"Not ranking")</f>
        <v>Not ranking</v>
      </c>
      <c r="D747" s="15" t="str">
        <f>IFERROR(__xludf.DUMMYFUNCTION("""COMPUTED_VALUE"""),"11")</f>
        <v>11</v>
      </c>
      <c r="E747" s="15" t="str">
        <f>IFERROR(__xludf.DUMMYFUNCTION("""COMPUTED_VALUE"""),"42")</f>
        <v>42</v>
      </c>
      <c r="F747" s="18" t="str">
        <f>IFERROR(__xludf.DUMMYFUNCTION("""COMPUTED_VALUE"""),"Not ranking")</f>
        <v>Not ranking</v>
      </c>
      <c r="G747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747" s="17" t="str">
        <f>IFERROR(__xludf.DUMMYFUNCTION("""COMPUTED_VALUE"""),"https://www.wideopenspaces.com/make-poor-mans-deer-feeder/")</f>
        <v>https://www.wideopenspaces.com/make-poor-mans-deer-feeder/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5" t="str">
        <f>IFERROR(__xludf.DUMMYFUNCTION("""COMPUTED_VALUE"""),"drone deer recovery")</f>
        <v>drone deer recovery</v>
      </c>
      <c r="B748" s="15" t="str">
        <f>IFERROR(__xludf.DUMMYFUNCTION("""COMPUTED_VALUE"""),"1900")</f>
        <v>1900</v>
      </c>
      <c r="C748" s="15" t="str">
        <f>IFERROR(__xludf.DUMMYFUNCTION("""COMPUTED_VALUE"""),"Not ranking")</f>
        <v>Not ranking</v>
      </c>
      <c r="D748" s="15" t="str">
        <f>IFERROR(__xludf.DUMMYFUNCTION("""COMPUTED_VALUE"""),"4")</f>
        <v>4</v>
      </c>
      <c r="E748" s="15" t="str">
        <f>IFERROR(__xludf.DUMMYFUNCTION("""COMPUTED_VALUE"""),"15")</f>
        <v>15</v>
      </c>
      <c r="F748" s="18" t="str">
        <f>IFERROR(__xludf.DUMMYFUNCTION("""COMPUTED_VALUE"""),"Not ranking")</f>
        <v>Not ranking</v>
      </c>
      <c r="G748" s="17" t="str">
        <f>IFERROR(__xludf.DUMMYFUNCTION("""COMPUTED_VALUE"""),"https://realtree.com/deer-hunting-what-is-drone-deer-recovery")</f>
        <v>https://realtree.com/deer-hunting-what-is-drone-deer-recovery</v>
      </c>
      <c r="H748" s="17" t="str">
        <f>IFERROR(__xludf.DUMMYFUNCTION("""COMPUTED_VALUE"""),"https://www.wideopenspaces.com/drone-big-buck-recovery/")</f>
        <v>https://www.wideopenspaces.com/drone-big-buck-recovery/</v>
      </c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5" t="str">
        <f>IFERROR(__xludf.DUMMYFUNCTION("""COMPUTED_VALUE"""),"ga deer season 2022")</f>
        <v>ga deer season 2022</v>
      </c>
      <c r="B749" s="15" t="str">
        <f>IFERROR(__xludf.DUMMYFUNCTION("""COMPUTED_VALUE"""),"1900")</f>
        <v>1900</v>
      </c>
      <c r="C749" s="15" t="str">
        <f>IFERROR(__xludf.DUMMYFUNCTION("""COMPUTED_VALUE"""),"Not ranking")</f>
        <v>Not ranking</v>
      </c>
      <c r="D749" s="15" t="str">
        <f>IFERROR(__xludf.DUMMYFUNCTION("""COMPUTED_VALUE"""),"40")</f>
        <v>40</v>
      </c>
      <c r="E749" s="15" t="str">
        <f>IFERROR(__xludf.DUMMYFUNCTION("""COMPUTED_VALUE"""),"25")</f>
        <v>25</v>
      </c>
      <c r="F749" s="18" t="str">
        <f>IFERROR(__xludf.DUMMYFUNCTION("""COMPUTED_VALUE"""),"Not ranking")</f>
        <v>Not ranking</v>
      </c>
      <c r="G74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49" s="17" t="str">
        <f>IFERROR(__xludf.DUMMYFUNCTION("""COMPUTED_VALUE"""),"https://www.wideopenspaces.com/when-does-deer-season-end-in-georgia/")</f>
        <v>https://www.wideopenspaces.com/when-does-deer-season-end-in-georgia/</v>
      </c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5" t="str">
        <f>IFERROR(__xludf.DUMMYFUNCTION("""COMPUTED_VALUE"""),"gestation period for a deer")</f>
        <v>gestation period for a deer</v>
      </c>
      <c r="B750" s="15" t="str">
        <f>IFERROR(__xludf.DUMMYFUNCTION("""COMPUTED_VALUE"""),"1900")</f>
        <v>1900</v>
      </c>
      <c r="C750" s="15" t="str">
        <f>IFERROR(__xludf.DUMMYFUNCTION("""COMPUTED_VALUE"""),"Not ranking")</f>
        <v>Not ranking</v>
      </c>
      <c r="D750" s="15" t="str">
        <f>IFERROR(__xludf.DUMMYFUNCTION("""COMPUTED_VALUE"""),"Not ranking")</f>
        <v>Not ranking</v>
      </c>
      <c r="E750" s="15" t="str">
        <f>IFERROR(__xludf.DUMMYFUNCTION("""COMPUTED_VALUE"""),"7")</f>
        <v>7</v>
      </c>
      <c r="F750" s="18" t="str">
        <f>IFERROR(__xludf.DUMMYFUNCTION("""COMPUTED_VALUE"""),"Not ranking")</f>
        <v>Not ranking</v>
      </c>
      <c r="G750" s="18" t="str">
        <f>IFERROR(__xludf.DUMMYFUNCTION("""COMPUTED_VALUE"""),"Not ranking")</f>
        <v>Not ranking</v>
      </c>
      <c r="H750" s="17" t="str">
        <f>IFERROR(__xludf.DUMMYFUNCTION("""COMPUTED_VALUE"""),"https://www.wideopenspaces.com/whitetail-deer-gestation-period/")</f>
        <v>https://www.wideopenspaces.com/whitetail-deer-gestation-period/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5" t="str">
        <f>IFERROR(__xludf.DUMMYFUNCTION("""COMPUTED_VALUE"""),"gestation period for deer")</f>
        <v>gestation period for deer</v>
      </c>
      <c r="B751" s="15" t="str">
        <f>IFERROR(__xludf.DUMMYFUNCTION("""COMPUTED_VALUE"""),"1900")</f>
        <v>1900</v>
      </c>
      <c r="C751" s="15" t="str">
        <f>IFERROR(__xludf.DUMMYFUNCTION("""COMPUTED_VALUE"""),"Not ranking")</f>
        <v>Not ranking</v>
      </c>
      <c r="D751" s="15" t="str">
        <f>IFERROR(__xludf.DUMMYFUNCTION("""COMPUTED_VALUE"""),"Not ranking")</f>
        <v>Not ranking</v>
      </c>
      <c r="E751" s="15" t="str">
        <f>IFERROR(__xludf.DUMMYFUNCTION("""COMPUTED_VALUE"""),"7")</f>
        <v>7</v>
      </c>
      <c r="F751" s="18" t="str">
        <f>IFERROR(__xludf.DUMMYFUNCTION("""COMPUTED_VALUE"""),"Not ranking")</f>
        <v>Not ranking</v>
      </c>
      <c r="G751" s="18" t="str">
        <f>IFERROR(__xludf.DUMMYFUNCTION("""COMPUTED_VALUE"""),"Not ranking")</f>
        <v>Not ranking</v>
      </c>
      <c r="H751" s="17" t="str">
        <f>IFERROR(__xludf.DUMMYFUNCTION("""COMPUTED_VALUE"""),"https://www.wideopenspaces.com/whitetail-deer-gestation-period/")</f>
        <v>https://www.wideopenspaces.com/whitetail-deer-gestation-period/</v>
      </c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5" t="str">
        <f>IFERROR(__xludf.DUMMYFUNCTION("""COMPUTED_VALUE"""),"how high can a deer jump")</f>
        <v>how high can a deer jump</v>
      </c>
      <c r="B752" s="15" t="str">
        <f>IFERROR(__xludf.DUMMYFUNCTION("""COMPUTED_VALUE"""),"1900")</f>
        <v>1900</v>
      </c>
      <c r="C752" s="15" t="str">
        <f>IFERROR(__xludf.DUMMYFUNCTION("""COMPUTED_VALUE"""),"Not ranking")</f>
        <v>Not ranking</v>
      </c>
      <c r="D752" s="15" t="str">
        <f>IFERROR(__xludf.DUMMYFUNCTION("""COMPUTED_VALUE"""),"61")</f>
        <v>61</v>
      </c>
      <c r="E752" s="15" t="str">
        <f>IFERROR(__xludf.DUMMYFUNCTION("""COMPUTED_VALUE"""),"45")</f>
        <v>45</v>
      </c>
      <c r="F752" s="18" t="str">
        <f>IFERROR(__xludf.DUMMYFUNCTION("""COMPUTED_VALUE"""),"Not ranking")</f>
        <v>Not ranking</v>
      </c>
      <c r="G752" s="17" t="str">
        <f>IFERROR(__xludf.DUMMYFUNCTION("""COMPUTED_VALUE"""),"https://realtree.com/midwest-whitetail/articles/string-jumpers-how-to-aim-at-alert-deer")</f>
        <v>https://realtree.com/midwest-whitetail/articles/string-jumpers-how-to-aim-at-alert-deer</v>
      </c>
      <c r="H752" s="17" t="str">
        <f>IFERROR(__xludf.DUMMYFUNCTION("""COMPUTED_VALUE"""),"https://www.wideopenspaces.com/deer-tries-to-jump-high-fence-video/")</f>
        <v>https://www.wideopenspaces.com/deer-tries-to-jump-high-fence-video/</v>
      </c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5" t="str">
        <f>IFERROR(__xludf.DUMMYFUNCTION("""COMPUTED_VALUE"""),"how to draw deer")</f>
        <v>how to draw deer</v>
      </c>
      <c r="B753" s="15" t="str">
        <f>IFERROR(__xludf.DUMMYFUNCTION("""COMPUTED_VALUE"""),"1900")</f>
        <v>1900</v>
      </c>
      <c r="C753" s="15" t="str">
        <f>IFERROR(__xludf.DUMMYFUNCTION("""COMPUTED_VALUE"""),"Not ranking")</f>
        <v>Not ranking</v>
      </c>
      <c r="D753" s="15" t="str">
        <f>IFERROR(__xludf.DUMMYFUNCTION("""COMPUTED_VALUE"""),"18")</f>
        <v>18</v>
      </c>
      <c r="E753" s="15" t="str">
        <f>IFERROR(__xludf.DUMMYFUNCTION("""COMPUTED_VALUE"""),"Not ranking")</f>
        <v>Not ranking</v>
      </c>
      <c r="F753" s="18" t="str">
        <f>IFERROR(__xludf.DUMMYFUNCTION("""COMPUTED_VALUE"""),"Not ranking")</f>
        <v>Not ranking</v>
      </c>
      <c r="G753" s="17" t="str">
        <f>IFERROR(__xludf.DUMMYFUNCTION("""COMPUTED_VALUE"""),"https://realtree.com/brow-tines-and-backstrap/when-to-draw-your-bow-on-deer")</f>
        <v>https://realtree.com/brow-tines-and-backstrap/when-to-draw-your-bow-on-deer</v>
      </c>
      <c r="H753" s="18" t="str">
        <f>IFERROR(__xludf.DUMMYFUNCTION("""COMPUTED_VALUE"""),"Not ranking")</f>
        <v>Not ranking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5" t="str">
        <f>IFERROR(__xludf.DUMMYFUNCTION("""COMPUTED_VALUE"""),"kansas deer season 2022")</f>
        <v>kansas deer season 2022</v>
      </c>
      <c r="B754" s="15" t="str">
        <f>IFERROR(__xludf.DUMMYFUNCTION("""COMPUTED_VALUE"""),"1900")</f>
        <v>1900</v>
      </c>
      <c r="C754" s="15" t="str">
        <f>IFERROR(__xludf.DUMMYFUNCTION("""COMPUTED_VALUE"""),"Not ranking")</f>
        <v>Not ranking</v>
      </c>
      <c r="D754" s="15" t="str">
        <f>IFERROR(__xludf.DUMMYFUNCTION("""COMPUTED_VALUE"""),"79")</f>
        <v>79</v>
      </c>
      <c r="E754" s="15" t="str">
        <f>IFERROR(__xludf.DUMMYFUNCTION("""COMPUTED_VALUE"""),"Not ranking")</f>
        <v>Not ranking</v>
      </c>
      <c r="F754" s="18" t="str">
        <f>IFERROR(__xludf.DUMMYFUNCTION("""COMPUTED_VALUE"""),"Not ranking")</f>
        <v>Not ranking</v>
      </c>
      <c r="G754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754" s="18" t="str">
        <f>IFERROR(__xludf.DUMMYFUNCTION("""COMPUTED_VALUE"""),"Not ranking")</f>
        <v>Not ranking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5" t="str">
        <f>IFERROR(__xludf.DUMMYFUNCTION("""COMPUTED_VALUE"""),"life span of a deer")</f>
        <v>life span of a deer</v>
      </c>
      <c r="B755" s="15" t="str">
        <f>IFERROR(__xludf.DUMMYFUNCTION("""COMPUTED_VALUE"""),"1900")</f>
        <v>1900</v>
      </c>
      <c r="C755" s="15" t="str">
        <f>IFERROR(__xludf.DUMMYFUNCTION("""COMPUTED_VALUE"""),"Not ranking")</f>
        <v>Not ranking</v>
      </c>
      <c r="D755" s="15" t="str">
        <f>IFERROR(__xludf.DUMMYFUNCTION("""COMPUTED_VALUE"""),"4")</f>
        <v>4</v>
      </c>
      <c r="E755" s="15" t="str">
        <f>IFERROR(__xludf.DUMMYFUNCTION("""COMPUTED_VALUE"""),"13")</f>
        <v>13</v>
      </c>
      <c r="F755" s="18" t="str">
        <f>IFERROR(__xludf.DUMMYFUNCTION("""COMPUTED_VALUE"""),"Not ranking")</f>
        <v>Not ranking</v>
      </c>
      <c r="G755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755" s="17" t="str">
        <f>IFERROR(__xludf.DUMMYFUNCTION("""COMPUTED_VALUE"""),"https://www.wideopenspaces.com/lifespan-whitetail-deer/")</f>
        <v>https://www.wideopenspaces.com/lifespan-whitetail-deer/</v>
      </c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5" t="str">
        <f>IFERROR(__xludf.DUMMYFUNCTION("""COMPUTED_VALUE"""),"lifespan deer")</f>
        <v>lifespan deer</v>
      </c>
      <c r="B756" s="15" t="str">
        <f>IFERROR(__xludf.DUMMYFUNCTION("""COMPUTED_VALUE"""),"1900")</f>
        <v>1900</v>
      </c>
      <c r="C756" s="15" t="str">
        <f>IFERROR(__xludf.DUMMYFUNCTION("""COMPUTED_VALUE"""),"Not ranking")</f>
        <v>Not ranking</v>
      </c>
      <c r="D756" s="15" t="str">
        <f>IFERROR(__xludf.DUMMYFUNCTION("""COMPUTED_VALUE"""),"5")</f>
        <v>5</v>
      </c>
      <c r="E756" s="15" t="str">
        <f>IFERROR(__xludf.DUMMYFUNCTION("""COMPUTED_VALUE"""),"14")</f>
        <v>14</v>
      </c>
      <c r="F756" s="18" t="str">
        <f>IFERROR(__xludf.DUMMYFUNCTION("""COMPUTED_VALUE"""),"Not ranking")</f>
        <v>Not ranking</v>
      </c>
      <c r="G756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756" s="17" t="str">
        <f>IFERROR(__xludf.DUMMYFUNCTION("""COMPUTED_VALUE"""),"https://www.wideopenspaces.com/lifespan-whitetail-deer/")</f>
        <v>https://www.wideopenspaces.com/lifespan-whitetail-deer/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5" t="str">
        <f>IFERROR(__xludf.DUMMYFUNCTION("""COMPUTED_VALUE"""),"mn deer hunting zones")</f>
        <v>mn deer hunting zones</v>
      </c>
      <c r="B757" s="15" t="str">
        <f>IFERROR(__xludf.DUMMYFUNCTION("""COMPUTED_VALUE"""),"1900")</f>
        <v>1900</v>
      </c>
      <c r="C757" s="15" t="str">
        <f>IFERROR(__xludf.DUMMYFUNCTION("""COMPUTED_VALUE"""),"Not ranking")</f>
        <v>Not ranking</v>
      </c>
      <c r="D757" s="15" t="str">
        <f>IFERROR(__xludf.DUMMYFUNCTION("""COMPUTED_VALUE"""),"Not ranking")</f>
        <v>Not ranking</v>
      </c>
      <c r="E757" s="15" t="str">
        <f>IFERROR(__xludf.DUMMYFUNCTION("""COMPUTED_VALUE"""),"8")</f>
        <v>8</v>
      </c>
      <c r="F757" s="18" t="str">
        <f>IFERROR(__xludf.DUMMYFUNCTION("""COMPUTED_VALUE"""),"Not ranking")</f>
        <v>Not ranking</v>
      </c>
      <c r="G757" s="18" t="str">
        <f>IFERROR(__xludf.DUMMYFUNCTION("""COMPUTED_VALUE"""),"Not ranking")</f>
        <v>Not ranking</v>
      </c>
      <c r="H757" s="17" t="str">
        <f>IFERROR(__xludf.DUMMYFUNCTION("""COMPUTED_VALUE"""),"https://www.wideopenspaces.com/mn-deer-hunting-zones/")</f>
        <v>https://www.wideopenspaces.com/mn-deer-hunting-zones/</v>
      </c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5" t="str">
        <f>IFERROR(__xludf.DUMMYFUNCTION("""COMPUTED_VALUE"""),"mn deer opener 2022")</f>
        <v>mn deer opener 2022</v>
      </c>
      <c r="B758" s="15" t="str">
        <f>IFERROR(__xludf.DUMMYFUNCTION("""COMPUTED_VALUE"""),"1900")</f>
        <v>1900</v>
      </c>
      <c r="C758" s="15" t="str">
        <f>IFERROR(__xludf.DUMMYFUNCTION("""COMPUTED_VALUE"""),"Not ranking")</f>
        <v>Not ranking</v>
      </c>
      <c r="D758" s="15" t="str">
        <f>IFERROR(__xludf.DUMMYFUNCTION("""COMPUTED_VALUE"""),"98")</f>
        <v>98</v>
      </c>
      <c r="E758" s="15" t="str">
        <f>IFERROR(__xludf.DUMMYFUNCTION("""COMPUTED_VALUE"""),"Not ranking")</f>
        <v>Not ranking</v>
      </c>
      <c r="F758" s="18" t="str">
        <f>IFERROR(__xludf.DUMMYFUNCTION("""COMPUTED_VALUE"""),"Not ranking")</f>
        <v>Not ranking</v>
      </c>
      <c r="G758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758" s="18" t="str">
        <f>IFERROR(__xludf.DUMMYFUNCTION("""COMPUTED_VALUE"""),"Not ranking")</f>
        <v>Not ranking</v>
      </c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5" t="str">
        <f>IFERROR(__xludf.DUMMYFUNCTION("""COMPUTED_VALUE"""),"n.c. deer season 2022")</f>
        <v>n.c. deer season 2022</v>
      </c>
      <c r="B759" s="15" t="str">
        <f>IFERROR(__xludf.DUMMYFUNCTION("""COMPUTED_VALUE"""),"1900")</f>
        <v>1900</v>
      </c>
      <c r="C759" s="15" t="str">
        <f>IFERROR(__xludf.DUMMYFUNCTION("""COMPUTED_VALUE"""),"Not ranking")</f>
        <v>Not ranking</v>
      </c>
      <c r="D759" s="15" t="str">
        <f>IFERROR(__xludf.DUMMYFUNCTION("""COMPUTED_VALUE"""),"64")</f>
        <v>64</v>
      </c>
      <c r="E759" s="15" t="str">
        <f>IFERROR(__xludf.DUMMYFUNCTION("""COMPUTED_VALUE"""),"Not ranking")</f>
        <v>Not ranking</v>
      </c>
      <c r="F759" s="18" t="str">
        <f>IFERROR(__xludf.DUMMYFUNCTION("""COMPUTED_VALUE"""),"Not ranking")</f>
        <v>Not ranking</v>
      </c>
      <c r="G75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59" s="18" t="str">
        <f>IFERROR(__xludf.DUMMYFUNCTION("""COMPUTED_VALUE"""),"Not ranking")</f>
        <v>Not ranking</v>
      </c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5" t="str">
        <f>IFERROR(__xludf.DUMMYFUNCTION("""COMPUTED_VALUE"""),"nc deer season")</f>
        <v>nc deer season</v>
      </c>
      <c r="B760" s="15" t="str">
        <f>IFERROR(__xludf.DUMMYFUNCTION("""COMPUTED_VALUE"""),"1900")</f>
        <v>1900</v>
      </c>
      <c r="C760" s="15" t="str">
        <f>IFERROR(__xludf.DUMMYFUNCTION("""COMPUTED_VALUE"""),"Not ranking")</f>
        <v>Not ranking</v>
      </c>
      <c r="D760" s="15" t="str">
        <f>IFERROR(__xludf.DUMMYFUNCTION("""COMPUTED_VALUE"""),"83")</f>
        <v>83</v>
      </c>
      <c r="E760" s="15" t="str">
        <f>IFERROR(__xludf.DUMMYFUNCTION("""COMPUTED_VALUE"""),"75")</f>
        <v>75</v>
      </c>
      <c r="F760" s="18" t="str">
        <f>IFERROR(__xludf.DUMMYFUNCTION("""COMPUTED_VALUE"""),"Not ranking")</f>
        <v>Not ranking</v>
      </c>
      <c r="G760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60" s="17" t="str">
        <f>IFERROR(__xludf.DUMMYFUNCTION("""COMPUTED_VALUE"""),"https://www.wideopenspaces.com/north-carolina-adds-alligator-hunting-changes-deer-and-bear-zones/")</f>
        <v>https://www.wideopenspaces.com/north-carolina-adds-alligator-hunting-changes-deer-and-bear-zones/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5" t="str">
        <f>IFERROR(__xludf.DUMMYFUNCTION("""COMPUTED_VALUE"""),"oklahoma deer season")</f>
        <v>oklahoma deer season</v>
      </c>
      <c r="B761" s="15" t="str">
        <f>IFERROR(__xludf.DUMMYFUNCTION("""COMPUTED_VALUE"""),"1900")</f>
        <v>1900</v>
      </c>
      <c r="C761" s="15" t="str">
        <f>IFERROR(__xludf.DUMMYFUNCTION("""COMPUTED_VALUE"""),"Not ranking")</f>
        <v>Not ranking</v>
      </c>
      <c r="D761" s="15" t="str">
        <f>IFERROR(__xludf.DUMMYFUNCTION("""COMPUTED_VALUE"""),"Not ranking")</f>
        <v>Not ranking</v>
      </c>
      <c r="E761" s="15" t="str">
        <f>IFERROR(__xludf.DUMMYFUNCTION("""COMPUTED_VALUE"""),"80")</f>
        <v>80</v>
      </c>
      <c r="F761" s="18" t="str">
        <f>IFERROR(__xludf.DUMMYFUNCTION("""COMPUTED_VALUE"""),"Not ranking")</f>
        <v>Not ranking</v>
      </c>
      <c r="G761" s="18" t="str">
        <f>IFERROR(__xludf.DUMMYFUNCTION("""COMPUTED_VALUE"""),"Not ranking")</f>
        <v>Not ranking</v>
      </c>
      <c r="H761" s="17" t="str">
        <f>IFERROR(__xludf.DUMMYFUNCTION("""COMPUTED_VALUE"""),"https://www.wideopenspaces.com/the-great-big-oklahoma-deer-hunting-guide/")</f>
        <v>https://www.wideopenspaces.com/the-great-big-oklahoma-deer-hunting-guide/</v>
      </c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5" t="str">
        <f>IFERROR(__xludf.DUMMYFUNCTION("""COMPUTED_VALUE"""),"picture of a deer")</f>
        <v>picture of a deer</v>
      </c>
      <c r="B762" s="15" t="str">
        <f>IFERROR(__xludf.DUMMYFUNCTION("""COMPUTED_VALUE"""),"1900")</f>
        <v>1900</v>
      </c>
      <c r="C762" s="15" t="str">
        <f>IFERROR(__xludf.DUMMYFUNCTION("""COMPUTED_VALUE"""),"Not ranking")</f>
        <v>Not ranking</v>
      </c>
      <c r="D762" s="15" t="str">
        <f>IFERROR(__xludf.DUMMYFUNCTION("""COMPUTED_VALUE"""),"86")</f>
        <v>86</v>
      </c>
      <c r="E762" s="15" t="str">
        <f>IFERROR(__xludf.DUMMYFUNCTION("""COMPUTED_VALUE"""),"Not ranking")</f>
        <v>Not ranking</v>
      </c>
      <c r="F762" s="18" t="str">
        <f>IFERROR(__xludf.DUMMYFUNCTION("""COMPUTED_VALUE"""),"Not ranking")</f>
        <v>Not ranking</v>
      </c>
      <c r="G762" s="17" t="str">
        <f>IFERROR(__xludf.DUMMYFUNCTION("""COMPUTED_VALUE"""),"https://realtree.com/deer-hunting/articles/10-tips-for-great-deer-pictures")</f>
        <v>https://realtree.com/deer-hunting/articles/10-tips-for-great-deer-pictures</v>
      </c>
      <c r="H762" s="18" t="str">
        <f>IFERROR(__xludf.DUMMYFUNCTION("""COMPUTED_VALUE"""),"Not ranking")</f>
        <v>Not ranking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5" t="str">
        <f>IFERROR(__xludf.DUMMYFUNCTION("""COMPUTED_VALUE"""),"spike deer")</f>
        <v>spike deer</v>
      </c>
      <c r="B763" s="15" t="str">
        <f>IFERROR(__xludf.DUMMYFUNCTION("""COMPUTED_VALUE"""),"1900")</f>
        <v>1900</v>
      </c>
      <c r="C763" s="15" t="str">
        <f>IFERROR(__xludf.DUMMYFUNCTION("""COMPUTED_VALUE"""),"Not ranking")</f>
        <v>Not ranking</v>
      </c>
      <c r="D763" s="15" t="str">
        <f>IFERROR(__xludf.DUMMYFUNCTION("""COMPUTED_VALUE"""),"Not ranking")</f>
        <v>Not ranking</v>
      </c>
      <c r="E763" s="15" t="str">
        <f>IFERROR(__xludf.DUMMYFUNCTION("""COMPUTED_VALUE"""),"22")</f>
        <v>22</v>
      </c>
      <c r="F763" s="18" t="str">
        <f>IFERROR(__xludf.DUMMYFUNCTION("""COMPUTED_VALUE"""),"Not ranking")</f>
        <v>Not ranking</v>
      </c>
      <c r="G763" s="18" t="str">
        <f>IFERROR(__xludf.DUMMYFUNCTION("""COMPUTED_VALUE"""),"Not ranking")</f>
        <v>Not ranking</v>
      </c>
      <c r="H763" s="17" t="str">
        <f>IFERROR(__xludf.DUMMYFUNCTION("""COMPUTED_VALUE"""),"https://www.wideopenspaces.com/spike-deer-science/")</f>
        <v>https://www.wideopenspaces.com/spike-deer-science/</v>
      </c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5" t="str">
        <f>IFERROR(__xludf.DUMMYFUNCTION("""COMPUTED_VALUE"""),"spotted deer")</f>
        <v>spotted deer</v>
      </c>
      <c r="B764" s="15" t="str">
        <f>IFERROR(__xludf.DUMMYFUNCTION("""COMPUTED_VALUE"""),"1900")</f>
        <v>1900</v>
      </c>
      <c r="C764" s="15" t="str">
        <f>IFERROR(__xludf.DUMMYFUNCTION("""COMPUTED_VALUE"""),"Not ranking")</f>
        <v>Not ranking</v>
      </c>
      <c r="D764" s="15" t="str">
        <f>IFERROR(__xludf.DUMMYFUNCTION("""COMPUTED_VALUE"""),"Not ranking")</f>
        <v>Not ranking</v>
      </c>
      <c r="E764" s="15" t="str">
        <f>IFERROR(__xludf.DUMMYFUNCTION("""COMPUTED_VALUE"""),"15")</f>
        <v>15</v>
      </c>
      <c r="F764" s="18" t="str">
        <f>IFERROR(__xludf.DUMMYFUNCTION("""COMPUTED_VALUE"""),"Not ranking")</f>
        <v>Not ranking</v>
      </c>
      <c r="G764" s="18" t="str">
        <f>IFERROR(__xludf.DUMMYFUNCTION("""COMPUTED_VALUE"""),"Not ranking")</f>
        <v>Not ranking</v>
      </c>
      <c r="H764" s="17" t="str">
        <f>IFERROR(__xludf.DUMMYFUNCTION("""COMPUTED_VALUE"""),"https://www.wideopenspaces.com/invasion-axis-deer/")</f>
        <v>https://www.wideopenspaces.com/invasion-axis-deer/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5" t="str">
        <f>IFERROR(__xludf.DUMMYFUNCTION("""COMPUTED_VALUE"""),"the legacy of a whitetail deer hunter")</f>
        <v>the legacy of a whitetail deer hunter</v>
      </c>
      <c r="B765" s="15" t="str">
        <f>IFERROR(__xludf.DUMMYFUNCTION("""COMPUTED_VALUE"""),"1900")</f>
        <v>1900</v>
      </c>
      <c r="C765" s="15" t="str">
        <f>IFERROR(__xludf.DUMMYFUNCTION("""COMPUTED_VALUE"""),"Not ranking")</f>
        <v>Not ranking</v>
      </c>
      <c r="D765" s="15" t="str">
        <f>IFERROR(__xludf.DUMMYFUNCTION("""COMPUTED_VALUE"""),"Not ranking")</f>
        <v>Not ranking</v>
      </c>
      <c r="E765" s="15" t="str">
        <f>IFERROR(__xludf.DUMMYFUNCTION("""COMPUTED_VALUE"""),"13")</f>
        <v>13</v>
      </c>
      <c r="F765" s="18" t="str">
        <f>IFERROR(__xludf.DUMMYFUNCTION("""COMPUTED_VALUE"""),"Not ranking")</f>
        <v>Not ranking</v>
      </c>
      <c r="G765" s="18" t="str">
        <f>IFERROR(__xludf.DUMMYFUNCTION("""COMPUTED_VALUE"""),"Not ranking")</f>
        <v>Not ranking</v>
      </c>
      <c r="H765" s="17" t="str">
        <f>IFERROR(__xludf.DUMMYFUNCTION("""COMPUTED_VALUE"""),"https://www.wideopenspaces.com/the-legacy-of-a-whitetail-deer-hunter/")</f>
        <v>https://www.wideopenspaces.com/the-legacy-of-a-whitetail-deer-hunter/</v>
      </c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5" t="str">
        <f>IFERROR(__xludf.DUMMYFUNCTION("""COMPUTED_VALUE"""),"tn deer season")</f>
        <v>tn deer season</v>
      </c>
      <c r="B766" s="15" t="str">
        <f>IFERROR(__xludf.DUMMYFUNCTION("""COMPUTED_VALUE"""),"1900")</f>
        <v>1900</v>
      </c>
      <c r="C766" s="15" t="str">
        <f>IFERROR(__xludf.DUMMYFUNCTION("""COMPUTED_VALUE"""),"Not ranking")</f>
        <v>Not ranking</v>
      </c>
      <c r="D766" s="15" t="str">
        <f>IFERROR(__xludf.DUMMYFUNCTION("""COMPUTED_VALUE"""),"89")</f>
        <v>89</v>
      </c>
      <c r="E766" s="15" t="str">
        <f>IFERROR(__xludf.DUMMYFUNCTION("""COMPUTED_VALUE"""),"64")</f>
        <v>64</v>
      </c>
      <c r="F766" s="18" t="str">
        <f>IFERROR(__xludf.DUMMYFUNCTION("""COMPUTED_VALUE"""),"Not ranking")</f>
        <v>Not ranking</v>
      </c>
      <c r="G766" s="17" t="str">
        <f>IFERROR(__xludf.DUMMYFUNCTION("""COMPUTED_VALUE"""),"https://realtree.com/deer-hunting/articles/deer-hunting-the-late-season")</f>
        <v>https://realtree.com/deer-hunting/articles/deer-hunting-the-late-season</v>
      </c>
      <c r="H766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5" t="str">
        <f>IFERROR(__xludf.DUMMYFUNCTION("""COMPUTED_VALUE"""),"what is ehd in deer")</f>
        <v>what is ehd in deer</v>
      </c>
      <c r="B767" s="15" t="str">
        <f>IFERROR(__xludf.DUMMYFUNCTION("""COMPUTED_VALUE"""),"1900")</f>
        <v>1900</v>
      </c>
      <c r="C767" s="15" t="str">
        <f>IFERROR(__xludf.DUMMYFUNCTION("""COMPUTED_VALUE"""),"Not ranking")</f>
        <v>Not ranking</v>
      </c>
      <c r="D767" s="15" t="str">
        <f>IFERROR(__xludf.DUMMYFUNCTION("""COMPUTED_VALUE"""),"45")</f>
        <v>45</v>
      </c>
      <c r="E767" s="15" t="str">
        <f>IFERROR(__xludf.DUMMYFUNCTION("""COMPUTED_VALUE"""),"Not ranking")</f>
        <v>Not ranking</v>
      </c>
      <c r="F767" s="18" t="str">
        <f>IFERROR(__xludf.DUMMYFUNCTION("""COMPUTED_VALUE"""),"Not ranking")</f>
        <v>Not ranking</v>
      </c>
      <c r="G767" s="17" t="str">
        <f>IFERROR(__xludf.DUMMYFUNCTION("""COMPUTED_VALUE"""),"https://realtree.com/brow-tines-and-backstrap/will-ehd-be-a-factor-this-deer-season")</f>
        <v>https://realtree.com/brow-tines-and-backstrap/will-ehd-be-a-factor-this-deer-season</v>
      </c>
      <c r="H767" s="18" t="str">
        <f>IFERROR(__xludf.DUMMYFUNCTION("""COMPUTED_VALUE"""),"Not ranking")</f>
        <v>Not ranking</v>
      </c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5" t="str">
        <f>IFERROR(__xludf.DUMMYFUNCTION("""COMPUTED_VALUE"""),"alabama deer season 2022")</f>
        <v>alabama deer season 2022</v>
      </c>
      <c r="B768" s="15" t="str">
        <f>IFERROR(__xludf.DUMMYFUNCTION("""COMPUTED_VALUE"""),"1600")</f>
        <v>1600</v>
      </c>
      <c r="C768" s="15" t="str">
        <f>IFERROR(__xludf.DUMMYFUNCTION("""COMPUTED_VALUE"""),"Not ranking")</f>
        <v>Not ranking</v>
      </c>
      <c r="D768" s="15" t="str">
        <f>IFERROR(__xludf.DUMMYFUNCTION("""COMPUTED_VALUE"""),"28")</f>
        <v>28</v>
      </c>
      <c r="E768" s="15" t="str">
        <f>IFERROR(__xludf.DUMMYFUNCTION("""COMPUTED_VALUE"""),"64")</f>
        <v>64</v>
      </c>
      <c r="F768" s="18" t="str">
        <f>IFERROR(__xludf.DUMMYFUNCTION("""COMPUTED_VALUE"""),"Not ranking")</f>
        <v>Not ranking</v>
      </c>
      <c r="G768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68" s="17" t="str">
        <f>IFERROR(__xludf.DUMMYFUNCTION("""COMPUTED_VALUE"""),"https://www.wideopenspaces.com/alabama-hunting-license/")</f>
        <v>https://www.wideopenspaces.com/alabama-hunting-license/</v>
      </c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5" t="str">
        <f>IFERROR(__xludf.DUMMYFUNCTION("""COMPUTED_VALUE"""),"arkansas deer season 2022")</f>
        <v>arkansas deer season 2022</v>
      </c>
      <c r="B769" s="15" t="str">
        <f>IFERROR(__xludf.DUMMYFUNCTION("""COMPUTED_VALUE"""),"1600")</f>
        <v>1600</v>
      </c>
      <c r="C769" s="15" t="str">
        <f>IFERROR(__xludf.DUMMYFUNCTION("""COMPUTED_VALUE"""),"Not ranking")</f>
        <v>Not ranking</v>
      </c>
      <c r="D769" s="15" t="str">
        <f>IFERROR(__xludf.DUMMYFUNCTION("""COMPUTED_VALUE"""),"27")</f>
        <v>27</v>
      </c>
      <c r="E769" s="15" t="str">
        <f>IFERROR(__xludf.DUMMYFUNCTION("""COMPUTED_VALUE"""),"Not ranking")</f>
        <v>Not ranking</v>
      </c>
      <c r="F769" s="18" t="str">
        <f>IFERROR(__xludf.DUMMYFUNCTION("""COMPUTED_VALUE"""),"Not ranking")</f>
        <v>Not ranking</v>
      </c>
      <c r="G76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69" s="18" t="str">
        <f>IFERROR(__xludf.DUMMYFUNCTION("""COMPUTED_VALUE"""),"Not ranking")</f>
        <v>Not ranking</v>
      </c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5" t="str">
        <f>IFERROR(__xludf.DUMMYFUNCTION("""COMPUTED_VALUE"""),"automatic deer feeder")</f>
        <v>automatic deer feeder</v>
      </c>
      <c r="B770" s="15" t="str">
        <f>IFERROR(__xludf.DUMMYFUNCTION("""COMPUTED_VALUE"""),"1600")</f>
        <v>1600</v>
      </c>
      <c r="C770" s="15" t="str">
        <f>IFERROR(__xludf.DUMMYFUNCTION("""COMPUTED_VALUE"""),"Not ranking")</f>
        <v>Not ranking</v>
      </c>
      <c r="D770" s="15" t="str">
        <f>IFERROR(__xludf.DUMMYFUNCTION("""COMPUTED_VALUE"""),"Not ranking")</f>
        <v>Not ranking</v>
      </c>
      <c r="E770" s="15" t="str">
        <f>IFERROR(__xludf.DUMMYFUNCTION("""COMPUTED_VALUE"""),"82")</f>
        <v>82</v>
      </c>
      <c r="F770" s="18" t="str">
        <f>IFERROR(__xludf.DUMMYFUNCTION("""COMPUTED_VALUE"""),"Not ranking")</f>
        <v>Not ranking</v>
      </c>
      <c r="G770" s="18" t="str">
        <f>IFERROR(__xludf.DUMMYFUNCTION("""COMPUTED_VALUE"""),"Not ranking")</f>
        <v>Not ranking</v>
      </c>
      <c r="H770" s="17" t="str">
        <f>IFERROR(__xludf.DUMMYFUNCTION("""COMPUTED_VALUE"""),"https://www.wideopenspaces.com/best-deer-feeders/")</f>
        <v>https://www.wideopenspaces.com/best-deer-feeders/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5" t="str">
        <f>IFERROR(__xludf.DUMMYFUNCTION("""COMPUTED_VALUE"""),"backpack deer mount")</f>
        <v>backpack deer mount</v>
      </c>
      <c r="B771" s="15" t="str">
        <f>IFERROR(__xludf.DUMMYFUNCTION("""COMPUTED_VALUE"""),"1600")</f>
        <v>1600</v>
      </c>
      <c r="C771" s="15" t="str">
        <f>IFERROR(__xludf.DUMMYFUNCTION("""COMPUTED_VALUE"""),"Not ranking")</f>
        <v>Not ranking</v>
      </c>
      <c r="D771" s="15" t="str">
        <f>IFERROR(__xludf.DUMMYFUNCTION("""COMPUTED_VALUE"""),"62")</f>
        <v>62</v>
      </c>
      <c r="E771" s="15" t="str">
        <f>IFERROR(__xludf.DUMMYFUNCTION("""COMPUTED_VALUE"""),"Not ranking")</f>
        <v>Not ranking</v>
      </c>
      <c r="F771" s="18" t="str">
        <f>IFERROR(__xludf.DUMMYFUNCTION("""COMPUTED_VALUE"""),"Not ranking")</f>
        <v>Not ranking</v>
      </c>
      <c r="G771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771" s="18" t="str">
        <f>IFERROR(__xludf.DUMMYFUNCTION("""COMPUTED_VALUE"""),"Not ranking")</f>
        <v>Not ranking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5" t="str">
        <f>IFERROR(__xludf.DUMMYFUNCTION("""COMPUTED_VALUE"""),"black widow deer lures")</f>
        <v>black widow deer lures</v>
      </c>
      <c r="B772" s="15" t="str">
        <f>IFERROR(__xludf.DUMMYFUNCTION("""COMPUTED_VALUE"""),"1600")</f>
        <v>1600</v>
      </c>
      <c r="C772" s="15" t="str">
        <f>IFERROR(__xludf.DUMMYFUNCTION("""COMPUTED_VALUE"""),"Not ranking")</f>
        <v>Not ranking</v>
      </c>
      <c r="D772" s="15" t="str">
        <f>IFERROR(__xludf.DUMMYFUNCTION("""COMPUTED_VALUE"""),"62")</f>
        <v>62</v>
      </c>
      <c r="E772" s="15" t="str">
        <f>IFERROR(__xludf.DUMMYFUNCTION("""COMPUTED_VALUE"""),"Not ranking")</f>
        <v>Not ranking</v>
      </c>
      <c r="F772" s="18" t="str">
        <f>IFERROR(__xludf.DUMMYFUNCTION("""COMPUTED_VALUE"""),"Not ranking")</f>
        <v>Not ranking</v>
      </c>
      <c r="G772" s="17" t="str">
        <f>IFERROR(__xludf.DUMMYFUNCTION("""COMPUTED_VALUE"""),"https://realtree.com/deer-hunting/articles/the-deer-pee-empire")</f>
        <v>https://realtree.com/deer-hunting/articles/the-deer-pee-empire</v>
      </c>
      <c r="H772" s="18" t="str">
        <f>IFERROR(__xludf.DUMMYFUNCTION("""COMPUTED_VALUE"""),"Not ranking")</f>
        <v>Not ranking</v>
      </c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5" t="str">
        <f>IFERROR(__xludf.DUMMYFUNCTION("""COMPUTED_VALUE"""),"deer and hunter costume")</f>
        <v>deer and hunter costume</v>
      </c>
      <c r="B773" s="15" t="str">
        <f>IFERROR(__xludf.DUMMYFUNCTION("""COMPUTED_VALUE"""),"1600")</f>
        <v>1600</v>
      </c>
      <c r="C773" s="15" t="str">
        <f>IFERROR(__xludf.DUMMYFUNCTION("""COMPUTED_VALUE"""),"Not ranking")</f>
        <v>Not ranking</v>
      </c>
      <c r="D773" s="15" t="str">
        <f>IFERROR(__xludf.DUMMYFUNCTION("""COMPUTED_VALUE"""),"Not ranking")</f>
        <v>Not ranking</v>
      </c>
      <c r="E773" s="15" t="str">
        <f>IFERROR(__xludf.DUMMYFUNCTION("""COMPUTED_VALUE"""),"54")</f>
        <v>54</v>
      </c>
      <c r="F773" s="18" t="str">
        <f>IFERROR(__xludf.DUMMYFUNCTION("""COMPUTED_VALUE"""),"Not ranking")</f>
        <v>Not ranking</v>
      </c>
      <c r="G773" s="18" t="str">
        <f>IFERROR(__xludf.DUMMYFUNCTION("""COMPUTED_VALUE"""),"Not ranking")</f>
        <v>Not ranking</v>
      </c>
      <c r="H773" s="17" t="str">
        <f>IFERROR(__xludf.DUMMYFUNCTION("""COMPUTED_VALUE"""),"https://www.wideopenspaces.com/10-hunting-halloween-costumes/")</f>
        <v>https://www.wideopenspaces.com/10-hunting-halloween-costumes/</v>
      </c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5" t="str">
        <f>IFERROR(__xludf.DUMMYFUNCTION("""COMPUTED_VALUE"""),"deer antler mount")</f>
        <v>deer antler mount</v>
      </c>
      <c r="B774" s="15" t="str">
        <f>IFERROR(__xludf.DUMMYFUNCTION("""COMPUTED_VALUE"""),"1600")</f>
        <v>1600</v>
      </c>
      <c r="C774" s="15" t="str">
        <f>IFERROR(__xludf.DUMMYFUNCTION("""COMPUTED_VALUE"""),"Not ranking")</f>
        <v>Not ranking</v>
      </c>
      <c r="D774" s="15" t="str">
        <f>IFERROR(__xludf.DUMMYFUNCTION("""COMPUTED_VALUE"""),"62")</f>
        <v>62</v>
      </c>
      <c r="E774" s="15" t="str">
        <f>IFERROR(__xludf.DUMMYFUNCTION("""COMPUTED_VALUE"""),"Not ranking")</f>
        <v>Not ranking</v>
      </c>
      <c r="F774" s="18" t="str">
        <f>IFERROR(__xludf.DUMMYFUNCTION("""COMPUTED_VALUE"""),"Not ranking")</f>
        <v>Not ranking</v>
      </c>
      <c r="G774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774" s="18" t="str">
        <f>IFERROR(__xludf.DUMMYFUNCTION("""COMPUTED_VALUE"""),"Not ranking")</f>
        <v>Not ranking</v>
      </c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5" t="str">
        <f>IFERROR(__xludf.DUMMYFUNCTION("""COMPUTED_VALUE"""),"deer antlers for sale")</f>
        <v>deer antlers for sale</v>
      </c>
      <c r="B775" s="15" t="str">
        <f>IFERROR(__xludf.DUMMYFUNCTION("""COMPUTED_VALUE"""),"1600")</f>
        <v>1600</v>
      </c>
      <c r="C775" s="15" t="str">
        <f>IFERROR(__xludf.DUMMYFUNCTION("""COMPUTED_VALUE"""),"Not ranking")</f>
        <v>Not ranking</v>
      </c>
      <c r="D775" s="15" t="str">
        <f>IFERROR(__xludf.DUMMYFUNCTION("""COMPUTED_VALUE"""),"64")</f>
        <v>64</v>
      </c>
      <c r="E775" s="15" t="str">
        <f>IFERROR(__xludf.DUMMYFUNCTION("""COMPUTED_VALUE"""),"Not ranking")</f>
        <v>Not ranking</v>
      </c>
      <c r="F775" s="18" t="str">
        <f>IFERROR(__xludf.DUMMYFUNCTION("""COMPUTED_VALUE"""),"Not ranking")</f>
        <v>Not ranking</v>
      </c>
      <c r="G775" s="17" t="str">
        <f>IFERROR(__xludf.DUMMYFUNCTION("""COMPUTED_VALUE"""),"https://realtree.com/all/articles/antler-trivia")</f>
        <v>https://realtree.com/all/articles/antler-trivia</v>
      </c>
      <c r="H775" s="18" t="str">
        <f>IFERROR(__xludf.DUMMYFUNCTION("""COMPUTED_VALUE"""),"Not ranking")</f>
        <v>Not ranking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5" t="str">
        <f>IFERROR(__xludf.DUMMYFUNCTION("""COMPUTED_VALUE"""),"deer carts")</f>
        <v>deer carts</v>
      </c>
      <c r="B776" s="15" t="str">
        <f>IFERROR(__xludf.DUMMYFUNCTION("""COMPUTED_VALUE"""),"1600")</f>
        <v>1600</v>
      </c>
      <c r="C776" s="15" t="str">
        <f>IFERROR(__xludf.DUMMYFUNCTION("""COMPUTED_VALUE"""),"Not ranking")</f>
        <v>Not ranking</v>
      </c>
      <c r="D776" s="15" t="str">
        <f>IFERROR(__xludf.DUMMYFUNCTION("""COMPUTED_VALUE"""),"Not ranking")</f>
        <v>Not ranking</v>
      </c>
      <c r="E776" s="15" t="str">
        <f>IFERROR(__xludf.DUMMYFUNCTION("""COMPUTED_VALUE"""),"21")</f>
        <v>21</v>
      </c>
      <c r="F776" s="18" t="str">
        <f>IFERROR(__xludf.DUMMYFUNCTION("""COMPUTED_VALUE"""),"Not ranking")</f>
        <v>Not ranking</v>
      </c>
      <c r="G776" s="18" t="str">
        <f>IFERROR(__xludf.DUMMYFUNCTION("""COMPUTED_VALUE"""),"Not ranking")</f>
        <v>Not ranking</v>
      </c>
      <c r="H776" s="17" t="str">
        <f>IFERROR(__xludf.DUMMYFUNCTION("""COMPUTED_VALUE"""),"https://www.wideopenspaces.com/best-deer-carts/")</f>
        <v>https://www.wideopenspaces.com/best-deer-carts/</v>
      </c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5" t="str">
        <f>IFERROR(__xludf.DUMMYFUNCTION("""COMPUTED_VALUE"""),"deer corn for sale near me")</f>
        <v>deer corn for sale near me</v>
      </c>
      <c r="B777" s="15" t="str">
        <f>IFERROR(__xludf.DUMMYFUNCTION("""COMPUTED_VALUE"""),"1600")</f>
        <v>1600</v>
      </c>
      <c r="C777" s="15" t="str">
        <f>IFERROR(__xludf.DUMMYFUNCTION("""COMPUTED_VALUE"""),"Not ranking")</f>
        <v>Not ranking</v>
      </c>
      <c r="D777" s="15" t="str">
        <f>IFERROR(__xludf.DUMMYFUNCTION("""COMPUTED_VALUE"""),"67")</f>
        <v>67</v>
      </c>
      <c r="E777" s="15" t="str">
        <f>IFERROR(__xludf.DUMMYFUNCTION("""COMPUTED_VALUE"""),"Not ranking")</f>
        <v>Not ranking</v>
      </c>
      <c r="F777" s="18" t="str">
        <f>IFERROR(__xludf.DUMMYFUNCTION("""COMPUTED_VALUE"""),"Not ranking")</f>
        <v>Not ranking</v>
      </c>
      <c r="G777" s="17" t="str">
        <f>IFERROR(__xludf.DUMMYFUNCTION("""COMPUTED_VALUE"""),"https://realtree.com/")</f>
        <v>https://realtree.com/</v>
      </c>
      <c r="H777" s="18" t="str">
        <f>IFERROR(__xludf.DUMMYFUNCTION("""COMPUTED_VALUE"""),"Not ranking")</f>
        <v>Not ranking</v>
      </c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5" t="str">
        <f>IFERROR(__xludf.DUMMYFUNCTION("""COMPUTED_VALUE"""),"deer face paint")</f>
        <v>deer face paint</v>
      </c>
      <c r="B778" s="15" t="str">
        <f>IFERROR(__xludf.DUMMYFUNCTION("""COMPUTED_VALUE"""),"1600")</f>
        <v>1600</v>
      </c>
      <c r="C778" s="15" t="str">
        <f>IFERROR(__xludf.DUMMYFUNCTION("""COMPUTED_VALUE"""),"Not ranking")</f>
        <v>Not ranking</v>
      </c>
      <c r="D778" s="15" t="str">
        <f>IFERROR(__xludf.DUMMYFUNCTION("""COMPUTED_VALUE"""),"Not ranking")</f>
        <v>Not ranking</v>
      </c>
      <c r="E778" s="15" t="str">
        <f>IFERROR(__xludf.DUMMYFUNCTION("""COMPUTED_VALUE"""),"54")</f>
        <v>54</v>
      </c>
      <c r="F778" s="18" t="str">
        <f>IFERROR(__xludf.DUMMYFUNCTION("""COMPUTED_VALUE"""),"Not ranking")</f>
        <v>Not ranking</v>
      </c>
      <c r="G778" s="18" t="str">
        <f>IFERROR(__xludf.DUMMYFUNCTION("""COMPUTED_VALUE"""),"Not ranking")</f>
        <v>Not ranking</v>
      </c>
      <c r="H778" s="17" t="str">
        <f>IFERROR(__xludf.DUMMYFUNCTION("""COMPUTED_VALUE"""),"https://www.wideopenspaces.com/best-camo-face-paint/")</f>
        <v>https://www.wideopenspaces.com/best-camo-face-paint/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5" t="str">
        <f>IFERROR(__xludf.DUMMYFUNCTION("""COMPUTED_VALUE"""),"deer feeding chart")</f>
        <v>deer feeding chart</v>
      </c>
      <c r="B779" s="15" t="str">
        <f>IFERROR(__xludf.DUMMYFUNCTION("""COMPUTED_VALUE"""),"1600")</f>
        <v>1600</v>
      </c>
      <c r="C779" s="15" t="str">
        <f>IFERROR(__xludf.DUMMYFUNCTION("""COMPUTED_VALUE"""),"Not ranking")</f>
        <v>Not ranking</v>
      </c>
      <c r="D779" s="15" t="str">
        <f>IFERROR(__xludf.DUMMYFUNCTION("""COMPUTED_VALUE"""),"31")</f>
        <v>31</v>
      </c>
      <c r="E779" s="15" t="str">
        <f>IFERROR(__xludf.DUMMYFUNCTION("""COMPUTED_VALUE"""),"16")</f>
        <v>16</v>
      </c>
      <c r="F779" s="18" t="str">
        <f>IFERROR(__xludf.DUMMYFUNCTION("""COMPUTED_VALUE"""),"Not ranking")</f>
        <v>Not ranking</v>
      </c>
      <c r="G779" s="17" t="str">
        <f>IFERROR(__xludf.DUMMYFUNCTION("""COMPUTED_VALUE"""),"https://realtree.com/fish-game-forecaster")</f>
        <v>https://realtree.com/fish-game-forecaster</v>
      </c>
      <c r="H779" s="17" t="str">
        <f>IFERROR(__xludf.DUMMYFUNCTION("""COMPUTED_VALUE"""),"https://www.wideopenspaces.com/deer-feeding-times/")</f>
        <v>https://www.wideopenspaces.com/deer-feeding-times/</v>
      </c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5" t="str">
        <f>IFERROR(__xludf.DUMMYFUNCTION("""COMPUTED_VALUE"""),"deer hoof")</f>
        <v>deer hoof</v>
      </c>
      <c r="B780" s="15" t="str">
        <f>IFERROR(__xludf.DUMMYFUNCTION("""COMPUTED_VALUE"""),"1600")</f>
        <v>1600</v>
      </c>
      <c r="C780" s="15" t="str">
        <f>IFERROR(__xludf.DUMMYFUNCTION("""COMPUTED_VALUE"""),"Not ranking")</f>
        <v>Not ranking</v>
      </c>
      <c r="D780" s="15" t="str">
        <f>IFERROR(__xludf.DUMMYFUNCTION("""COMPUTED_VALUE"""),"Not ranking")</f>
        <v>Not ranking</v>
      </c>
      <c r="E780" s="15" t="str">
        <f>IFERROR(__xludf.DUMMYFUNCTION("""COMPUTED_VALUE"""),"58")</f>
        <v>58</v>
      </c>
      <c r="F780" s="18" t="str">
        <f>IFERROR(__xludf.DUMMYFUNCTION("""COMPUTED_VALUE"""),"Not ranking")</f>
        <v>Not ranking</v>
      </c>
      <c r="G780" s="18" t="str">
        <f>IFERROR(__xludf.DUMMYFUNCTION("""COMPUTED_VALUE"""),"Not ranking")</f>
        <v>Not ranking</v>
      </c>
      <c r="H780" s="17" t="str">
        <f>IFERROR(__xludf.DUMMYFUNCTION("""COMPUTED_VALUE"""),"https://www.wideopenspaces.com/deer-hooves-what-theyre-made-from-and-indicators-of-health/")</f>
        <v>https://www.wideopenspaces.com/deer-hooves-what-theyre-made-from-and-indicators-of-health/</v>
      </c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5" t="str">
        <f>IFERROR(__xludf.DUMMYFUNCTION("""COMPUTED_VALUE"""),"deer movement times by zip code")</f>
        <v>deer movement times by zip code</v>
      </c>
      <c r="B781" s="15" t="str">
        <f>IFERROR(__xludf.DUMMYFUNCTION("""COMPUTED_VALUE"""),"1600")</f>
        <v>1600</v>
      </c>
      <c r="C781" s="15" t="str">
        <f>IFERROR(__xludf.DUMMYFUNCTION("""COMPUTED_VALUE"""),"Not ranking")</f>
        <v>Not ranking</v>
      </c>
      <c r="D781" s="15" t="str">
        <f>IFERROR(__xludf.DUMMYFUNCTION("""COMPUTED_VALUE"""),"28")</f>
        <v>28</v>
      </c>
      <c r="E781" s="15" t="str">
        <f>IFERROR(__xludf.DUMMYFUNCTION("""COMPUTED_VALUE"""),"22")</f>
        <v>22</v>
      </c>
      <c r="F781" s="18" t="str">
        <f>IFERROR(__xludf.DUMMYFUNCTION("""COMPUTED_VALUE"""),"Not ranking")</f>
        <v>Not ranking</v>
      </c>
      <c r="G781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781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5" t="str">
        <f>IFERROR(__xludf.DUMMYFUNCTION("""COMPUTED_VALUE"""),"deer names")</f>
        <v>deer names</v>
      </c>
      <c r="B782" s="15" t="str">
        <f>IFERROR(__xludf.DUMMYFUNCTION("""COMPUTED_VALUE"""),"1600")</f>
        <v>1600</v>
      </c>
      <c r="C782" s="15" t="str">
        <f>IFERROR(__xludf.DUMMYFUNCTION("""COMPUTED_VALUE"""),"Not ranking")</f>
        <v>Not ranking</v>
      </c>
      <c r="D782" s="15" t="str">
        <f>IFERROR(__xludf.DUMMYFUNCTION("""COMPUTED_VALUE"""),"Not ranking")</f>
        <v>Not ranking</v>
      </c>
      <c r="E782" s="15" t="str">
        <f>IFERROR(__xludf.DUMMYFUNCTION("""COMPUTED_VALUE"""),"11")</f>
        <v>11</v>
      </c>
      <c r="F782" s="18" t="str">
        <f>IFERROR(__xludf.DUMMYFUNCTION("""COMPUTED_VALUE"""),"Not ranking")</f>
        <v>Not ranking</v>
      </c>
      <c r="G782" s="18" t="str">
        <f>IFERROR(__xludf.DUMMYFUNCTION("""COMPUTED_VALUE"""),"Not ranking")</f>
        <v>Not ranking</v>
      </c>
      <c r="H782" s="17" t="str">
        <f>IFERROR(__xludf.DUMMYFUNCTION("""COMPUTED_VALUE"""),"https://www.wideopenspaces.com/trouble-naming-your-hit-list-buck-65-buck-nicknames/")</f>
        <v>https://www.wideopenspaces.com/trouble-naming-your-hit-list-buck-65-buck-nicknames/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5" t="str">
        <f>IFERROR(__xludf.DUMMYFUNCTION("""COMPUTED_VALUE"""),"deer poop vs rabbit poop")</f>
        <v>deer poop vs rabbit poop</v>
      </c>
      <c r="B783" s="15" t="str">
        <f>IFERROR(__xludf.DUMMYFUNCTION("""COMPUTED_VALUE"""),"1600")</f>
        <v>1600</v>
      </c>
      <c r="C783" s="15" t="str">
        <f>IFERROR(__xludf.DUMMYFUNCTION("""COMPUTED_VALUE"""),"Not ranking")</f>
        <v>Not ranking</v>
      </c>
      <c r="D783" s="15" t="str">
        <f>IFERROR(__xludf.DUMMYFUNCTION("""COMPUTED_VALUE"""),"24")</f>
        <v>24</v>
      </c>
      <c r="E783" s="15" t="str">
        <f>IFERROR(__xludf.DUMMYFUNCTION("""COMPUTED_VALUE"""),"29")</f>
        <v>29</v>
      </c>
      <c r="F783" s="18" t="str">
        <f>IFERROR(__xludf.DUMMYFUNCTION("""COMPUTED_VALUE"""),"Not ranking")</f>
        <v>Not ranking</v>
      </c>
      <c r="G783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783" s="17" t="str">
        <f>IFERROR(__xludf.DUMMYFUNCTION("""COMPUTED_VALUE"""),"https://www.wideopenspaces.com/deer-poop-identification/")</f>
        <v>https://www.wideopenspaces.com/deer-poop-identification/</v>
      </c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5" t="str">
        <f>IFERROR(__xludf.DUMMYFUNCTION("""COMPUTED_VALUE"""),"deer puns")</f>
        <v>deer puns</v>
      </c>
      <c r="B784" s="15" t="str">
        <f>IFERROR(__xludf.DUMMYFUNCTION("""COMPUTED_VALUE"""),"1600")</f>
        <v>1600</v>
      </c>
      <c r="C784" s="15" t="str">
        <f>IFERROR(__xludf.DUMMYFUNCTION("""COMPUTED_VALUE"""),"Not ranking")</f>
        <v>Not ranking</v>
      </c>
      <c r="D784" s="15" t="str">
        <f>IFERROR(__xludf.DUMMYFUNCTION("""COMPUTED_VALUE"""),"Not ranking")</f>
        <v>Not ranking</v>
      </c>
      <c r="E784" s="15" t="str">
        <f>IFERROR(__xludf.DUMMYFUNCTION("""COMPUTED_VALUE"""),"62")</f>
        <v>62</v>
      </c>
      <c r="F784" s="18" t="str">
        <f>IFERROR(__xludf.DUMMYFUNCTION("""COMPUTED_VALUE"""),"Not ranking")</f>
        <v>Not ranking</v>
      </c>
      <c r="G784" s="18" t="str">
        <f>IFERROR(__xludf.DUMMYFUNCTION("""COMPUTED_VALUE"""),"Not ranking")</f>
        <v>Not ranking</v>
      </c>
      <c r="H784" s="17" t="str">
        <f>IFERROR(__xludf.DUMMYFUNCTION("""COMPUTED_VALUE"""),"https://www.wideopenspaces.com/19-deer-hunting-jokes/")</f>
        <v>https://www.wideopenspaces.com/19-deer-hunting-jokes/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5" t="str">
        <f>IFERROR(__xludf.DUMMYFUNCTION("""COMPUTED_VALUE"""),"deer season arkansas 2022")</f>
        <v>deer season arkansas 2022</v>
      </c>
      <c r="B785" s="15" t="str">
        <f>IFERROR(__xludf.DUMMYFUNCTION("""COMPUTED_VALUE"""),"1600")</f>
        <v>1600</v>
      </c>
      <c r="C785" s="15" t="str">
        <f>IFERROR(__xludf.DUMMYFUNCTION("""COMPUTED_VALUE"""),"Not ranking")</f>
        <v>Not ranking</v>
      </c>
      <c r="D785" s="15" t="str">
        <f>IFERROR(__xludf.DUMMYFUNCTION("""COMPUTED_VALUE"""),"97")</f>
        <v>97</v>
      </c>
      <c r="E785" s="15" t="str">
        <f>IFERROR(__xludf.DUMMYFUNCTION("""COMPUTED_VALUE"""),"Not ranking")</f>
        <v>Not ranking</v>
      </c>
      <c r="F785" s="18" t="str">
        <f>IFERROR(__xludf.DUMMYFUNCTION("""COMPUTED_VALUE"""),"Not ranking")</f>
        <v>Not ranking</v>
      </c>
      <c r="G785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85" s="18" t="str">
        <f>IFERROR(__xludf.DUMMYFUNCTION("""COMPUTED_VALUE"""),"Not ranking")</f>
        <v>Not ranking</v>
      </c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5" t="str">
        <f>IFERROR(__xludf.DUMMYFUNCTION("""COMPUTED_VALUE"""),"deer season ga")</f>
        <v>deer season ga</v>
      </c>
      <c r="B786" s="15" t="str">
        <f>IFERROR(__xludf.DUMMYFUNCTION("""COMPUTED_VALUE"""),"1600")</f>
        <v>1600</v>
      </c>
      <c r="C786" s="15" t="str">
        <f>IFERROR(__xludf.DUMMYFUNCTION("""COMPUTED_VALUE"""),"Not ranking")</f>
        <v>Not ranking</v>
      </c>
      <c r="D786" s="15" t="str">
        <f>IFERROR(__xludf.DUMMYFUNCTION("""COMPUTED_VALUE"""),"Not ranking")</f>
        <v>Not ranking</v>
      </c>
      <c r="E786" s="15" t="str">
        <f>IFERROR(__xludf.DUMMYFUNCTION("""COMPUTED_VALUE"""),"32")</f>
        <v>32</v>
      </c>
      <c r="F786" s="18" t="str">
        <f>IFERROR(__xludf.DUMMYFUNCTION("""COMPUTED_VALUE"""),"Not ranking")</f>
        <v>Not ranking</v>
      </c>
      <c r="G786" s="18" t="str">
        <f>IFERROR(__xludf.DUMMYFUNCTION("""COMPUTED_VALUE"""),"Not ranking")</f>
        <v>Not ranking</v>
      </c>
      <c r="H786" s="17" t="str">
        <f>IFERROR(__xludf.DUMMYFUNCTION("""COMPUTED_VALUE"""),"https://www.wideopenspaces.com/when-does-deer-season-end-in-georgia/")</f>
        <v>https://www.wideopenspaces.com/when-does-deer-season-end-in-georgia/</v>
      </c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5" t="str">
        <f>IFERROR(__xludf.DUMMYFUNCTION("""COMPUTED_VALUE"""),"deer season michigan")</f>
        <v>deer season michigan</v>
      </c>
      <c r="B787" s="15" t="str">
        <f>IFERROR(__xludf.DUMMYFUNCTION("""COMPUTED_VALUE"""),"1600")</f>
        <v>1600</v>
      </c>
      <c r="C787" s="15" t="str">
        <f>IFERROR(__xludf.DUMMYFUNCTION("""COMPUTED_VALUE"""),"Not ranking")</f>
        <v>Not ranking</v>
      </c>
      <c r="D787" s="15" t="str">
        <f>IFERROR(__xludf.DUMMYFUNCTION("""COMPUTED_VALUE"""),"Not ranking")</f>
        <v>Not ranking</v>
      </c>
      <c r="E787" s="15" t="str">
        <f>IFERROR(__xludf.DUMMYFUNCTION("""COMPUTED_VALUE"""),"49")</f>
        <v>49</v>
      </c>
      <c r="F787" s="18" t="str">
        <f>IFERROR(__xludf.DUMMYFUNCTION("""COMPUTED_VALUE"""),"Not ranking")</f>
        <v>Not ranking</v>
      </c>
      <c r="G787" s="18" t="str">
        <f>IFERROR(__xludf.DUMMYFUNCTION("""COMPUTED_VALUE"""),"Not ranking")</f>
        <v>Not ranking</v>
      </c>
      <c r="H787" s="17" t="str">
        <f>IFERROR(__xludf.DUMMYFUNCTION("""COMPUTED_VALUE"""),"https://www.wideopenspaces.com/heres-michigans-early-antlerless-deer-season-explained-quickly-easily/")</f>
        <v>https://www.wideopenspaces.com/heres-michigans-early-antlerless-deer-season-explained-quickly-easily/</v>
      </c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5" t="str">
        <f>IFERROR(__xludf.DUMMYFUNCTION("""COMPUTED_VALUE"""),"deer season missouri 2022")</f>
        <v>deer season missouri 2022</v>
      </c>
      <c r="B788" s="15" t="str">
        <f>IFERROR(__xludf.DUMMYFUNCTION("""COMPUTED_VALUE"""),"1600")</f>
        <v>1600</v>
      </c>
      <c r="C788" s="15" t="str">
        <f>IFERROR(__xludf.DUMMYFUNCTION("""COMPUTED_VALUE"""),"Not ranking")</f>
        <v>Not ranking</v>
      </c>
      <c r="D788" s="15" t="str">
        <f>IFERROR(__xludf.DUMMYFUNCTION("""COMPUTED_VALUE"""),"93")</f>
        <v>93</v>
      </c>
      <c r="E788" s="15" t="str">
        <f>IFERROR(__xludf.DUMMYFUNCTION("""COMPUTED_VALUE"""),"40")</f>
        <v>40</v>
      </c>
      <c r="F788" s="18" t="str">
        <f>IFERROR(__xludf.DUMMYFUNCTION("""COMPUTED_VALUE"""),"Not ranking")</f>
        <v>Not ranking</v>
      </c>
      <c r="G788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788" s="17" t="str">
        <f>IFERROR(__xludf.DUMMYFUNCTION("""COMPUTED_VALUE"""),"https://www.wideopenspaces.com/when-does-deer-season-end-in-missouri/")</f>
        <v>https://www.wideopenspaces.com/when-does-deer-season-end-in-missouri/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5" t="str">
        <f>IFERROR(__xludf.DUMMYFUNCTION("""COMPUTED_VALUE"""),"deer season n.c. 2022")</f>
        <v>deer season n.c. 2022</v>
      </c>
      <c r="B789" s="15" t="str">
        <f>IFERROR(__xludf.DUMMYFUNCTION("""COMPUTED_VALUE"""),"1600")</f>
        <v>1600</v>
      </c>
      <c r="C789" s="15" t="str">
        <f>IFERROR(__xludf.DUMMYFUNCTION("""COMPUTED_VALUE"""),"Not ranking")</f>
        <v>Not ranking</v>
      </c>
      <c r="D789" s="15" t="str">
        <f>IFERROR(__xludf.DUMMYFUNCTION("""COMPUTED_VALUE"""),"60")</f>
        <v>60</v>
      </c>
      <c r="E789" s="15" t="str">
        <f>IFERROR(__xludf.DUMMYFUNCTION("""COMPUTED_VALUE"""),"Not ranking")</f>
        <v>Not ranking</v>
      </c>
      <c r="F789" s="18" t="str">
        <f>IFERROR(__xludf.DUMMYFUNCTION("""COMPUTED_VALUE"""),"Not ranking")</f>
        <v>Not ranking</v>
      </c>
      <c r="G78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789" s="18" t="str">
        <f>IFERROR(__xludf.DUMMYFUNCTION("""COMPUTED_VALUE"""),"Not ranking")</f>
        <v>Not ranking</v>
      </c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5" t="str">
        <f>IFERROR(__xludf.DUMMYFUNCTION("""COMPUTED_VALUE"""),"deer skulls")</f>
        <v>deer skulls</v>
      </c>
      <c r="B790" s="15" t="str">
        <f>IFERROR(__xludf.DUMMYFUNCTION("""COMPUTED_VALUE"""),"1600")</f>
        <v>1600</v>
      </c>
      <c r="C790" s="15" t="str">
        <f>IFERROR(__xludf.DUMMYFUNCTION("""COMPUTED_VALUE"""),"Not ranking")</f>
        <v>Not ranking</v>
      </c>
      <c r="D790" s="15" t="str">
        <f>IFERROR(__xludf.DUMMYFUNCTION("""COMPUTED_VALUE"""),"Not ranking")</f>
        <v>Not ranking</v>
      </c>
      <c r="E790" s="15" t="str">
        <f>IFERROR(__xludf.DUMMYFUNCTION("""COMPUTED_VALUE"""),"44")</f>
        <v>44</v>
      </c>
      <c r="F790" s="18" t="str">
        <f>IFERROR(__xludf.DUMMYFUNCTION("""COMPUTED_VALUE"""),"Not ranking")</f>
        <v>Not ranking</v>
      </c>
      <c r="G790" s="18" t="str">
        <f>IFERROR(__xludf.DUMMYFUNCTION("""COMPUTED_VALUE"""),"Not ranking")</f>
        <v>Not ranking</v>
      </c>
      <c r="H790" s="17" t="str">
        <f>IFERROR(__xludf.DUMMYFUNCTION("""COMPUTED_VALUE"""),"https://www.wideopenspaces.com/how-to-clean-a-deer-skull/")</f>
        <v>https://www.wideopenspaces.com/how-to-clean-a-deer-skull/</v>
      </c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5" t="str">
        <f>IFERROR(__xludf.DUMMYFUNCTION("""COMPUTED_VALUE"""),"do deer eat meat")</f>
        <v>do deer eat meat</v>
      </c>
      <c r="B791" s="15" t="str">
        <f>IFERROR(__xludf.DUMMYFUNCTION("""COMPUTED_VALUE"""),"1600")</f>
        <v>1600</v>
      </c>
      <c r="C791" s="15" t="str">
        <f>IFERROR(__xludf.DUMMYFUNCTION("""COMPUTED_VALUE"""),"Not ranking")</f>
        <v>Not ranking</v>
      </c>
      <c r="D791" s="15" t="str">
        <f>IFERROR(__xludf.DUMMYFUNCTION("""COMPUTED_VALUE"""),"4")</f>
        <v>4</v>
      </c>
      <c r="E791" s="15" t="str">
        <f>IFERROR(__xludf.DUMMYFUNCTION("""COMPUTED_VALUE"""),"9")</f>
        <v>9</v>
      </c>
      <c r="F791" s="18" t="str">
        <f>IFERROR(__xludf.DUMMYFUNCTION("""COMPUTED_VALUE"""),"Not ranking")</f>
        <v>Not ranking</v>
      </c>
      <c r="G791" s="17" t="str">
        <f>IFERROR(__xludf.DUMMYFUNCTION("""COMPUTED_VALUE"""),"https://realtree.com/the-realblog-with-stephanie-mallory/did-you-know-deer-eat-meat")</f>
        <v>https://realtree.com/the-realblog-with-stephanie-mallory/did-you-know-deer-eat-meat</v>
      </c>
      <c r="H791" s="17" t="str">
        <f>IFERROR(__xludf.DUMMYFUNCTION("""COMPUTED_VALUE"""),"https://www.wideopenspaces.com/do-deer-eat-meat/")</f>
        <v>https://www.wideopenspaces.com/do-deer-eat-meat/</v>
      </c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5" t="str">
        <f>IFERROR(__xludf.DUMMYFUNCTION("""COMPUTED_VALUE"""),"draw a deer")</f>
        <v>draw a deer</v>
      </c>
      <c r="B792" s="15" t="str">
        <f>IFERROR(__xludf.DUMMYFUNCTION("""COMPUTED_VALUE"""),"1600")</f>
        <v>1600</v>
      </c>
      <c r="C792" s="15" t="str">
        <f>IFERROR(__xludf.DUMMYFUNCTION("""COMPUTED_VALUE"""),"Not ranking")</f>
        <v>Not ranking</v>
      </c>
      <c r="D792" s="15" t="str">
        <f>IFERROR(__xludf.DUMMYFUNCTION("""COMPUTED_VALUE"""),"29")</f>
        <v>29</v>
      </c>
      <c r="E792" s="15" t="str">
        <f>IFERROR(__xludf.DUMMYFUNCTION("""COMPUTED_VALUE"""),"Not ranking")</f>
        <v>Not ranking</v>
      </c>
      <c r="F792" s="18" t="str">
        <f>IFERROR(__xludf.DUMMYFUNCTION("""COMPUTED_VALUE"""),"Not ranking")</f>
        <v>Not ranking</v>
      </c>
      <c r="G792" s="17" t="str">
        <f>IFERROR(__xludf.DUMMYFUNCTION("""COMPUTED_VALUE"""),"https://realtree.com/brow-tines-and-backstrap/when-to-draw-your-bow-on-deer")</f>
        <v>https://realtree.com/brow-tines-and-backstrap/when-to-draw-your-bow-on-deer</v>
      </c>
      <c r="H792" s="18" t="str">
        <f>IFERROR(__xludf.DUMMYFUNCTION("""COMPUTED_VALUE"""),"Not ranking")</f>
        <v>Not ranking</v>
      </c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5" t="str">
        <f>IFERROR(__xludf.DUMMYFUNCTION("""COMPUTED_VALUE"""),"group of deer")</f>
        <v>group of deer</v>
      </c>
      <c r="B793" s="15" t="str">
        <f>IFERROR(__xludf.DUMMYFUNCTION("""COMPUTED_VALUE"""),"1600")</f>
        <v>1600</v>
      </c>
      <c r="C793" s="15" t="str">
        <f>IFERROR(__xludf.DUMMYFUNCTION("""COMPUTED_VALUE"""),"Not ranking")</f>
        <v>Not ranking</v>
      </c>
      <c r="D793" s="15" t="str">
        <f>IFERROR(__xludf.DUMMYFUNCTION("""COMPUTED_VALUE"""),"87")</f>
        <v>87</v>
      </c>
      <c r="E793" s="15" t="str">
        <f>IFERROR(__xludf.DUMMYFUNCTION("""COMPUTED_VALUE"""),"Not ranking")</f>
        <v>Not ranking</v>
      </c>
      <c r="F793" s="18" t="str">
        <f>IFERROR(__xludf.DUMMYFUNCTION("""COMPUTED_VALUE"""),"Not ranking")</f>
        <v>Not ranking</v>
      </c>
      <c r="G793" s="17" t="str">
        <f>IFERROR(__xludf.DUMMYFUNCTION("""COMPUTED_VALUE"""),"https://realtree.com/deer-hunting/articles/how-managing-for-older-bigger-bucks-helps-the-entire-deer-herd")</f>
        <v>https://realtree.com/deer-hunting/articles/how-managing-for-older-bigger-bucks-helps-the-entire-deer-herd</v>
      </c>
      <c r="H793" s="18" t="str">
        <f>IFERROR(__xludf.DUMMYFUNCTION("""COMPUTED_VALUE"""),"Not ranking")</f>
        <v>Not ranking</v>
      </c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5" t="str">
        <f>IFERROR(__xludf.DUMMYFUNCTION("""COMPUTED_VALUE"""),"homemade deer feeder")</f>
        <v>homemade deer feeder</v>
      </c>
      <c r="B794" s="15" t="str">
        <f>IFERROR(__xludf.DUMMYFUNCTION("""COMPUTED_VALUE"""),"1600")</f>
        <v>1600</v>
      </c>
      <c r="C794" s="15" t="str">
        <f>IFERROR(__xludf.DUMMYFUNCTION("""COMPUTED_VALUE"""),"Not ranking")</f>
        <v>Not ranking</v>
      </c>
      <c r="D794" s="15" t="str">
        <f>IFERROR(__xludf.DUMMYFUNCTION("""COMPUTED_VALUE"""),"4")</f>
        <v>4</v>
      </c>
      <c r="E794" s="15" t="str">
        <f>IFERROR(__xludf.DUMMYFUNCTION("""COMPUTED_VALUE"""),"42")</f>
        <v>42</v>
      </c>
      <c r="F794" s="18" t="str">
        <f>IFERROR(__xludf.DUMMYFUNCTION("""COMPUTED_VALUE"""),"Not ranking")</f>
        <v>Not ranking</v>
      </c>
      <c r="G794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794" s="17" t="str">
        <f>IFERROR(__xludf.DUMMYFUNCTION("""COMPUTED_VALUE"""),"https://www.wideopenspaces.com/make-poor-mans-deer-feeder/")</f>
        <v>https://www.wideopenspaces.com/make-poor-mans-deer-feeder/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5" t="str">
        <f>IFERROR(__xludf.DUMMYFUNCTION("""COMPUTED_VALUE"""),"how high can deer jump")</f>
        <v>how high can deer jump</v>
      </c>
      <c r="B795" s="15" t="str">
        <f>IFERROR(__xludf.DUMMYFUNCTION("""COMPUTED_VALUE"""),"1600")</f>
        <v>1600</v>
      </c>
      <c r="C795" s="15" t="str">
        <f>IFERROR(__xludf.DUMMYFUNCTION("""COMPUTED_VALUE"""),"Not ranking")</f>
        <v>Not ranking</v>
      </c>
      <c r="D795" s="15" t="str">
        <f>IFERROR(__xludf.DUMMYFUNCTION("""COMPUTED_VALUE"""),"74")</f>
        <v>74</v>
      </c>
      <c r="E795" s="15" t="str">
        <f>IFERROR(__xludf.DUMMYFUNCTION("""COMPUTED_VALUE"""),"36")</f>
        <v>36</v>
      </c>
      <c r="F795" s="18" t="str">
        <f>IFERROR(__xludf.DUMMYFUNCTION("""COMPUTED_VALUE"""),"Not ranking")</f>
        <v>Not ranking</v>
      </c>
      <c r="G795" s="17" t="str">
        <f>IFERROR(__xludf.DUMMYFUNCTION("""COMPUTED_VALUE"""),"https://realtree.com/midwest-whitetail/articles/string-jumpers-how-to-aim-at-alert-deer")</f>
        <v>https://realtree.com/midwest-whitetail/articles/string-jumpers-how-to-aim-at-alert-deer</v>
      </c>
      <c r="H795" s="17" t="str">
        <f>IFERROR(__xludf.DUMMYFUNCTION("""COMPUTED_VALUE"""),"https://www.wideopenspaces.com/deer-tries-to-jump-high-fence-video/")</f>
        <v>https://www.wideopenspaces.com/deer-tries-to-jump-high-fence-video/</v>
      </c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5" t="str">
        <f>IFERROR(__xludf.DUMMYFUNCTION("""COMPUTED_VALUE"""),"how long are deer pregnant")</f>
        <v>how long are deer pregnant</v>
      </c>
      <c r="B796" s="15" t="str">
        <f>IFERROR(__xludf.DUMMYFUNCTION("""COMPUTED_VALUE"""),"1600")</f>
        <v>1600</v>
      </c>
      <c r="C796" s="15" t="str">
        <f>IFERROR(__xludf.DUMMYFUNCTION("""COMPUTED_VALUE"""),"Not ranking")</f>
        <v>Not ranking</v>
      </c>
      <c r="D796" s="15" t="str">
        <f>IFERROR(__xludf.DUMMYFUNCTION("""COMPUTED_VALUE"""),"Not ranking")</f>
        <v>Not ranking</v>
      </c>
      <c r="E796" s="15" t="str">
        <f>IFERROR(__xludf.DUMMYFUNCTION("""COMPUTED_VALUE"""),"21")</f>
        <v>21</v>
      </c>
      <c r="F796" s="18" t="str">
        <f>IFERROR(__xludf.DUMMYFUNCTION("""COMPUTED_VALUE"""),"Not ranking")</f>
        <v>Not ranking</v>
      </c>
      <c r="G796" s="18" t="str">
        <f>IFERROR(__xludf.DUMMYFUNCTION("""COMPUTED_VALUE"""),"Not ranking")</f>
        <v>Not ranking</v>
      </c>
      <c r="H796" s="17" t="str">
        <f>IFERROR(__xludf.DUMMYFUNCTION("""COMPUTED_VALUE"""),"https://www.wideopenspaces.com/whitetail-deer-gestation-period/")</f>
        <v>https://www.wideopenspaces.com/whitetail-deer-gestation-period/</v>
      </c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5" t="str">
        <f>IFERROR(__xludf.DUMMYFUNCTION("""COMPUTED_VALUE"""),"iowa deer season 2022")</f>
        <v>iowa deer season 2022</v>
      </c>
      <c r="B797" s="15" t="str">
        <f>IFERROR(__xludf.DUMMYFUNCTION("""COMPUTED_VALUE"""),"1600")</f>
        <v>1600</v>
      </c>
      <c r="C797" s="15" t="str">
        <f>IFERROR(__xludf.DUMMYFUNCTION("""COMPUTED_VALUE"""),"Not ranking")</f>
        <v>Not ranking</v>
      </c>
      <c r="D797" s="15" t="str">
        <f>IFERROR(__xludf.DUMMYFUNCTION("""COMPUTED_VALUE"""),"47")</f>
        <v>47</v>
      </c>
      <c r="E797" s="15" t="str">
        <f>IFERROR(__xludf.DUMMYFUNCTION("""COMPUTED_VALUE"""),"Not ranking")</f>
        <v>Not ranking</v>
      </c>
      <c r="F797" s="18" t="str">
        <f>IFERROR(__xludf.DUMMYFUNCTION("""COMPUTED_VALUE"""),"Not ranking")</f>
        <v>Not ranking</v>
      </c>
      <c r="G797" s="17" t="str">
        <f>IFERROR(__xludf.DUMMYFUNCTION("""COMPUTED_VALUE"""),"https://realtree.com/brow-tines-and-backstrap/iowa-law-expands-rifle-options-for-late-season-antlerless-hunts")</f>
        <v>https://realtree.com/brow-tines-and-backstrap/iowa-law-expands-rifle-options-for-late-season-antlerless-hunts</v>
      </c>
      <c r="H797" s="18" t="str">
        <f>IFERROR(__xludf.DUMMYFUNCTION("""COMPUTED_VALUE"""),"Not ranking")</f>
        <v>Not ranking</v>
      </c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5" t="str">
        <f>IFERROR(__xludf.DUMMYFUNCTION("""COMPUTED_VALUE"""),"komodo dragon eating deer")</f>
        <v>komodo dragon eating deer</v>
      </c>
      <c r="B798" s="15" t="str">
        <f>IFERROR(__xludf.DUMMYFUNCTION("""COMPUTED_VALUE"""),"1600")</f>
        <v>1600</v>
      </c>
      <c r="C798" s="15" t="str">
        <f>IFERROR(__xludf.DUMMYFUNCTION("""COMPUTED_VALUE"""),"Not ranking")</f>
        <v>Not ranking</v>
      </c>
      <c r="D798" s="15" t="str">
        <f>IFERROR(__xludf.DUMMYFUNCTION("""COMPUTED_VALUE"""),"Not ranking")</f>
        <v>Not ranking</v>
      </c>
      <c r="E798" s="15" t="str">
        <f>IFERROR(__xludf.DUMMYFUNCTION("""COMPUTED_VALUE"""),"48")</f>
        <v>48</v>
      </c>
      <c r="F798" s="18" t="str">
        <f>IFERROR(__xludf.DUMMYFUNCTION("""COMPUTED_VALUE"""),"Not ranking")</f>
        <v>Not ranking</v>
      </c>
      <c r="G798" s="18" t="str">
        <f>IFERROR(__xludf.DUMMYFUNCTION("""COMPUTED_VALUE"""),"Not ranking")</f>
        <v>Not ranking</v>
      </c>
      <c r="H798" s="17" t="str">
        <f>IFERROR(__xludf.DUMMYFUNCTION("""COMPUTED_VALUE"""),"https://www.wideopenspaces.com/komodo-dragon-hunts-kills-deer-brutal-footage/")</f>
        <v>https://www.wideopenspaces.com/komodo-dragon-hunts-kills-deer-brutal-footage/</v>
      </c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5" t="str">
        <f>IFERROR(__xludf.DUMMYFUNCTION("""COMPUTED_VALUE"""),"name deer")</f>
        <v>name deer</v>
      </c>
      <c r="B799" s="15" t="str">
        <f>IFERROR(__xludf.DUMMYFUNCTION("""COMPUTED_VALUE"""),"1600")</f>
        <v>1600</v>
      </c>
      <c r="C799" s="15" t="str">
        <f>IFERROR(__xludf.DUMMYFUNCTION("""COMPUTED_VALUE"""),"Not ranking")</f>
        <v>Not ranking</v>
      </c>
      <c r="D799" s="15" t="str">
        <f>IFERROR(__xludf.DUMMYFUNCTION("""COMPUTED_VALUE"""),"Not ranking")</f>
        <v>Not ranking</v>
      </c>
      <c r="E799" s="15" t="str">
        <f>IFERROR(__xludf.DUMMYFUNCTION("""COMPUTED_VALUE"""),"13")</f>
        <v>13</v>
      </c>
      <c r="F799" s="18" t="str">
        <f>IFERROR(__xludf.DUMMYFUNCTION("""COMPUTED_VALUE"""),"Not ranking")</f>
        <v>Not ranking</v>
      </c>
      <c r="G799" s="18" t="str">
        <f>IFERROR(__xludf.DUMMYFUNCTION("""COMPUTED_VALUE"""),"Not ranking")</f>
        <v>Not ranking</v>
      </c>
      <c r="H799" s="17" t="str">
        <f>IFERROR(__xludf.DUMMYFUNCTION("""COMPUTED_VALUE"""),"https://www.wideopenspaces.com/trouble-naming-your-hit-list-buck-65-buck-nicknames/")</f>
        <v>https://www.wideopenspaces.com/trouble-naming-your-hit-list-buck-65-buck-nicknames/</v>
      </c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5" t="str">
        <f>IFERROR(__xludf.DUMMYFUNCTION("""COMPUTED_VALUE"""),"naming deer")</f>
        <v>naming deer</v>
      </c>
      <c r="B800" s="15" t="str">
        <f>IFERROR(__xludf.DUMMYFUNCTION("""COMPUTED_VALUE"""),"1600")</f>
        <v>1600</v>
      </c>
      <c r="C800" s="15" t="str">
        <f>IFERROR(__xludf.DUMMYFUNCTION("""COMPUTED_VALUE"""),"Not ranking")</f>
        <v>Not ranking</v>
      </c>
      <c r="D800" s="15" t="str">
        <f>IFERROR(__xludf.DUMMYFUNCTION("""COMPUTED_VALUE"""),"Not ranking")</f>
        <v>Not ranking</v>
      </c>
      <c r="E800" s="15" t="str">
        <f>IFERROR(__xludf.DUMMYFUNCTION("""COMPUTED_VALUE"""),"3")</f>
        <v>3</v>
      </c>
      <c r="F800" s="18" t="str">
        <f>IFERROR(__xludf.DUMMYFUNCTION("""COMPUTED_VALUE"""),"Not ranking")</f>
        <v>Not ranking</v>
      </c>
      <c r="G800" s="18" t="str">
        <f>IFERROR(__xludf.DUMMYFUNCTION("""COMPUTED_VALUE"""),"Not ranking")</f>
        <v>Not ranking</v>
      </c>
      <c r="H800" s="17" t="str">
        <f>IFERROR(__xludf.DUMMYFUNCTION("""COMPUTED_VALUE"""),"https://www.wideopenspaces.com/trouble-naming-your-hit-list-buck-65-buck-nicknames/")</f>
        <v>https://www.wideopenspaces.com/trouble-naming-your-hit-list-buck-65-buck-nicknames/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5" t="str">
        <f>IFERROR(__xludf.DUMMYFUNCTION("""COMPUTED_VALUE"""),"ohio deer gun season")</f>
        <v>ohio deer gun season</v>
      </c>
      <c r="B801" s="15" t="str">
        <f>IFERROR(__xludf.DUMMYFUNCTION("""COMPUTED_VALUE"""),"1600")</f>
        <v>1600</v>
      </c>
      <c r="C801" s="15" t="str">
        <f>IFERROR(__xludf.DUMMYFUNCTION("""COMPUTED_VALUE"""),"Not ranking")</f>
        <v>Not ranking</v>
      </c>
      <c r="D801" s="15" t="str">
        <f>IFERROR(__xludf.DUMMYFUNCTION("""COMPUTED_VALUE"""),"Not ranking")</f>
        <v>Not ranking</v>
      </c>
      <c r="E801" s="15" t="str">
        <f>IFERROR(__xludf.DUMMYFUNCTION("""COMPUTED_VALUE"""),"46")</f>
        <v>46</v>
      </c>
      <c r="F801" s="18" t="str">
        <f>IFERROR(__xludf.DUMMYFUNCTION("""COMPUTED_VALUE"""),"Not ranking")</f>
        <v>Not ranking</v>
      </c>
      <c r="G801" s="18" t="str">
        <f>IFERROR(__xludf.DUMMYFUNCTION("""COMPUTED_VALUE"""),"Not ranking")</f>
        <v>Not ranking</v>
      </c>
      <c r="H801" s="17" t="str">
        <f>IFERROR(__xludf.DUMMYFUNCTION("""COMPUTED_VALUE"""),"https://www.wideopenspaces.com/deer-hunting-in-ohio-what-you-should-know/")</f>
        <v>https://www.wideopenspaces.com/deer-hunting-in-ohio-what-you-should-know/</v>
      </c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5" t="str">
        <f>IFERROR(__xludf.DUMMYFUNCTION("""COMPUTED_VALUE"""),"opening season deer")</f>
        <v>opening season deer</v>
      </c>
      <c r="B802" s="15" t="str">
        <f>IFERROR(__xludf.DUMMYFUNCTION("""COMPUTED_VALUE"""),"1600")</f>
        <v>1600</v>
      </c>
      <c r="C802" s="15" t="str">
        <f>IFERROR(__xludf.DUMMYFUNCTION("""COMPUTED_VALUE"""),"Not ranking")</f>
        <v>Not ranking</v>
      </c>
      <c r="D802" s="15" t="str">
        <f>IFERROR(__xludf.DUMMYFUNCTION("""COMPUTED_VALUE"""),"89")</f>
        <v>89</v>
      </c>
      <c r="E802" s="15" t="str">
        <f>IFERROR(__xludf.DUMMYFUNCTION("""COMPUTED_VALUE"""),"Not ranking")</f>
        <v>Not ranking</v>
      </c>
      <c r="F802" s="18" t="str">
        <f>IFERROR(__xludf.DUMMYFUNCTION("""COMPUTED_VALUE"""),"Not ranking")</f>
        <v>Not ranking</v>
      </c>
      <c r="G802" s="17" t="str">
        <f>IFERROR(__xludf.DUMMYFUNCTION("""COMPUTED_VALUE"""),"https://realtree.com/deer-hunting/articles/15-tips-for-opening-day-of-gun-season")</f>
        <v>https://realtree.com/deer-hunting/articles/15-tips-for-opening-day-of-gun-season</v>
      </c>
      <c r="H802" s="18" t="str">
        <f>IFERROR(__xludf.DUMMYFUNCTION("""COMPUTED_VALUE"""),"Not ranking")</f>
        <v>Not ranking</v>
      </c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5" t="str">
        <f>IFERROR(__xludf.DUMMYFUNCTION("""COMPUTED_VALUE"""),"pedestal deer mount")</f>
        <v>pedestal deer mount</v>
      </c>
      <c r="B803" s="15" t="str">
        <f>IFERROR(__xludf.DUMMYFUNCTION("""COMPUTED_VALUE"""),"1600")</f>
        <v>1600</v>
      </c>
      <c r="C803" s="15" t="str">
        <f>IFERROR(__xludf.DUMMYFUNCTION("""COMPUTED_VALUE"""),"Not ranking")</f>
        <v>Not ranking</v>
      </c>
      <c r="D803" s="15" t="str">
        <f>IFERROR(__xludf.DUMMYFUNCTION("""COMPUTED_VALUE"""),"60")</f>
        <v>60</v>
      </c>
      <c r="E803" s="15" t="str">
        <f>IFERROR(__xludf.DUMMYFUNCTION("""COMPUTED_VALUE"""),"Not ranking")</f>
        <v>Not ranking</v>
      </c>
      <c r="F803" s="18" t="str">
        <f>IFERROR(__xludf.DUMMYFUNCTION("""COMPUTED_VALUE"""),"Not ranking")</f>
        <v>Not ranking</v>
      </c>
      <c r="G803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803" s="18" t="str">
        <f>IFERROR(__xludf.DUMMYFUNCTION("""COMPUTED_VALUE"""),"Not ranking")</f>
        <v>Not ranking</v>
      </c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5" t="str">
        <f>IFERROR(__xludf.DUMMYFUNCTION("""COMPUTED_VALUE"""),"velvet deer antler")</f>
        <v>velvet deer antler</v>
      </c>
      <c r="B804" s="15" t="str">
        <f>IFERROR(__xludf.DUMMYFUNCTION("""COMPUTED_VALUE"""),"1600")</f>
        <v>1600</v>
      </c>
      <c r="C804" s="15" t="str">
        <f>IFERROR(__xludf.DUMMYFUNCTION("""COMPUTED_VALUE"""),"Not ranking")</f>
        <v>Not ranking</v>
      </c>
      <c r="D804" s="15" t="str">
        <f>IFERROR(__xludf.DUMMYFUNCTION("""COMPUTED_VALUE"""),"45")</f>
        <v>45</v>
      </c>
      <c r="E804" s="15" t="str">
        <f>IFERROR(__xludf.DUMMYFUNCTION("""COMPUTED_VALUE"""),"Not ranking")</f>
        <v>Not ranking</v>
      </c>
      <c r="F804" s="18" t="str">
        <f>IFERROR(__xludf.DUMMYFUNCTION("""COMPUTED_VALUE"""),"Not ranking")</f>
        <v>Not ranking</v>
      </c>
      <c r="G804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804" s="18" t="str">
        <f>IFERROR(__xludf.DUMMYFUNCTION("""COMPUTED_VALUE"""),"Not ranking")</f>
        <v>Not ranking</v>
      </c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5" t="str">
        <f>IFERROR(__xludf.DUMMYFUNCTION("""COMPUTED_VALUE"""),"walmart deer corn")</f>
        <v>walmart deer corn</v>
      </c>
      <c r="B805" s="15" t="str">
        <f>IFERROR(__xludf.DUMMYFUNCTION("""COMPUTED_VALUE"""),"1600")</f>
        <v>1600</v>
      </c>
      <c r="C805" s="15" t="str">
        <f>IFERROR(__xludf.DUMMYFUNCTION("""COMPUTED_VALUE"""),"Not ranking")</f>
        <v>Not ranking</v>
      </c>
      <c r="D805" s="15" t="str">
        <f>IFERROR(__xludf.DUMMYFUNCTION("""COMPUTED_VALUE"""),"Not ranking")</f>
        <v>Not ranking</v>
      </c>
      <c r="E805" s="15" t="str">
        <f>IFERROR(__xludf.DUMMYFUNCTION("""COMPUTED_VALUE"""),"38")</f>
        <v>38</v>
      </c>
      <c r="F805" s="18" t="str">
        <f>IFERROR(__xludf.DUMMYFUNCTION("""COMPUTED_VALUE"""),"Not ranking")</f>
        <v>Not ranking</v>
      </c>
      <c r="G805" s="18" t="str">
        <f>IFERROR(__xludf.DUMMYFUNCTION("""COMPUTED_VALUE"""),"Not ranking")</f>
        <v>Not ranking</v>
      </c>
      <c r="H805" s="17" t="str">
        <f>IFERROR(__xludf.DUMMYFUNCTION("""COMPUTED_VALUE"""),"https://www.wideopenspaces.com/deer-corn/")</f>
        <v>https://www.wideopenspaces.com/deer-corn/</v>
      </c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5" t="str">
        <f>IFERROR(__xludf.DUMMYFUNCTION("""COMPUTED_VALUE"""),"when does deer season end")</f>
        <v>when does deer season end</v>
      </c>
      <c r="B806" s="15" t="str">
        <f>IFERROR(__xludf.DUMMYFUNCTION("""COMPUTED_VALUE"""),"1600")</f>
        <v>1600</v>
      </c>
      <c r="C806" s="15" t="str">
        <f>IFERROR(__xludf.DUMMYFUNCTION("""COMPUTED_VALUE"""),"Not ranking")</f>
        <v>Not ranking</v>
      </c>
      <c r="D806" s="15" t="str">
        <f>IFERROR(__xludf.DUMMYFUNCTION("""COMPUTED_VALUE"""),"99")</f>
        <v>99</v>
      </c>
      <c r="E806" s="15" t="str">
        <f>IFERROR(__xludf.DUMMYFUNCTION("""COMPUTED_VALUE"""),"57")</f>
        <v>57</v>
      </c>
      <c r="F806" s="18" t="str">
        <f>IFERROR(__xludf.DUMMYFUNCTION("""COMPUTED_VALUE"""),"Not ranking")</f>
        <v>Not ranking</v>
      </c>
      <c r="G806" s="17" t="str">
        <f>IFERROR(__xludf.DUMMYFUNCTION("""COMPUTED_VALUE"""),"https://realtree.com/deer-hunting/articles/10-best-times-to-deer-hunt")</f>
        <v>https://realtree.com/deer-hunting/articles/10-best-times-to-deer-hunt</v>
      </c>
      <c r="H806" s="17" t="str">
        <f>IFERROR(__xludf.DUMMYFUNCTION("""COMPUTED_VALUE"""),"https://www.wideopenspaces.com/when-does-deer-season-end-in-texas/")</f>
        <v>https://www.wideopenspaces.com/when-does-deer-season-end-in-texas/</v>
      </c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5" t="str">
        <f>IFERROR(__xludf.DUMMYFUNCTION("""COMPUTED_VALUE"""),"academy deer feeders")</f>
        <v>academy deer feeders</v>
      </c>
      <c r="B807" s="15" t="str">
        <f>IFERROR(__xludf.DUMMYFUNCTION("""COMPUTED_VALUE"""),"1300")</f>
        <v>1300</v>
      </c>
      <c r="C807" s="15" t="str">
        <f>IFERROR(__xludf.DUMMYFUNCTION("""COMPUTED_VALUE"""),"Not ranking")</f>
        <v>Not ranking</v>
      </c>
      <c r="D807" s="15" t="str">
        <f>IFERROR(__xludf.DUMMYFUNCTION("""COMPUTED_VALUE"""),"Not ranking")</f>
        <v>Not ranking</v>
      </c>
      <c r="E807" s="15" t="str">
        <f>IFERROR(__xludf.DUMMYFUNCTION("""COMPUTED_VALUE"""),"27")</f>
        <v>27</v>
      </c>
      <c r="F807" s="18" t="str">
        <f>IFERROR(__xludf.DUMMYFUNCTION("""COMPUTED_VALUE"""),"Not ranking")</f>
        <v>Not ranking</v>
      </c>
      <c r="G807" s="18" t="str">
        <f>IFERROR(__xludf.DUMMYFUNCTION("""COMPUTED_VALUE"""),"Not ranking")</f>
        <v>Not ranking</v>
      </c>
      <c r="H807" s="17" t="str">
        <f>IFERROR(__xludf.DUMMYFUNCTION("""COMPUTED_VALUE"""),"https://www.wideopenspaces.com/best-deer-feeders/")</f>
        <v>https://www.wideopenspaces.com/best-deer-feeders/</v>
      </c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5" t="str">
        <f>IFERROR(__xludf.DUMMYFUNCTION("""COMPUTED_VALUE"""),"alabama deer hunting")</f>
        <v>alabama deer hunting</v>
      </c>
      <c r="B808" s="15" t="str">
        <f>IFERROR(__xludf.DUMMYFUNCTION("""COMPUTED_VALUE"""),"1300")</f>
        <v>1300</v>
      </c>
      <c r="C808" s="15" t="str">
        <f>IFERROR(__xludf.DUMMYFUNCTION("""COMPUTED_VALUE"""),"Not ranking")</f>
        <v>Not ranking</v>
      </c>
      <c r="D808" s="15" t="str">
        <f>IFERROR(__xludf.DUMMYFUNCTION("""COMPUTED_VALUE"""),"67")</f>
        <v>67</v>
      </c>
      <c r="E808" s="15" t="str">
        <f>IFERROR(__xludf.DUMMYFUNCTION("""COMPUTED_VALUE"""),"Not ranking")</f>
        <v>Not ranking</v>
      </c>
      <c r="F808" s="18" t="str">
        <f>IFERROR(__xludf.DUMMYFUNCTION("""COMPUTED_VALUE"""),"Not ranking")</f>
        <v>Not ranking</v>
      </c>
      <c r="G808" s="17" t="str">
        <f>IFERROR(__xludf.DUMMYFUNCTION("""COMPUTED_VALUE"""),"https://realtree.com/brow-tines-and-backstrap/debate-settled-deep-south-deer-are-the-toughest-to-hunt")</f>
        <v>https://realtree.com/brow-tines-and-backstrap/debate-settled-deep-south-deer-are-the-toughest-to-hunt</v>
      </c>
      <c r="H808" s="18" t="str">
        <f>IFERROR(__xludf.DUMMYFUNCTION("""COMPUTED_VALUE"""),"Not ranking")</f>
        <v>Not ranking</v>
      </c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5" t="str">
        <f>IFERROR(__xludf.DUMMYFUNCTION("""COMPUTED_VALUE"""),"albinism deer")</f>
        <v>albinism deer</v>
      </c>
      <c r="B809" s="15" t="str">
        <f>IFERROR(__xludf.DUMMYFUNCTION("""COMPUTED_VALUE"""),"1300")</f>
        <v>1300</v>
      </c>
      <c r="C809" s="15" t="str">
        <f>IFERROR(__xludf.DUMMYFUNCTION("""COMPUTED_VALUE"""),"Not ranking")</f>
        <v>Not ranking</v>
      </c>
      <c r="D809" s="15" t="str">
        <f>IFERROR(__xludf.DUMMYFUNCTION("""COMPUTED_VALUE"""),"Not ranking")</f>
        <v>Not ranking</v>
      </c>
      <c r="E809" s="15" t="str">
        <f>IFERROR(__xludf.DUMMYFUNCTION("""COMPUTED_VALUE"""),"24")</f>
        <v>24</v>
      </c>
      <c r="F809" s="18" t="str">
        <f>IFERROR(__xludf.DUMMYFUNCTION("""COMPUTED_VALUE"""),"Not ranking")</f>
        <v>Not ranking</v>
      </c>
      <c r="G809" s="18" t="str">
        <f>IFERROR(__xludf.DUMMYFUNCTION("""COMPUTED_VALUE"""),"Not ranking")</f>
        <v>Not ranking</v>
      </c>
      <c r="H809" s="17" t="str">
        <f>IFERROR(__xludf.DUMMYFUNCTION("""COMPUTED_VALUE"""),"https://www.wideopenspaces.com/whitetailwednesday-should-we-shoot-albino-and-piebald-deer/")</f>
        <v>https://www.wideopenspaces.com/whitetailwednesday-should-we-shoot-albino-and-piebald-deer/</v>
      </c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5" t="str">
        <f>IFERROR(__xludf.DUMMYFUNCTION("""COMPUTED_VALUE"""),"are deer herbivores")</f>
        <v>are deer herbivores</v>
      </c>
      <c r="B810" s="15" t="str">
        <f>IFERROR(__xludf.DUMMYFUNCTION("""COMPUTED_VALUE"""),"1300")</f>
        <v>1300</v>
      </c>
      <c r="C810" s="15" t="str">
        <f>IFERROR(__xludf.DUMMYFUNCTION("""COMPUTED_VALUE"""),"Not ranking")</f>
        <v>Not ranking</v>
      </c>
      <c r="D810" s="15" t="str">
        <f>IFERROR(__xludf.DUMMYFUNCTION("""COMPUTED_VALUE"""),"Not ranking")</f>
        <v>Not ranking</v>
      </c>
      <c r="E810" s="15" t="str">
        <f>IFERROR(__xludf.DUMMYFUNCTION("""COMPUTED_VALUE"""),"93")</f>
        <v>93</v>
      </c>
      <c r="F810" s="18" t="str">
        <f>IFERROR(__xludf.DUMMYFUNCTION("""COMPUTED_VALUE"""),"Not ranking")</f>
        <v>Not ranking</v>
      </c>
      <c r="G810" s="18" t="str">
        <f>IFERROR(__xludf.DUMMYFUNCTION("""COMPUTED_VALUE"""),"Not ranking")</f>
        <v>Not ranking</v>
      </c>
      <c r="H810" s="17" t="str">
        <f>IFERROR(__xludf.DUMMYFUNCTION("""COMPUTED_VALUE"""),"https://www.wideopenspaces.com/do-deer-eat-meat/")</f>
        <v>https://www.wideopenspaces.com/do-deer-eat-meat/</v>
      </c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5" t="str">
        <f>IFERROR(__xludf.DUMMYFUNCTION("""COMPUTED_VALUE"""),"best deer feeder")</f>
        <v>best deer feeder</v>
      </c>
      <c r="B811" s="15" t="str">
        <f>IFERROR(__xludf.DUMMYFUNCTION("""COMPUTED_VALUE"""),"1300")</f>
        <v>1300</v>
      </c>
      <c r="C811" s="15" t="str">
        <f>IFERROR(__xludf.DUMMYFUNCTION("""COMPUTED_VALUE"""),"Not ranking")</f>
        <v>Not ranking</v>
      </c>
      <c r="D811" s="15" t="str">
        <f>IFERROR(__xludf.DUMMYFUNCTION("""COMPUTED_VALUE"""),"Not ranking")</f>
        <v>Not ranking</v>
      </c>
      <c r="E811" s="15" t="str">
        <f>IFERROR(__xludf.DUMMYFUNCTION("""COMPUTED_VALUE"""),"9")</f>
        <v>9</v>
      </c>
      <c r="F811" s="18" t="str">
        <f>IFERROR(__xludf.DUMMYFUNCTION("""COMPUTED_VALUE"""),"Not ranking")</f>
        <v>Not ranking</v>
      </c>
      <c r="G811" s="18" t="str">
        <f>IFERROR(__xludf.DUMMYFUNCTION("""COMPUTED_VALUE"""),"Not ranking")</f>
        <v>Not ranking</v>
      </c>
      <c r="H811" s="17" t="str">
        <f>IFERROR(__xludf.DUMMYFUNCTION("""COMPUTED_VALUE"""),"https://www.wideopenspaces.com/best-deer-feeders/")</f>
        <v>https://www.wideopenspaces.com/best-deer-feeders/</v>
      </c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5" t="str">
        <f>IFERROR(__xludf.DUMMYFUNCTION("""COMPUTED_VALUE"""),"deer blind plans")</f>
        <v>deer blind plans</v>
      </c>
      <c r="B812" s="15" t="str">
        <f>IFERROR(__xludf.DUMMYFUNCTION("""COMPUTED_VALUE"""),"1300")</f>
        <v>1300</v>
      </c>
      <c r="C812" s="15" t="str">
        <f>IFERROR(__xludf.DUMMYFUNCTION("""COMPUTED_VALUE"""),"Not ranking")</f>
        <v>Not ranking</v>
      </c>
      <c r="D812" s="15" t="str">
        <f>IFERROR(__xludf.DUMMYFUNCTION("""COMPUTED_VALUE"""),"Not ranking")</f>
        <v>Not ranking</v>
      </c>
      <c r="E812" s="15" t="str">
        <f>IFERROR(__xludf.DUMMYFUNCTION("""COMPUTED_VALUE"""),"27")</f>
        <v>27</v>
      </c>
      <c r="F812" s="18" t="str">
        <f>IFERROR(__xludf.DUMMYFUNCTION("""COMPUTED_VALUE"""),"Not ranking")</f>
        <v>Not ranking</v>
      </c>
      <c r="G812" s="18" t="str">
        <f>IFERROR(__xludf.DUMMYFUNCTION("""COMPUTED_VALUE"""),"Not ranking")</f>
        <v>Not ranking</v>
      </c>
      <c r="H812" s="17" t="str">
        <f>IFERROR(__xludf.DUMMYFUNCTION("""COMPUTED_VALUE"""),"https://www.wideopenspaces.com/deer-hunting-blind-spacious/")</f>
        <v>https://www.wideopenspaces.com/deer-hunting-blind-spacious/</v>
      </c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5" t="str">
        <f>IFERROR(__xludf.DUMMYFUNCTION("""COMPUTED_VALUE"""),"deer corn feeder")</f>
        <v>deer corn feeder</v>
      </c>
      <c r="B813" s="15" t="str">
        <f>IFERROR(__xludf.DUMMYFUNCTION("""COMPUTED_VALUE"""),"1300")</f>
        <v>1300</v>
      </c>
      <c r="C813" s="15" t="str">
        <f>IFERROR(__xludf.DUMMYFUNCTION("""COMPUTED_VALUE"""),"Not ranking")</f>
        <v>Not ranking</v>
      </c>
      <c r="D813" s="15" t="str">
        <f>IFERROR(__xludf.DUMMYFUNCTION("""COMPUTED_VALUE"""),"45")</f>
        <v>45</v>
      </c>
      <c r="E813" s="15" t="str">
        <f>IFERROR(__xludf.DUMMYFUNCTION("""COMPUTED_VALUE"""),"Not ranking")</f>
        <v>Not ranking</v>
      </c>
      <c r="F813" s="18" t="str">
        <f>IFERROR(__xludf.DUMMYFUNCTION("""COMPUTED_VALUE"""),"Not ranking")</f>
        <v>Not ranking</v>
      </c>
      <c r="G813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813" s="18" t="str">
        <f>IFERROR(__xludf.DUMMYFUNCTION("""COMPUTED_VALUE"""),"Not ranking")</f>
        <v>Not ranking</v>
      </c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5" t="str">
        <f>IFERROR(__xludf.DUMMYFUNCTION("""COMPUTED_VALUE"""),"deer corn walmart")</f>
        <v>deer corn walmart</v>
      </c>
      <c r="B814" s="15" t="str">
        <f>IFERROR(__xludf.DUMMYFUNCTION("""COMPUTED_VALUE"""),"1300")</f>
        <v>1300</v>
      </c>
      <c r="C814" s="15" t="str">
        <f>IFERROR(__xludf.DUMMYFUNCTION("""COMPUTED_VALUE"""),"Not ranking")</f>
        <v>Not ranking</v>
      </c>
      <c r="D814" s="15" t="str">
        <f>IFERROR(__xludf.DUMMYFUNCTION("""COMPUTED_VALUE"""),"Not ranking")</f>
        <v>Not ranking</v>
      </c>
      <c r="E814" s="15" t="str">
        <f>IFERROR(__xludf.DUMMYFUNCTION("""COMPUTED_VALUE"""),"36")</f>
        <v>36</v>
      </c>
      <c r="F814" s="18" t="str">
        <f>IFERROR(__xludf.DUMMYFUNCTION("""COMPUTED_VALUE"""),"Not ranking")</f>
        <v>Not ranking</v>
      </c>
      <c r="G814" s="18" t="str">
        <f>IFERROR(__xludf.DUMMYFUNCTION("""COMPUTED_VALUE"""),"Not ranking")</f>
        <v>Not ranking</v>
      </c>
      <c r="H814" s="17" t="str">
        <f>IFERROR(__xludf.DUMMYFUNCTION("""COMPUTED_VALUE"""),"https://www.wideopenspaces.com/deer-corn/")</f>
        <v>https://www.wideopenspaces.com/deer-corn/</v>
      </c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5" t="str">
        <f>IFERROR(__xludf.DUMMYFUNCTION("""COMPUTED_VALUE"""),"deer eye")</f>
        <v>deer eye</v>
      </c>
      <c r="B815" s="15" t="str">
        <f>IFERROR(__xludf.DUMMYFUNCTION("""COMPUTED_VALUE"""),"1300")</f>
        <v>1300</v>
      </c>
      <c r="C815" s="15" t="str">
        <f>IFERROR(__xludf.DUMMYFUNCTION("""COMPUTED_VALUE"""),"Not ranking")</f>
        <v>Not ranking</v>
      </c>
      <c r="D815" s="15" t="str">
        <f>IFERROR(__xludf.DUMMYFUNCTION("""COMPUTED_VALUE"""),"33")</f>
        <v>33</v>
      </c>
      <c r="E815" s="15" t="str">
        <f>IFERROR(__xludf.DUMMYFUNCTION("""COMPUTED_VALUE"""),"Not ranking")</f>
        <v>Not ranking</v>
      </c>
      <c r="F815" s="18" t="str">
        <f>IFERROR(__xludf.DUMMYFUNCTION("""COMPUTED_VALUE"""),"Not ranking")</f>
        <v>Not ranking</v>
      </c>
      <c r="G815" s="17" t="str">
        <f>IFERROR(__xludf.DUMMYFUNCTION("""COMPUTED_VALUE"""),"https://realtree.com/the-realblog-with-stephanie-mallory/taxidermist-discovers-third-eye-when-preparing-deer-for-european")</f>
        <v>https://realtree.com/the-realblog-with-stephanie-mallory/taxidermist-discovers-third-eye-when-preparing-deer-for-european</v>
      </c>
      <c r="H815" s="18" t="str">
        <f>IFERROR(__xludf.DUMMYFUNCTION("""COMPUTED_VALUE"""),"Not ranking")</f>
        <v>Not ranking</v>
      </c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5" t="str">
        <f>IFERROR(__xludf.DUMMYFUNCTION("""COMPUTED_VALUE"""),"deer facts")</f>
        <v>deer facts</v>
      </c>
      <c r="B816" s="15" t="str">
        <f>IFERROR(__xludf.DUMMYFUNCTION("""COMPUTED_VALUE"""),"1300")</f>
        <v>1300</v>
      </c>
      <c r="C816" s="15" t="str">
        <f>IFERROR(__xludf.DUMMYFUNCTION("""COMPUTED_VALUE"""),"Not ranking")</f>
        <v>Not ranking</v>
      </c>
      <c r="D816" s="15" t="str">
        <f>IFERROR(__xludf.DUMMYFUNCTION("""COMPUTED_VALUE"""),"40")</f>
        <v>40</v>
      </c>
      <c r="E816" s="15" t="str">
        <f>IFERROR(__xludf.DUMMYFUNCTION("""COMPUTED_VALUE"""),"Not ranking")</f>
        <v>Not ranking</v>
      </c>
      <c r="F816" s="18" t="str">
        <f>IFERROR(__xludf.DUMMYFUNCTION("""COMPUTED_VALUE"""),"Not ranking")</f>
        <v>Not ranking</v>
      </c>
      <c r="G816" s="17" t="str">
        <f>IFERROR(__xludf.DUMMYFUNCTION("""COMPUTED_VALUE"""),"https://realtree.com/deer-hunting/articles/15-fascinating-facts-about-whitetail-biology-and-behavior")</f>
        <v>https://realtree.com/deer-hunting/articles/15-fascinating-facts-about-whitetail-biology-and-behavior</v>
      </c>
      <c r="H816" s="18" t="str">
        <f>IFERROR(__xludf.DUMMYFUNCTION("""COMPUTED_VALUE"""),"Not ranking")</f>
        <v>Not ranking</v>
      </c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5" t="str">
        <f>IFERROR(__xludf.DUMMYFUNCTION("""COMPUTED_VALUE"""),"deer feeding times by zip code")</f>
        <v>deer feeding times by zip code</v>
      </c>
      <c r="B817" s="15" t="str">
        <f>IFERROR(__xludf.DUMMYFUNCTION("""COMPUTED_VALUE"""),"1300")</f>
        <v>1300</v>
      </c>
      <c r="C817" s="15" t="str">
        <f>IFERROR(__xludf.DUMMYFUNCTION("""COMPUTED_VALUE"""),"Not ranking")</f>
        <v>Not ranking</v>
      </c>
      <c r="D817" s="15" t="str">
        <f>IFERROR(__xludf.DUMMYFUNCTION("""COMPUTED_VALUE"""),"Not ranking")</f>
        <v>Not ranking</v>
      </c>
      <c r="E817" s="15" t="str">
        <f>IFERROR(__xludf.DUMMYFUNCTION("""COMPUTED_VALUE"""),"30")</f>
        <v>30</v>
      </c>
      <c r="F817" s="18" t="str">
        <f>IFERROR(__xludf.DUMMYFUNCTION("""COMPUTED_VALUE"""),"Not ranking")</f>
        <v>Not ranking</v>
      </c>
      <c r="G817" s="18" t="str">
        <f>IFERROR(__xludf.DUMMYFUNCTION("""COMPUTED_VALUE"""),"Not ranking")</f>
        <v>Not ranking</v>
      </c>
      <c r="H817" s="17" t="str">
        <f>IFERROR(__xludf.DUMMYFUNCTION("""COMPUTED_VALUE"""),"https://www.wideopenspaces.com/what-are-the-best-deer-hunting-times-throughout-the-day/")</f>
        <v>https://www.wideopenspaces.com/what-are-the-best-deer-hunting-times-throughout-the-day/</v>
      </c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5" t="str">
        <f>IFERROR(__xludf.DUMMYFUNCTION("""COMPUTED_VALUE"""),"deer herd")</f>
        <v>deer herd</v>
      </c>
      <c r="B818" s="15" t="str">
        <f>IFERROR(__xludf.DUMMYFUNCTION("""COMPUTED_VALUE"""),"1300")</f>
        <v>1300</v>
      </c>
      <c r="C818" s="15" t="str">
        <f>IFERROR(__xludf.DUMMYFUNCTION("""COMPUTED_VALUE"""),"Not ranking")</f>
        <v>Not ranking</v>
      </c>
      <c r="D818" s="15" t="str">
        <f>IFERROR(__xludf.DUMMYFUNCTION("""COMPUTED_VALUE"""),"7")</f>
        <v>7</v>
      </c>
      <c r="E818" s="15" t="str">
        <f>IFERROR(__xludf.DUMMYFUNCTION("""COMPUTED_VALUE"""),"Not ranking")</f>
        <v>Not ranking</v>
      </c>
      <c r="F818" s="18" t="str">
        <f>IFERROR(__xludf.DUMMYFUNCTION("""COMPUTED_VALUE"""),"Not ranking")</f>
        <v>Not ranking</v>
      </c>
      <c r="G818" s="17" t="str">
        <f>IFERROR(__xludf.DUMMYFUNCTION("""COMPUTED_VALUE"""),"https://realtree.com/deer-hunting/articles/how-managing-for-older-bigger-bucks-helps-the-entire-deer-herd")</f>
        <v>https://realtree.com/deer-hunting/articles/how-managing-for-older-bigger-bucks-helps-the-entire-deer-herd</v>
      </c>
      <c r="H818" s="18" t="str">
        <f>IFERROR(__xludf.DUMMYFUNCTION("""COMPUTED_VALUE"""),"Not ranking")</f>
        <v>Not ranking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5" t="str">
        <f>IFERROR(__xludf.DUMMYFUNCTION("""COMPUTED_VALUE"""),"deer hunting season pa 2022")</f>
        <v>deer hunting season pa 2022</v>
      </c>
      <c r="B819" s="15" t="str">
        <f>IFERROR(__xludf.DUMMYFUNCTION("""COMPUTED_VALUE"""),"1300")</f>
        <v>1300</v>
      </c>
      <c r="C819" s="15" t="str">
        <f>IFERROR(__xludf.DUMMYFUNCTION("""COMPUTED_VALUE"""),"Not ranking")</f>
        <v>Not ranking</v>
      </c>
      <c r="D819" s="15" t="str">
        <f>IFERROR(__xludf.DUMMYFUNCTION("""COMPUTED_VALUE"""),"61")</f>
        <v>61</v>
      </c>
      <c r="E819" s="15" t="str">
        <f>IFERROR(__xludf.DUMMYFUNCTION("""COMPUTED_VALUE"""),"66")</f>
        <v>66</v>
      </c>
      <c r="F819" s="18" t="str">
        <f>IFERROR(__xludf.DUMMYFUNCTION("""COMPUTED_VALUE"""),"Not ranking")</f>
        <v>Not ranking</v>
      </c>
      <c r="G819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819" s="17" t="str">
        <f>IFERROR(__xludf.DUMMYFUNCTION("""COMPUTED_VALUE"""),"https://www.wideopenspaces.com/pennsylvania-deer-hunting/")</f>
        <v>https://www.wideopenspaces.com/pennsylvania-deer-hunting/</v>
      </c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5" t="str">
        <f>IFERROR(__xludf.DUMMYFUNCTION("""COMPUTED_VALUE"""),"deer hunting season wisconsin")</f>
        <v>deer hunting season wisconsin</v>
      </c>
      <c r="B820" s="15" t="str">
        <f>IFERROR(__xludf.DUMMYFUNCTION("""COMPUTED_VALUE"""),"1300")</f>
        <v>1300</v>
      </c>
      <c r="C820" s="15" t="str">
        <f>IFERROR(__xludf.DUMMYFUNCTION("""COMPUTED_VALUE"""),"Not ranking")</f>
        <v>Not ranking</v>
      </c>
      <c r="D820" s="15" t="str">
        <f>IFERROR(__xludf.DUMMYFUNCTION("""COMPUTED_VALUE"""),"12")</f>
        <v>12</v>
      </c>
      <c r="E820" s="15" t="str">
        <f>IFERROR(__xludf.DUMMYFUNCTION("""COMPUTED_VALUE"""),"47")</f>
        <v>47</v>
      </c>
      <c r="F820" s="18" t="str">
        <f>IFERROR(__xludf.DUMMYFUNCTION("""COMPUTED_VALUE"""),"Not ranking")</f>
        <v>Not ranking</v>
      </c>
      <c r="G820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820" s="17" t="str">
        <f>IFERROR(__xludf.DUMMYFUNCTION("""COMPUTED_VALUE"""),"https://www.wideopenspaces.com/wisconsin-deer-hunting-everything-hunters-need-to-know/")</f>
        <v>https://www.wideopenspaces.com/wisconsin-deer-hunting-everything-hunters-need-to-know/</v>
      </c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5" t="str">
        <f>IFERROR(__xludf.DUMMYFUNCTION("""COMPUTED_VALUE"""),"deer memes")</f>
        <v>deer memes</v>
      </c>
      <c r="B821" s="15" t="str">
        <f>IFERROR(__xludf.DUMMYFUNCTION("""COMPUTED_VALUE"""),"1300")</f>
        <v>1300</v>
      </c>
      <c r="C821" s="15" t="str">
        <f>IFERROR(__xludf.DUMMYFUNCTION("""COMPUTED_VALUE"""),"Not ranking")</f>
        <v>Not ranking</v>
      </c>
      <c r="D821" s="15" t="str">
        <f>IFERROR(__xludf.DUMMYFUNCTION("""COMPUTED_VALUE"""),"Not ranking")</f>
        <v>Not ranking</v>
      </c>
      <c r="E821" s="15" t="str">
        <f>IFERROR(__xludf.DUMMYFUNCTION("""COMPUTED_VALUE"""),"4")</f>
        <v>4</v>
      </c>
      <c r="F821" s="18" t="str">
        <f>IFERROR(__xludf.DUMMYFUNCTION("""COMPUTED_VALUE"""),"Not ranking")</f>
        <v>Not ranking</v>
      </c>
      <c r="G821" s="18" t="str">
        <f>IFERROR(__xludf.DUMMYFUNCTION("""COMPUTED_VALUE"""),"Not ranking")</f>
        <v>Not ranking</v>
      </c>
      <c r="H821" s="17" t="str">
        <f>IFERROR(__xludf.DUMMYFUNCTION("""COMPUTED_VALUE"""),"https://www.wideopenspaces.com/whitetailwednesday-15-hilarious-deer-hunting-memes-true/")</f>
        <v>https://www.wideopenspaces.com/whitetailwednesday-15-hilarious-deer-hunting-memes-true/</v>
      </c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5" t="str">
        <f>IFERROR(__xludf.DUMMYFUNCTION("""COMPUTED_VALUE"""),"deer mineral block")</f>
        <v>deer mineral block</v>
      </c>
      <c r="B822" s="15" t="str">
        <f>IFERROR(__xludf.DUMMYFUNCTION("""COMPUTED_VALUE"""),"1300")</f>
        <v>1300</v>
      </c>
      <c r="C822" s="15" t="str">
        <f>IFERROR(__xludf.DUMMYFUNCTION("""COMPUTED_VALUE"""),"Not ranking")</f>
        <v>Not ranking</v>
      </c>
      <c r="D822" s="15" t="str">
        <f>IFERROR(__xludf.DUMMYFUNCTION("""COMPUTED_VALUE"""),"80")</f>
        <v>80</v>
      </c>
      <c r="E822" s="15" t="str">
        <f>IFERROR(__xludf.DUMMYFUNCTION("""COMPUTED_VALUE"""),"Not ranking")</f>
        <v>Not ranking</v>
      </c>
      <c r="F822" s="18" t="str">
        <f>IFERROR(__xludf.DUMMYFUNCTION("""COMPUTED_VALUE"""),"Not ranking")</f>
        <v>Not ranking</v>
      </c>
      <c r="G822" s="17" t="str">
        <f>IFERROR(__xludf.DUMMYFUNCTION("""COMPUTED_VALUE"""),"https://oldforums.realtree.com/topic/102277-mineralsalt-blocks/")</f>
        <v>https://oldforums.realtree.com/topic/102277-mineralsalt-blocks/</v>
      </c>
      <c r="H822" s="18" t="str">
        <f>IFERROR(__xludf.DUMMYFUNCTION("""COMPUTED_VALUE"""),"Not ranking")</f>
        <v>Not ranking</v>
      </c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5" t="str">
        <f>IFERROR(__xludf.DUMMYFUNCTION("""COMPUTED_VALUE"""),"deer mount ideas")</f>
        <v>deer mount ideas</v>
      </c>
      <c r="B823" s="15" t="str">
        <f>IFERROR(__xludf.DUMMYFUNCTION("""COMPUTED_VALUE"""),"1300")</f>
        <v>1300</v>
      </c>
      <c r="C823" s="15" t="str">
        <f>IFERROR(__xludf.DUMMYFUNCTION("""COMPUTED_VALUE"""),"Not ranking")</f>
        <v>Not ranking</v>
      </c>
      <c r="D823" s="15" t="str">
        <f>IFERROR(__xludf.DUMMYFUNCTION("""COMPUTED_VALUE"""),"36")</f>
        <v>36</v>
      </c>
      <c r="E823" s="15" t="str">
        <f>IFERROR(__xludf.DUMMYFUNCTION("""COMPUTED_VALUE"""),"4")</f>
        <v>4</v>
      </c>
      <c r="F823" s="18" t="str">
        <f>IFERROR(__xludf.DUMMYFUNCTION("""COMPUTED_VALUE"""),"Not ranking")</f>
        <v>Not ranking</v>
      </c>
      <c r="G823" s="17" t="str">
        <f>IFERROR(__xludf.DUMMYFUNCTION("""COMPUTED_VALUE"""),"https://realtree.com/brow-tines-and-backstrap/20-crazy-good-deer-mounts-from-the-nwtf-convention")</f>
        <v>https://realtree.com/brow-tines-and-backstrap/20-crazy-good-deer-mounts-from-the-nwtf-convention</v>
      </c>
      <c r="H823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5" t="str">
        <f>IFERROR(__xludf.DUMMYFUNCTION("""COMPUTED_VALUE"""),"deer opener in mn")</f>
        <v>deer opener in mn</v>
      </c>
      <c r="B824" s="15" t="str">
        <f>IFERROR(__xludf.DUMMYFUNCTION("""COMPUTED_VALUE"""),"1300")</f>
        <v>1300</v>
      </c>
      <c r="C824" s="15" t="str">
        <f>IFERROR(__xludf.DUMMYFUNCTION("""COMPUTED_VALUE"""),"Not ranking")</f>
        <v>Not ranking</v>
      </c>
      <c r="D824" s="15" t="str">
        <f>IFERROR(__xludf.DUMMYFUNCTION("""COMPUTED_VALUE"""),"Not ranking")</f>
        <v>Not ranking</v>
      </c>
      <c r="E824" s="15" t="str">
        <f>IFERROR(__xludf.DUMMYFUNCTION("""COMPUTED_VALUE"""),"57")</f>
        <v>57</v>
      </c>
      <c r="F824" s="18" t="str">
        <f>IFERROR(__xludf.DUMMYFUNCTION("""COMPUTED_VALUE"""),"Not ranking")</f>
        <v>Not ranking</v>
      </c>
      <c r="G824" s="18" t="str">
        <f>IFERROR(__xludf.DUMMYFUNCTION("""COMPUTED_VALUE"""),"Not ranking")</f>
        <v>Not ranking</v>
      </c>
      <c r="H824" s="17" t="str">
        <f>IFERROR(__xludf.DUMMYFUNCTION("""COMPUTED_VALUE"""),"https://www.wideopenspaces.com/mn-deer-hunting-zones/")</f>
        <v>https://www.wideopenspaces.com/mn-deer-hunting-zones/</v>
      </c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5" t="str">
        <f>IFERROR(__xludf.DUMMYFUNCTION("""COMPUTED_VALUE"""),"deer opener mn")</f>
        <v>deer opener mn</v>
      </c>
      <c r="B825" s="15" t="str">
        <f>IFERROR(__xludf.DUMMYFUNCTION("""COMPUTED_VALUE"""),"1300")</f>
        <v>1300</v>
      </c>
      <c r="C825" s="15" t="str">
        <f>IFERROR(__xludf.DUMMYFUNCTION("""COMPUTED_VALUE"""),"Not ranking")</f>
        <v>Not ranking</v>
      </c>
      <c r="D825" s="15" t="str">
        <f>IFERROR(__xludf.DUMMYFUNCTION("""COMPUTED_VALUE"""),"Not ranking")</f>
        <v>Not ranking</v>
      </c>
      <c r="E825" s="15" t="str">
        <f>IFERROR(__xludf.DUMMYFUNCTION("""COMPUTED_VALUE"""),"95")</f>
        <v>95</v>
      </c>
      <c r="F825" s="18" t="str">
        <f>IFERROR(__xludf.DUMMYFUNCTION("""COMPUTED_VALUE"""),"Not ranking")</f>
        <v>Not ranking</v>
      </c>
      <c r="G825" s="18" t="str">
        <f>IFERROR(__xludf.DUMMYFUNCTION("""COMPUTED_VALUE"""),"Not ranking")</f>
        <v>Not ranking</v>
      </c>
      <c r="H825" s="17" t="str">
        <f>IFERROR(__xludf.DUMMYFUNCTION("""COMPUTED_VALUE"""),"https://www.wideopenspaces.com/mn-turkey-season/")</f>
        <v>https://www.wideopenspaces.com/mn-turkey-season/</v>
      </c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5" t="str">
        <f>IFERROR(__xludf.DUMMYFUNCTION("""COMPUTED_VALUE"""),"deer pantry")</f>
        <v>deer pantry</v>
      </c>
      <c r="B826" s="15" t="str">
        <f>IFERROR(__xludf.DUMMYFUNCTION("""COMPUTED_VALUE"""),"1300")</f>
        <v>1300</v>
      </c>
      <c r="C826" s="15" t="str">
        <f>IFERROR(__xludf.DUMMYFUNCTION("""COMPUTED_VALUE"""),"Not ranking")</f>
        <v>Not ranking</v>
      </c>
      <c r="D826" s="15" t="str">
        <f>IFERROR(__xludf.DUMMYFUNCTION("""COMPUTED_VALUE"""),"7")</f>
        <v>7</v>
      </c>
      <c r="E826" s="15" t="str">
        <f>IFERROR(__xludf.DUMMYFUNCTION("""COMPUTED_VALUE"""),"Not ranking")</f>
        <v>Not ranking</v>
      </c>
      <c r="F826" s="18" t="str">
        <f>IFERROR(__xludf.DUMMYFUNCTION("""COMPUTED_VALUE"""),"Not ranking")</f>
        <v>Not ranking</v>
      </c>
      <c r="G826" s="17" t="str">
        <f>IFERROR(__xludf.DUMMYFUNCTION("""COMPUTED_VALUE"""),"https://realtree.com/the-realblog-with-stephanie-mallory/watch-live-cam-of-maine-deer-pantry")</f>
        <v>https://realtree.com/the-realblog-with-stephanie-mallory/watch-live-cam-of-maine-deer-pantry</v>
      </c>
      <c r="H826" s="18" t="str">
        <f>IFERROR(__xludf.DUMMYFUNCTION("""COMPUTED_VALUE"""),"Not ranking")</f>
        <v>Not ranking</v>
      </c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5" t="str">
        <f>IFERROR(__xludf.DUMMYFUNCTION("""COMPUTED_VALUE"""),"deer season alabama")</f>
        <v>deer season alabama</v>
      </c>
      <c r="B827" s="15" t="str">
        <f>IFERROR(__xludf.DUMMYFUNCTION("""COMPUTED_VALUE"""),"1300")</f>
        <v>1300</v>
      </c>
      <c r="C827" s="15" t="str">
        <f>IFERROR(__xludf.DUMMYFUNCTION("""COMPUTED_VALUE"""),"Not ranking")</f>
        <v>Not ranking</v>
      </c>
      <c r="D827" s="15" t="str">
        <f>IFERROR(__xludf.DUMMYFUNCTION("""COMPUTED_VALUE"""),"67")</f>
        <v>67</v>
      </c>
      <c r="E827" s="15" t="str">
        <f>IFERROR(__xludf.DUMMYFUNCTION("""COMPUTED_VALUE"""),"89")</f>
        <v>89</v>
      </c>
      <c r="F827" s="18" t="str">
        <f>IFERROR(__xludf.DUMMYFUNCTION("""COMPUTED_VALUE"""),"Not ranking")</f>
        <v>Not ranking</v>
      </c>
      <c r="G827" s="17" t="str">
        <f>IFERROR(__xludf.DUMMYFUNCTION("""COMPUTED_VALUE"""),"https://realtree.com/brow-tines-and-backstrap/debate-settled-deep-south-deer-are-the-toughest-to-hunt")</f>
        <v>https://realtree.com/brow-tines-and-backstrap/debate-settled-deep-south-deer-are-the-toughest-to-hunt</v>
      </c>
      <c r="H827" s="17" t="str">
        <f>IFERROR(__xludf.DUMMYFUNCTION("""COMPUTED_VALUE"""),"https://www.wideopenspaces.com/alabama-hunting-license/")</f>
        <v>https://www.wideopenspaces.com/alabama-hunting-license/</v>
      </c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5" t="str">
        <f>IFERROR(__xludf.DUMMYFUNCTION("""COMPUTED_VALUE"""),"deer season arkansas")</f>
        <v>deer season arkansas</v>
      </c>
      <c r="B828" s="15" t="str">
        <f>IFERROR(__xludf.DUMMYFUNCTION("""COMPUTED_VALUE"""),"1300")</f>
        <v>1300</v>
      </c>
      <c r="C828" s="15" t="str">
        <f>IFERROR(__xludf.DUMMYFUNCTION("""COMPUTED_VALUE"""),"Not ranking")</f>
        <v>Not ranking</v>
      </c>
      <c r="D828" s="15" t="str">
        <f>IFERROR(__xludf.DUMMYFUNCTION("""COMPUTED_VALUE"""),"48")</f>
        <v>48</v>
      </c>
      <c r="E828" s="15" t="str">
        <f>IFERROR(__xludf.DUMMYFUNCTION("""COMPUTED_VALUE"""),"Not ranking")</f>
        <v>Not ranking</v>
      </c>
      <c r="F828" s="18" t="str">
        <f>IFERROR(__xludf.DUMMYFUNCTION("""COMPUTED_VALUE"""),"Not ranking")</f>
        <v>Not ranking</v>
      </c>
      <c r="G828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828" s="18" t="str">
        <f>IFERROR(__xludf.DUMMYFUNCTION("""COMPUTED_VALUE"""),"Not ranking")</f>
        <v>Not ranking</v>
      </c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5" t="str">
        <f>IFERROR(__xludf.DUMMYFUNCTION("""COMPUTED_VALUE"""),"deer season ga 2022")</f>
        <v>deer season ga 2022</v>
      </c>
      <c r="B829" s="15" t="str">
        <f>IFERROR(__xludf.DUMMYFUNCTION("""COMPUTED_VALUE"""),"1300")</f>
        <v>1300</v>
      </c>
      <c r="C829" s="15" t="str">
        <f>IFERROR(__xludf.DUMMYFUNCTION("""COMPUTED_VALUE"""),"Not ranking")</f>
        <v>Not ranking</v>
      </c>
      <c r="D829" s="15" t="str">
        <f>IFERROR(__xludf.DUMMYFUNCTION("""COMPUTED_VALUE"""),"29")</f>
        <v>29</v>
      </c>
      <c r="E829" s="15" t="str">
        <f>IFERROR(__xludf.DUMMYFUNCTION("""COMPUTED_VALUE"""),"35")</f>
        <v>35</v>
      </c>
      <c r="F829" s="18" t="str">
        <f>IFERROR(__xludf.DUMMYFUNCTION("""COMPUTED_VALUE"""),"Not ranking")</f>
        <v>Not ranking</v>
      </c>
      <c r="G82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829" s="17" t="str">
        <f>IFERROR(__xludf.DUMMYFUNCTION("""COMPUTED_VALUE"""),"https://www.wideopenspaces.com/when-does-deer-season-end-in-georgia/")</f>
        <v>https://www.wideopenspaces.com/when-does-deer-season-end-in-georgia/</v>
      </c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5" t="str">
        <f>IFERROR(__xludf.DUMMYFUNCTION("""COMPUTED_VALUE"""),"deer season indiana")</f>
        <v>deer season indiana</v>
      </c>
      <c r="B830" s="15" t="str">
        <f>IFERROR(__xludf.DUMMYFUNCTION("""COMPUTED_VALUE"""),"1300")</f>
        <v>1300</v>
      </c>
      <c r="C830" s="15" t="str">
        <f>IFERROR(__xludf.DUMMYFUNCTION("""COMPUTED_VALUE"""),"Not ranking")</f>
        <v>Not ranking</v>
      </c>
      <c r="D830" s="15" t="str">
        <f>IFERROR(__xludf.DUMMYFUNCTION("""COMPUTED_VALUE"""),"Not ranking")</f>
        <v>Not ranking</v>
      </c>
      <c r="E830" s="15" t="str">
        <f>IFERROR(__xludf.DUMMYFUNCTION("""COMPUTED_VALUE"""),"58")</f>
        <v>58</v>
      </c>
      <c r="F830" s="18" t="str">
        <f>IFERROR(__xludf.DUMMYFUNCTION("""COMPUTED_VALUE"""),"Not ranking")</f>
        <v>Not ranking</v>
      </c>
      <c r="G830" s="18" t="str">
        <f>IFERROR(__xludf.DUMMYFUNCTION("""COMPUTED_VALUE"""),"Not ranking")</f>
        <v>Not ranking</v>
      </c>
      <c r="H830" s="17" t="str">
        <f>IFERROR(__xludf.DUMMYFUNCTION("""COMPUTED_VALUE"""),"https://www.wideopenspaces.com/indiana-hunting-license/")</f>
        <v>https://www.wideopenspaces.com/indiana-hunting-license/</v>
      </c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5" t="str">
        <f>IFERROR(__xludf.DUMMYFUNCTION("""COMPUTED_VALUE"""),"deer season oklahoma")</f>
        <v>deer season oklahoma</v>
      </c>
      <c r="B831" s="15" t="str">
        <f>IFERROR(__xludf.DUMMYFUNCTION("""COMPUTED_VALUE"""),"1300")</f>
        <v>1300</v>
      </c>
      <c r="C831" s="15" t="str">
        <f>IFERROR(__xludf.DUMMYFUNCTION("""COMPUTED_VALUE"""),"Not ranking")</f>
        <v>Not ranking</v>
      </c>
      <c r="D831" s="15" t="str">
        <f>IFERROR(__xludf.DUMMYFUNCTION("""COMPUTED_VALUE"""),"Not ranking")</f>
        <v>Not ranking</v>
      </c>
      <c r="E831" s="15" t="str">
        <f>IFERROR(__xludf.DUMMYFUNCTION("""COMPUTED_VALUE"""),"89")</f>
        <v>89</v>
      </c>
      <c r="F831" s="18" t="str">
        <f>IFERROR(__xludf.DUMMYFUNCTION("""COMPUTED_VALUE"""),"Not ranking")</f>
        <v>Not ranking</v>
      </c>
      <c r="G831" s="18" t="str">
        <f>IFERROR(__xludf.DUMMYFUNCTION("""COMPUTED_VALUE"""),"Not ranking")</f>
        <v>Not ranking</v>
      </c>
      <c r="H831" s="17" t="str">
        <f>IFERROR(__xludf.DUMMYFUNCTION("""COMPUTED_VALUE"""),"https://www.wideopenspaces.com/the-great-big-oklahoma-deer-hunting-guide/")</f>
        <v>https://www.wideopenspaces.com/the-great-big-oklahoma-deer-hunting-guide/</v>
      </c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5" t="str">
        <f>IFERROR(__xludf.DUMMYFUNCTION("""COMPUTED_VALUE"""),"deer season sc")</f>
        <v>deer season sc</v>
      </c>
      <c r="B832" s="15" t="str">
        <f>IFERROR(__xludf.DUMMYFUNCTION("""COMPUTED_VALUE"""),"1300")</f>
        <v>1300</v>
      </c>
      <c r="C832" s="15" t="str">
        <f>IFERROR(__xludf.DUMMYFUNCTION("""COMPUTED_VALUE"""),"Not ranking")</f>
        <v>Not ranking</v>
      </c>
      <c r="D832" s="15" t="str">
        <f>IFERROR(__xludf.DUMMYFUNCTION("""COMPUTED_VALUE"""),"99")</f>
        <v>99</v>
      </c>
      <c r="E832" s="15" t="str">
        <f>IFERROR(__xludf.DUMMYFUNCTION("""COMPUTED_VALUE"""),"Not ranking")</f>
        <v>Not ranking</v>
      </c>
      <c r="F832" s="18" t="str">
        <f>IFERROR(__xludf.DUMMYFUNCTION("""COMPUTED_VALUE"""),"Not ranking")</f>
        <v>Not ranking</v>
      </c>
      <c r="G832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832" s="18" t="str">
        <f>IFERROR(__xludf.DUMMYFUNCTION("""COMPUTED_VALUE"""),"Not ranking")</f>
        <v>Not ranking</v>
      </c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5" t="str">
        <f>IFERROR(__xludf.DUMMYFUNCTION("""COMPUTED_VALUE"""),"deer season tn")</f>
        <v>deer season tn</v>
      </c>
      <c r="B833" s="15" t="str">
        <f>IFERROR(__xludf.DUMMYFUNCTION("""COMPUTED_VALUE"""),"1300")</f>
        <v>1300</v>
      </c>
      <c r="C833" s="15" t="str">
        <f>IFERROR(__xludf.DUMMYFUNCTION("""COMPUTED_VALUE"""),"Not ranking")</f>
        <v>Not ranking</v>
      </c>
      <c r="D833" s="15" t="str">
        <f>IFERROR(__xludf.DUMMYFUNCTION("""COMPUTED_VALUE"""),"98")</f>
        <v>98</v>
      </c>
      <c r="E833" s="15" t="str">
        <f>IFERROR(__xludf.DUMMYFUNCTION("""COMPUTED_VALUE"""),"Not ranking")</f>
        <v>Not ranking</v>
      </c>
      <c r="F833" s="18" t="str">
        <f>IFERROR(__xludf.DUMMYFUNCTION("""COMPUTED_VALUE"""),"Not ranking")</f>
        <v>Not ranking</v>
      </c>
      <c r="G833" s="17" t="str">
        <f>IFERROR(__xludf.DUMMYFUNCTION("""COMPUTED_VALUE"""),"https://realtree.com/deer-hunting/articles/deer-hunting-the-late-season")</f>
        <v>https://realtree.com/deer-hunting/articles/deer-hunting-the-late-season</v>
      </c>
      <c r="H833" s="18" t="str">
        <f>IFERROR(__xludf.DUMMYFUNCTION("""COMPUTED_VALUE"""),"Not ranking")</f>
        <v>Not ranking</v>
      </c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5" t="str">
        <f>IFERROR(__xludf.DUMMYFUNCTION("""COMPUTED_VALUE"""),"deer skinning knife")</f>
        <v>deer skinning knife</v>
      </c>
      <c r="B834" s="15" t="str">
        <f>IFERROR(__xludf.DUMMYFUNCTION("""COMPUTED_VALUE"""),"1300")</f>
        <v>1300</v>
      </c>
      <c r="C834" s="15" t="str">
        <f>IFERROR(__xludf.DUMMYFUNCTION("""COMPUTED_VALUE"""),"Not ranking")</f>
        <v>Not ranking</v>
      </c>
      <c r="D834" s="15" t="str">
        <f>IFERROR(__xludf.DUMMYFUNCTION("""COMPUTED_VALUE"""),"21")</f>
        <v>21</v>
      </c>
      <c r="E834" s="15" t="str">
        <f>IFERROR(__xludf.DUMMYFUNCTION("""COMPUTED_VALUE"""),"Not ranking")</f>
        <v>Not ranking</v>
      </c>
      <c r="F834" s="18" t="str">
        <f>IFERROR(__xludf.DUMMYFUNCTION("""COMPUTED_VALUE"""),"Not ranking")</f>
        <v>Not ranking</v>
      </c>
      <c r="G834" s="17" t="str">
        <f>IFERROR(__xludf.DUMMYFUNCTION("""COMPUTED_VALUE"""),"https://realtree.com/brow-tines-and-backstrap/15-steps-to-forge-your-own-deer-skinning-knife")</f>
        <v>https://realtree.com/brow-tines-and-backstrap/15-steps-to-forge-your-own-deer-skinning-knife</v>
      </c>
      <c r="H834" s="18" t="str">
        <f>IFERROR(__xludf.DUMMYFUNCTION("""COMPUTED_VALUE"""),"Not ranking")</f>
        <v>Not ranking</v>
      </c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5" t="str">
        <f>IFERROR(__xludf.DUMMYFUNCTION("""COMPUTED_VALUE"""),"deer's life span")</f>
        <v>deer's life span</v>
      </c>
      <c r="B835" s="15" t="str">
        <f>IFERROR(__xludf.DUMMYFUNCTION("""COMPUTED_VALUE"""),"1300")</f>
        <v>1300</v>
      </c>
      <c r="C835" s="15" t="str">
        <f>IFERROR(__xludf.DUMMYFUNCTION("""COMPUTED_VALUE"""),"Not ranking")</f>
        <v>Not ranking</v>
      </c>
      <c r="D835" s="15" t="str">
        <f>IFERROR(__xludf.DUMMYFUNCTION("""COMPUTED_VALUE"""),"5")</f>
        <v>5</v>
      </c>
      <c r="E835" s="15" t="str">
        <f>IFERROR(__xludf.DUMMYFUNCTION("""COMPUTED_VALUE"""),"15")</f>
        <v>15</v>
      </c>
      <c r="F835" s="18" t="str">
        <f>IFERROR(__xludf.DUMMYFUNCTION("""COMPUTED_VALUE"""),"Not ranking")</f>
        <v>Not ranking</v>
      </c>
      <c r="G835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835" s="17" t="str">
        <f>IFERROR(__xludf.DUMMYFUNCTION("""COMPUTED_VALUE"""),"https://www.wideopenspaces.com/lifespan-whitetail-deer/")</f>
        <v>https://www.wideopenspaces.com/lifespan-whitetail-deer/</v>
      </c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5" t="str">
        <f>IFERROR(__xludf.DUMMYFUNCTION("""COMPUTED_VALUE"""),"do deer eat carrots")</f>
        <v>do deer eat carrots</v>
      </c>
      <c r="B836" s="15" t="str">
        <f>IFERROR(__xludf.DUMMYFUNCTION("""COMPUTED_VALUE"""),"1300")</f>
        <v>1300</v>
      </c>
      <c r="C836" s="15" t="str">
        <f>IFERROR(__xludf.DUMMYFUNCTION("""COMPUTED_VALUE"""),"Not ranking")</f>
        <v>Not ranking</v>
      </c>
      <c r="D836" s="15" t="str">
        <f>IFERROR(__xludf.DUMMYFUNCTION("""COMPUTED_VALUE"""),"Not ranking")</f>
        <v>Not ranking</v>
      </c>
      <c r="E836" s="15" t="str">
        <f>IFERROR(__xludf.DUMMYFUNCTION("""COMPUTED_VALUE"""),"79")</f>
        <v>79</v>
      </c>
      <c r="F836" s="18" t="str">
        <f>IFERROR(__xludf.DUMMYFUNCTION("""COMPUTED_VALUE"""),"Not ranking")</f>
        <v>Not ranking</v>
      </c>
      <c r="G836" s="18" t="str">
        <f>IFERROR(__xludf.DUMMYFUNCTION("""COMPUTED_VALUE"""),"Not ranking")</f>
        <v>Not ranking</v>
      </c>
      <c r="H836" s="17" t="str">
        <f>IFERROR(__xludf.DUMMYFUNCTION("""COMPUTED_VALUE"""),"https://www.wideopenspaces.com/what-do-deer-eat/")</f>
        <v>https://www.wideopenspaces.com/what-do-deer-eat/</v>
      </c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5" t="str">
        <f>IFERROR(__xludf.DUMMYFUNCTION("""COMPUTED_VALUE"""),"do deer eat sunflowers")</f>
        <v>do deer eat sunflowers</v>
      </c>
      <c r="B837" s="15" t="str">
        <f>IFERROR(__xludf.DUMMYFUNCTION("""COMPUTED_VALUE"""),"1300")</f>
        <v>1300</v>
      </c>
      <c r="C837" s="15" t="str">
        <f>IFERROR(__xludf.DUMMYFUNCTION("""COMPUTED_VALUE"""),"Not ranking")</f>
        <v>Not ranking</v>
      </c>
      <c r="D837" s="15" t="str">
        <f>IFERROR(__xludf.DUMMYFUNCTION("""COMPUTED_VALUE"""),"31")</f>
        <v>31</v>
      </c>
      <c r="E837" s="15" t="str">
        <f>IFERROR(__xludf.DUMMYFUNCTION("""COMPUTED_VALUE"""),"Not ranking")</f>
        <v>Not ranking</v>
      </c>
      <c r="F837" s="18" t="str">
        <f>IFERROR(__xludf.DUMMYFUNCTION("""COMPUTED_VALUE"""),"Not ranking")</f>
        <v>Not ranking</v>
      </c>
      <c r="G837" s="17" t="str">
        <f>IFERROR(__xludf.DUMMYFUNCTION("""COMPUTED_VALUE"""),"https://realtree.com/food-plots-and-land-management/articles/food-plot-seed-how-to-plant-sunflowers")</f>
        <v>https://realtree.com/food-plots-and-land-management/articles/food-plot-seed-how-to-plant-sunflowers</v>
      </c>
      <c r="H837" s="18" t="str">
        <f>IFERROR(__xludf.DUMMYFUNCTION("""COMPUTED_VALUE"""),"Not ranking")</f>
        <v>Not ranking</v>
      </c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5" t="str">
        <f>IFERROR(__xludf.DUMMYFUNCTION("""COMPUTED_VALUE"""),"full sneak deer mount")</f>
        <v>full sneak deer mount</v>
      </c>
      <c r="B838" s="15" t="str">
        <f>IFERROR(__xludf.DUMMYFUNCTION("""COMPUTED_VALUE"""),"1300")</f>
        <v>1300</v>
      </c>
      <c r="C838" s="15" t="str">
        <f>IFERROR(__xludf.DUMMYFUNCTION("""COMPUTED_VALUE"""),"Not ranking")</f>
        <v>Not ranking</v>
      </c>
      <c r="D838" s="15" t="str">
        <f>IFERROR(__xludf.DUMMYFUNCTION("""COMPUTED_VALUE"""),"26")</f>
        <v>26</v>
      </c>
      <c r="E838" s="15" t="str">
        <f>IFERROR(__xludf.DUMMYFUNCTION("""COMPUTED_VALUE"""),"33")</f>
        <v>33</v>
      </c>
      <c r="F838" s="18" t="str">
        <f>IFERROR(__xludf.DUMMYFUNCTION("""COMPUTED_VALUE"""),"Not ranking")</f>
        <v>Not ranking</v>
      </c>
      <c r="G838" s="17" t="str">
        <f>IFERROR(__xludf.DUMMYFUNCTION("""COMPUTED_VALUE"""),"https://realtree.com/brow-tines-and-backstrap/whitetail-taxidermy-poses-for-your-next-deer-mount")</f>
        <v>https://realtree.com/brow-tines-and-backstrap/whitetail-taxidermy-poses-for-your-next-deer-mount</v>
      </c>
      <c r="H838" s="17" t="str">
        <f>IFERROR(__xludf.DUMMYFUNCTION("""COMPUTED_VALUE"""),"https://www.wideopenspaces.com/taxidermy-deer-mount-how-much/")</f>
        <v>https://www.wideopenspaces.com/taxidermy-deer-mount-how-much/</v>
      </c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5" t="str">
        <f>IFERROR(__xludf.DUMMYFUNCTION("""COMPUTED_VALUE"""),"gestation period for white tailed deer")</f>
        <v>gestation period for white tailed deer</v>
      </c>
      <c r="B839" s="15" t="str">
        <f>IFERROR(__xludf.DUMMYFUNCTION("""COMPUTED_VALUE"""),"1300")</f>
        <v>1300</v>
      </c>
      <c r="C839" s="15" t="str">
        <f>IFERROR(__xludf.DUMMYFUNCTION("""COMPUTED_VALUE"""),"Not ranking")</f>
        <v>Not ranking</v>
      </c>
      <c r="D839" s="15" t="str">
        <f>IFERROR(__xludf.DUMMYFUNCTION("""COMPUTED_VALUE"""),"Not ranking")</f>
        <v>Not ranking</v>
      </c>
      <c r="E839" s="15" t="str">
        <f>IFERROR(__xludf.DUMMYFUNCTION("""COMPUTED_VALUE"""),"3")</f>
        <v>3</v>
      </c>
      <c r="F839" s="18" t="str">
        <f>IFERROR(__xludf.DUMMYFUNCTION("""COMPUTED_VALUE"""),"Not ranking")</f>
        <v>Not ranking</v>
      </c>
      <c r="G839" s="18" t="str">
        <f>IFERROR(__xludf.DUMMYFUNCTION("""COMPUTED_VALUE"""),"Not ranking")</f>
        <v>Not ranking</v>
      </c>
      <c r="H839" s="17" t="str">
        <f>IFERROR(__xludf.DUMMYFUNCTION("""COMPUTED_VALUE"""),"https://www.wideopenspaces.com/whitetail-deer-gestation-period/")</f>
        <v>https://www.wideopenspaces.com/whitetail-deer-gestation-period/</v>
      </c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5" t="str">
        <f>IFERROR(__xludf.DUMMYFUNCTION("""COMPUTED_VALUE"""),"gestation period for whitetail deer")</f>
        <v>gestation period for whitetail deer</v>
      </c>
      <c r="B840" s="15" t="str">
        <f>IFERROR(__xludf.DUMMYFUNCTION("""COMPUTED_VALUE"""),"1300")</f>
        <v>1300</v>
      </c>
      <c r="C840" s="15" t="str">
        <f>IFERROR(__xludf.DUMMYFUNCTION("""COMPUTED_VALUE"""),"Not ranking")</f>
        <v>Not ranking</v>
      </c>
      <c r="D840" s="15" t="str">
        <f>IFERROR(__xludf.DUMMYFUNCTION("""COMPUTED_VALUE"""),"Not ranking")</f>
        <v>Not ranking</v>
      </c>
      <c r="E840" s="15" t="str">
        <f>IFERROR(__xludf.DUMMYFUNCTION("""COMPUTED_VALUE"""),"3")</f>
        <v>3</v>
      </c>
      <c r="F840" s="18" t="str">
        <f>IFERROR(__xludf.DUMMYFUNCTION("""COMPUTED_VALUE"""),"Not ranking")</f>
        <v>Not ranking</v>
      </c>
      <c r="G840" s="18" t="str">
        <f>IFERROR(__xludf.DUMMYFUNCTION("""COMPUTED_VALUE"""),"Not ranking")</f>
        <v>Not ranking</v>
      </c>
      <c r="H840" s="17" t="str">
        <f>IFERROR(__xludf.DUMMYFUNCTION("""COMPUTED_VALUE"""),"https://www.wideopenspaces.com/whitetail-deer-gestation-period/")</f>
        <v>https://www.wideopenspaces.com/whitetail-deer-gestation-period/</v>
      </c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5" t="str">
        <f>IFERROR(__xludf.DUMMYFUNCTION("""COMPUTED_VALUE"""),"gestation period of a whitetail deer")</f>
        <v>gestation period of a whitetail deer</v>
      </c>
      <c r="B841" s="15" t="str">
        <f>IFERROR(__xludf.DUMMYFUNCTION("""COMPUTED_VALUE"""),"1300")</f>
        <v>1300</v>
      </c>
      <c r="C841" s="15" t="str">
        <f>IFERROR(__xludf.DUMMYFUNCTION("""COMPUTED_VALUE"""),"Not ranking")</f>
        <v>Not ranking</v>
      </c>
      <c r="D841" s="15" t="str">
        <f>IFERROR(__xludf.DUMMYFUNCTION("""COMPUTED_VALUE"""),"Not ranking")</f>
        <v>Not ranking</v>
      </c>
      <c r="E841" s="15" t="str">
        <f>IFERROR(__xludf.DUMMYFUNCTION("""COMPUTED_VALUE"""),"3")</f>
        <v>3</v>
      </c>
      <c r="F841" s="18" t="str">
        <f>IFERROR(__xludf.DUMMYFUNCTION("""COMPUTED_VALUE"""),"Not ranking")</f>
        <v>Not ranking</v>
      </c>
      <c r="G841" s="18" t="str">
        <f>IFERROR(__xludf.DUMMYFUNCTION("""COMPUTED_VALUE"""),"Not ranking")</f>
        <v>Not ranking</v>
      </c>
      <c r="H841" s="17" t="str">
        <f>IFERROR(__xludf.DUMMYFUNCTION("""COMPUTED_VALUE"""),"https://www.wideopenspaces.com/whitetail-deer-gestation-period/")</f>
        <v>https://www.wideopenspaces.com/whitetail-deer-gestation-period/</v>
      </c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5" t="str">
        <f>IFERROR(__xludf.DUMMYFUNCTION("""COMPUTED_VALUE"""),"gestation period of whitetail deer")</f>
        <v>gestation period of whitetail deer</v>
      </c>
      <c r="B842" s="15" t="str">
        <f>IFERROR(__xludf.DUMMYFUNCTION("""COMPUTED_VALUE"""),"1300")</f>
        <v>1300</v>
      </c>
      <c r="C842" s="15" t="str">
        <f>IFERROR(__xludf.DUMMYFUNCTION("""COMPUTED_VALUE"""),"Not ranking")</f>
        <v>Not ranking</v>
      </c>
      <c r="D842" s="15" t="str">
        <f>IFERROR(__xludf.DUMMYFUNCTION("""COMPUTED_VALUE"""),"Not ranking")</f>
        <v>Not ranking</v>
      </c>
      <c r="E842" s="15" t="str">
        <f>IFERROR(__xludf.DUMMYFUNCTION("""COMPUTED_VALUE"""),"4")</f>
        <v>4</v>
      </c>
      <c r="F842" s="18" t="str">
        <f>IFERROR(__xludf.DUMMYFUNCTION("""COMPUTED_VALUE"""),"Not ranking")</f>
        <v>Not ranking</v>
      </c>
      <c r="G842" s="18" t="str">
        <f>IFERROR(__xludf.DUMMYFUNCTION("""COMPUTED_VALUE"""),"Not ranking")</f>
        <v>Not ranking</v>
      </c>
      <c r="H842" s="17" t="str">
        <f>IFERROR(__xludf.DUMMYFUNCTION("""COMPUTED_VALUE"""),"https://www.wideopenspaces.com/whitetail-deer-gestation-period/")</f>
        <v>https://www.wideopenspaces.com/whitetail-deer-gestation-period/</v>
      </c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5" t="str">
        <f>IFERROR(__xludf.DUMMYFUNCTION("""COMPUTED_VALUE"""),"growing deer tv")</f>
        <v>growing deer tv</v>
      </c>
      <c r="B843" s="15" t="str">
        <f>IFERROR(__xludf.DUMMYFUNCTION("""COMPUTED_VALUE"""),"1300")</f>
        <v>1300</v>
      </c>
      <c r="C843" s="15" t="str">
        <f>IFERROR(__xludf.DUMMYFUNCTION("""COMPUTED_VALUE"""),"Not ranking")</f>
        <v>Not ranking</v>
      </c>
      <c r="D843" s="15" t="str">
        <f>IFERROR(__xludf.DUMMYFUNCTION("""COMPUTED_VALUE"""),"Not ranking")</f>
        <v>Not ranking</v>
      </c>
      <c r="E843" s="15" t="str">
        <f>IFERROR(__xludf.DUMMYFUNCTION("""COMPUTED_VALUE"""),"28")</f>
        <v>28</v>
      </c>
      <c r="F843" s="18" t="str">
        <f>IFERROR(__xludf.DUMMYFUNCTION("""COMPUTED_VALUE"""),"Not ranking")</f>
        <v>Not ranking</v>
      </c>
      <c r="G843" s="18" t="str">
        <f>IFERROR(__xludf.DUMMYFUNCTION("""COMPUTED_VALUE"""),"Not ranking")</f>
        <v>Not ranking</v>
      </c>
      <c r="H843" s="17" t="str">
        <f>IFERROR(__xludf.DUMMYFUNCTION("""COMPUTED_VALUE"""),"https://www.wideopenspaces.com/3-hunting-shows-binge-watch-stuck-indoors-snowstorm/")</f>
        <v>https://www.wideopenspaces.com/3-hunting-shows-binge-watch-stuck-indoors-snowstorm/</v>
      </c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5" t="str">
        <f>IFERROR(__xludf.DUMMYFUNCTION("""COMPUTED_VALUE"""),"head deer")</f>
        <v>head deer</v>
      </c>
      <c r="B844" s="15" t="str">
        <f>IFERROR(__xludf.DUMMYFUNCTION("""COMPUTED_VALUE"""),"1300")</f>
        <v>1300</v>
      </c>
      <c r="C844" s="15" t="str">
        <f>IFERROR(__xludf.DUMMYFUNCTION("""COMPUTED_VALUE"""),"Not ranking")</f>
        <v>Not ranking</v>
      </c>
      <c r="D844" s="15" t="str">
        <f>IFERROR(__xludf.DUMMYFUNCTION("""COMPUTED_VALUE"""),"27")</f>
        <v>27</v>
      </c>
      <c r="E844" s="15" t="str">
        <f>IFERROR(__xludf.DUMMYFUNCTION("""COMPUTED_VALUE"""),"Not ranking")</f>
        <v>Not ranking</v>
      </c>
      <c r="F844" s="18" t="str">
        <f>IFERROR(__xludf.DUMMYFUNCTION("""COMPUTED_VALUE"""),"Not ranking")</f>
        <v>Not ranking</v>
      </c>
      <c r="G844" s="17" t="str">
        <f>IFERROR(__xludf.DUMMYFUNCTION("""COMPUTED_VALUE"""),"https://realtree.com/the-realblog-with-stephanie-mallory/crooked-head-deer-defies-odds-for-survival")</f>
        <v>https://realtree.com/the-realblog-with-stephanie-mallory/crooked-head-deer-defies-odds-for-survival</v>
      </c>
      <c r="H844" s="18" t="str">
        <f>IFERROR(__xludf.DUMMYFUNCTION("""COMPUTED_VALUE"""),"Not ranking")</f>
        <v>Not ranking</v>
      </c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5" t="str">
        <f>IFERROR(__xludf.DUMMYFUNCTION("""COMPUTED_VALUE"""),"herd of deer")</f>
        <v>herd of deer</v>
      </c>
      <c r="B845" s="15" t="str">
        <f>IFERROR(__xludf.DUMMYFUNCTION("""COMPUTED_VALUE"""),"1300")</f>
        <v>1300</v>
      </c>
      <c r="C845" s="15" t="str">
        <f>IFERROR(__xludf.DUMMYFUNCTION("""COMPUTED_VALUE"""),"Not ranking")</f>
        <v>Not ranking</v>
      </c>
      <c r="D845" s="15" t="str">
        <f>IFERROR(__xludf.DUMMYFUNCTION("""COMPUTED_VALUE"""),"74")</f>
        <v>74</v>
      </c>
      <c r="E845" s="15" t="str">
        <f>IFERROR(__xludf.DUMMYFUNCTION("""COMPUTED_VALUE"""),"Not ranking")</f>
        <v>Not ranking</v>
      </c>
      <c r="F845" s="18" t="str">
        <f>IFERROR(__xludf.DUMMYFUNCTION("""COMPUTED_VALUE"""),"Not ranking")</f>
        <v>Not ranking</v>
      </c>
      <c r="G845" s="17" t="str">
        <f>IFERROR(__xludf.DUMMYFUNCTION("""COMPUTED_VALUE"""),"https://realtree.com/deer-hunting/articles/how-managing-for-older-bigger-bucks-helps-the-entire-deer-herd")</f>
        <v>https://realtree.com/deer-hunting/articles/how-managing-for-older-bigger-bucks-helps-the-entire-deer-herd</v>
      </c>
      <c r="H845" s="18" t="str">
        <f>IFERROR(__xludf.DUMMYFUNCTION("""COMPUTED_VALUE"""),"Not ranking")</f>
        <v>Not ranking</v>
      </c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5" t="str">
        <f>IFERROR(__xludf.DUMMYFUNCTION("""COMPUTED_VALUE"""),"homemade deer feeders")</f>
        <v>homemade deer feeders</v>
      </c>
      <c r="B846" s="15" t="str">
        <f>IFERROR(__xludf.DUMMYFUNCTION("""COMPUTED_VALUE"""),"1300")</f>
        <v>1300</v>
      </c>
      <c r="C846" s="15" t="str">
        <f>IFERROR(__xludf.DUMMYFUNCTION("""COMPUTED_VALUE"""),"Not ranking")</f>
        <v>Not ranking</v>
      </c>
      <c r="D846" s="15" t="str">
        <f>IFERROR(__xludf.DUMMYFUNCTION("""COMPUTED_VALUE"""),"9")</f>
        <v>9</v>
      </c>
      <c r="E846" s="15" t="str">
        <f>IFERROR(__xludf.DUMMYFUNCTION("""COMPUTED_VALUE"""),"47")</f>
        <v>47</v>
      </c>
      <c r="F846" s="18" t="str">
        <f>IFERROR(__xludf.DUMMYFUNCTION("""COMPUTED_VALUE"""),"Not ranking")</f>
        <v>Not ranking</v>
      </c>
      <c r="G846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846" s="17" t="str">
        <f>IFERROR(__xludf.DUMMYFUNCTION("""COMPUTED_VALUE"""),"https://www.wideopenspaces.com/make-poor-mans-deer-feeder/")</f>
        <v>https://www.wideopenspaces.com/make-poor-mans-deer-feeder/</v>
      </c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5" t="str">
        <f>IFERROR(__xludf.DUMMYFUNCTION("""COMPUTED_VALUE"""),"how high deer can jump")</f>
        <v>how high deer can jump</v>
      </c>
      <c r="B847" s="15" t="str">
        <f>IFERROR(__xludf.DUMMYFUNCTION("""COMPUTED_VALUE"""),"1300")</f>
        <v>1300</v>
      </c>
      <c r="C847" s="15" t="str">
        <f>IFERROR(__xludf.DUMMYFUNCTION("""COMPUTED_VALUE"""),"Not ranking")</f>
        <v>Not ranking</v>
      </c>
      <c r="D847" s="15" t="str">
        <f>IFERROR(__xludf.DUMMYFUNCTION("""COMPUTED_VALUE"""),"62")</f>
        <v>62</v>
      </c>
      <c r="E847" s="15" t="str">
        <f>IFERROR(__xludf.DUMMYFUNCTION("""COMPUTED_VALUE"""),"40")</f>
        <v>40</v>
      </c>
      <c r="F847" s="18" t="str">
        <f>IFERROR(__xludf.DUMMYFUNCTION("""COMPUTED_VALUE"""),"Not ranking")</f>
        <v>Not ranking</v>
      </c>
      <c r="G847" s="17" t="str">
        <f>IFERROR(__xludf.DUMMYFUNCTION("""COMPUTED_VALUE"""),"https://realtree.com/midwest-whitetail/articles/string-jumpers-how-to-aim-at-alert-deer")</f>
        <v>https://realtree.com/midwest-whitetail/articles/string-jumpers-how-to-aim-at-alert-deer</v>
      </c>
      <c r="H847" s="17" t="str">
        <f>IFERROR(__xludf.DUMMYFUNCTION("""COMPUTED_VALUE"""),"https://www.wideopenspaces.com/deer-tries-to-jump-high-fence-video/")</f>
        <v>https://www.wideopenspaces.com/deer-tries-to-jump-high-fence-video/</v>
      </c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5" t="str">
        <f>IFERROR(__xludf.DUMMYFUNCTION("""COMPUTED_VALUE"""),"illinois deer season")</f>
        <v>illinois deer season</v>
      </c>
      <c r="B848" s="15" t="str">
        <f>IFERROR(__xludf.DUMMYFUNCTION("""COMPUTED_VALUE"""),"1300")</f>
        <v>1300</v>
      </c>
      <c r="C848" s="15" t="str">
        <f>IFERROR(__xludf.DUMMYFUNCTION("""COMPUTED_VALUE"""),"Not ranking")</f>
        <v>Not ranking</v>
      </c>
      <c r="D848" s="15" t="str">
        <f>IFERROR(__xludf.DUMMYFUNCTION("""COMPUTED_VALUE"""),"Not ranking")</f>
        <v>Not ranking</v>
      </c>
      <c r="E848" s="15" t="str">
        <f>IFERROR(__xludf.DUMMYFUNCTION("""COMPUTED_VALUE"""),"42")</f>
        <v>42</v>
      </c>
      <c r="F848" s="18" t="str">
        <f>IFERROR(__xludf.DUMMYFUNCTION("""COMPUTED_VALUE"""),"Not ranking")</f>
        <v>Not ranking</v>
      </c>
      <c r="G848" s="18" t="str">
        <f>IFERROR(__xludf.DUMMYFUNCTION("""COMPUTED_VALUE"""),"Not ranking")</f>
        <v>Not ranking</v>
      </c>
      <c r="H848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5" t="str">
        <f>IFERROR(__xludf.DUMMYFUNCTION("""COMPUTED_VALUE"""),"illinois deer season 2022")</f>
        <v>illinois deer season 2022</v>
      </c>
      <c r="B849" s="15" t="str">
        <f>IFERROR(__xludf.DUMMYFUNCTION("""COMPUTED_VALUE"""),"1300")</f>
        <v>1300</v>
      </c>
      <c r="C849" s="15" t="str">
        <f>IFERROR(__xludf.DUMMYFUNCTION("""COMPUTED_VALUE"""),"Not ranking")</f>
        <v>Not ranking</v>
      </c>
      <c r="D849" s="15" t="str">
        <f>IFERROR(__xludf.DUMMYFUNCTION("""COMPUTED_VALUE"""),"80")</f>
        <v>80</v>
      </c>
      <c r="E849" s="15" t="str">
        <f>IFERROR(__xludf.DUMMYFUNCTION("""COMPUTED_VALUE"""),"Not ranking")</f>
        <v>Not ranking</v>
      </c>
      <c r="F849" s="18" t="str">
        <f>IFERROR(__xludf.DUMMYFUNCTION("""COMPUTED_VALUE"""),"Not ranking")</f>
        <v>Not ranking</v>
      </c>
      <c r="G849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849" s="18" t="str">
        <f>IFERROR(__xludf.DUMMYFUNCTION("""COMPUTED_VALUE"""),"Not ranking")</f>
        <v>Not ranking</v>
      </c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5" t="str">
        <f>IFERROR(__xludf.DUMMYFUNCTION("""COMPUTED_VALUE"""),"indiana deer license")</f>
        <v>indiana deer license</v>
      </c>
      <c r="B850" s="15" t="str">
        <f>IFERROR(__xludf.DUMMYFUNCTION("""COMPUTED_VALUE"""),"1300")</f>
        <v>1300</v>
      </c>
      <c r="C850" s="15" t="str">
        <f>IFERROR(__xludf.DUMMYFUNCTION("""COMPUTED_VALUE"""),"Not ranking")</f>
        <v>Not ranking</v>
      </c>
      <c r="D850" s="15" t="str">
        <f>IFERROR(__xludf.DUMMYFUNCTION("""COMPUTED_VALUE"""),"Not ranking")</f>
        <v>Not ranking</v>
      </c>
      <c r="E850" s="15" t="str">
        <f>IFERROR(__xludf.DUMMYFUNCTION("""COMPUTED_VALUE"""),"17")</f>
        <v>17</v>
      </c>
      <c r="F850" s="18" t="str">
        <f>IFERROR(__xludf.DUMMYFUNCTION("""COMPUTED_VALUE"""),"Not ranking")</f>
        <v>Not ranking</v>
      </c>
      <c r="G850" s="18" t="str">
        <f>IFERROR(__xludf.DUMMYFUNCTION("""COMPUTED_VALUE"""),"Not ranking")</f>
        <v>Not ranking</v>
      </c>
      <c r="H850" s="17" t="str">
        <f>IFERROR(__xludf.DUMMYFUNCTION("""COMPUTED_VALUE"""),"https://www.wideopenspaces.com/indiana-hunting-license/")</f>
        <v>https://www.wideopenspaces.com/indiana-hunting-license/</v>
      </c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5" t="str">
        <f>IFERROR(__xludf.DUMMYFUNCTION("""COMPUTED_VALUE"""),"inside luxury deer blind")</f>
        <v>inside luxury deer blind</v>
      </c>
      <c r="B851" s="15" t="str">
        <f>IFERROR(__xludf.DUMMYFUNCTION("""COMPUTED_VALUE"""),"1300")</f>
        <v>1300</v>
      </c>
      <c r="C851" s="15" t="str">
        <f>IFERROR(__xludf.DUMMYFUNCTION("""COMPUTED_VALUE"""),"Not ranking")</f>
        <v>Not ranking</v>
      </c>
      <c r="D851" s="15" t="str">
        <f>IFERROR(__xludf.DUMMYFUNCTION("""COMPUTED_VALUE"""),"Not ranking")</f>
        <v>Not ranking</v>
      </c>
      <c r="E851" s="15" t="str">
        <f>IFERROR(__xludf.DUMMYFUNCTION("""COMPUTED_VALUE"""),"14")</f>
        <v>14</v>
      </c>
      <c r="F851" s="18" t="str">
        <f>IFERROR(__xludf.DUMMYFUNCTION("""COMPUTED_VALUE"""),"Not ranking")</f>
        <v>Not ranking</v>
      </c>
      <c r="G851" s="18" t="str">
        <f>IFERROR(__xludf.DUMMYFUNCTION("""COMPUTED_VALUE"""),"Not ranking")</f>
        <v>Not ranking</v>
      </c>
      <c r="H851" s="17" t="str">
        <f>IFERROR(__xludf.DUMMYFUNCTION("""COMPUTED_VALUE"""),"https://www.wideopenspaces.com/5-luxury-hunting-blinds-you-might-be-able-to-afford/")</f>
        <v>https://www.wideopenspaces.com/5-luxury-hunting-blinds-you-might-be-able-to-afford/</v>
      </c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5" t="str">
        <f>IFERROR(__xludf.DUMMYFUNCTION("""COMPUTED_VALUE"""),"kansas deer season")</f>
        <v>kansas deer season</v>
      </c>
      <c r="B852" s="15" t="str">
        <f>IFERROR(__xludf.DUMMYFUNCTION("""COMPUTED_VALUE"""),"1300")</f>
        <v>1300</v>
      </c>
      <c r="C852" s="15" t="str">
        <f>IFERROR(__xludf.DUMMYFUNCTION("""COMPUTED_VALUE"""),"Not ranking")</f>
        <v>Not ranking</v>
      </c>
      <c r="D852" s="15" t="str">
        <f>IFERROR(__xludf.DUMMYFUNCTION("""COMPUTED_VALUE"""),"Not ranking")</f>
        <v>Not ranking</v>
      </c>
      <c r="E852" s="15" t="str">
        <f>IFERROR(__xludf.DUMMYFUNCTION("""COMPUTED_VALUE"""),"35")</f>
        <v>35</v>
      </c>
      <c r="F852" s="18" t="str">
        <f>IFERROR(__xludf.DUMMYFUNCTION("""COMPUTED_VALUE"""),"Not ranking")</f>
        <v>Not ranking</v>
      </c>
      <c r="G852" s="18" t="str">
        <f>IFERROR(__xludf.DUMMYFUNCTION("""COMPUTED_VALUE"""),"Not ranking")</f>
        <v>Not ranking</v>
      </c>
      <c r="H852" s="17" t="str">
        <f>IFERROR(__xludf.DUMMYFUNCTION("""COMPUTED_VALUE"""),"https://www.wideopenspaces.com/kansas-deer-hunting/")</f>
        <v>https://www.wideopenspaces.com/kansas-deer-hunting/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5" t="str">
        <f>IFERROR(__xludf.DUMMYFUNCTION("""COMPUTED_VALUE"""),"ladder deer stands")</f>
        <v>ladder deer stands</v>
      </c>
      <c r="B853" s="15" t="str">
        <f>IFERROR(__xludf.DUMMYFUNCTION("""COMPUTED_VALUE"""),"1300")</f>
        <v>1300</v>
      </c>
      <c r="C853" s="15" t="str">
        <f>IFERROR(__xludf.DUMMYFUNCTION("""COMPUTED_VALUE"""),"Not ranking")</f>
        <v>Not ranking</v>
      </c>
      <c r="D853" s="15" t="str">
        <f>IFERROR(__xludf.DUMMYFUNCTION("""COMPUTED_VALUE"""),"34")</f>
        <v>34</v>
      </c>
      <c r="E853" s="15" t="str">
        <f>IFERROR(__xludf.DUMMYFUNCTION("""COMPUTED_VALUE"""),"Not ranking")</f>
        <v>Not ranking</v>
      </c>
      <c r="F853" s="18" t="str">
        <f>IFERROR(__xludf.DUMMYFUNCTION("""COMPUTED_VALUE"""),"Not ranking")</f>
        <v>Not ranking</v>
      </c>
      <c r="G853" s="17" t="str">
        <f>IFERROR(__xludf.DUMMYFUNCTION("""COMPUTED_VALUE"""),"https://realtree.com/brow-tines-and-backstrap/is-it-safe-to-leave-treestands-out-all-year")</f>
        <v>https://realtree.com/brow-tines-and-backstrap/is-it-safe-to-leave-treestands-out-all-year</v>
      </c>
      <c r="H853" s="18" t="str">
        <f>IFERROR(__xludf.DUMMYFUNCTION("""COMPUTED_VALUE"""),"Not ranking")</f>
        <v>Not ranking</v>
      </c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5" t="str">
        <f>IFERROR(__xludf.DUMMYFUNCTION("""COMPUTED_VALUE"""),"mean deer")</f>
        <v>mean deer</v>
      </c>
      <c r="B854" s="15" t="str">
        <f>IFERROR(__xludf.DUMMYFUNCTION("""COMPUTED_VALUE"""),"1300")</f>
        <v>1300</v>
      </c>
      <c r="C854" s="15" t="str">
        <f>IFERROR(__xludf.DUMMYFUNCTION("""COMPUTED_VALUE"""),"Not ranking")</f>
        <v>Not ranking</v>
      </c>
      <c r="D854" s="15" t="str">
        <f>IFERROR(__xludf.DUMMYFUNCTION("""COMPUTED_VALUE"""),"53")</f>
        <v>53</v>
      </c>
      <c r="E854" s="15" t="str">
        <f>IFERROR(__xludf.DUMMYFUNCTION("""COMPUTED_VALUE"""),"Not ranking")</f>
        <v>Not ranking</v>
      </c>
      <c r="F854" s="18" t="str">
        <f>IFERROR(__xludf.DUMMYFUNCTION("""COMPUTED_VALUE"""),"Not ranking")</f>
        <v>Not ranking</v>
      </c>
      <c r="G854" s="17" t="str">
        <f>IFERROR(__xludf.DUMMYFUNCTION("""COMPUTED_VALUE"""),"https://realtree.com/deer-hunting/articles/talk-to-the-tail-understanding-whitetail-body-language")</f>
        <v>https://realtree.com/deer-hunting/articles/talk-to-the-tail-understanding-whitetail-body-language</v>
      </c>
      <c r="H854" s="18" t="str">
        <f>IFERROR(__xludf.DUMMYFUNCTION("""COMPUTED_VALUE"""),"Not ranking")</f>
        <v>Not ranking</v>
      </c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5" t="str">
        <f>IFERROR(__xludf.DUMMYFUNCTION("""COMPUTED_VALUE"""),"mn deer season")</f>
        <v>mn deer season</v>
      </c>
      <c r="B855" s="15" t="str">
        <f>IFERROR(__xludf.DUMMYFUNCTION("""COMPUTED_VALUE"""),"1300")</f>
        <v>1300</v>
      </c>
      <c r="C855" s="15" t="str">
        <f>IFERROR(__xludf.DUMMYFUNCTION("""COMPUTED_VALUE"""),"Not ranking")</f>
        <v>Not ranking</v>
      </c>
      <c r="D855" s="15" t="str">
        <f>IFERROR(__xludf.DUMMYFUNCTION("""COMPUTED_VALUE"""),"Not ranking")</f>
        <v>Not ranking</v>
      </c>
      <c r="E855" s="15" t="str">
        <f>IFERROR(__xludf.DUMMYFUNCTION("""COMPUTED_VALUE"""),"43")</f>
        <v>43</v>
      </c>
      <c r="F855" s="18" t="str">
        <f>IFERROR(__xludf.DUMMYFUNCTION("""COMPUTED_VALUE"""),"Not ranking")</f>
        <v>Not ranking</v>
      </c>
      <c r="G855" s="18" t="str">
        <f>IFERROR(__xludf.DUMMYFUNCTION("""COMPUTED_VALUE"""),"Not ranking")</f>
        <v>Not ranking</v>
      </c>
      <c r="H855" s="17" t="str">
        <f>IFERROR(__xludf.DUMMYFUNCTION("""COMPUTED_VALUE"""),"https://www.wideopenspaces.com/mn-deer-hunting-zones/")</f>
        <v>https://www.wideopenspaces.com/mn-deer-hunting-zones/</v>
      </c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5" t="str">
        <f>IFERROR(__xludf.DUMMYFUNCTION("""COMPUTED_VALUE"""),"mn deer season 2022")</f>
        <v>mn deer season 2022</v>
      </c>
      <c r="B856" s="15" t="str">
        <f>IFERROR(__xludf.DUMMYFUNCTION("""COMPUTED_VALUE"""),"1300")</f>
        <v>1300</v>
      </c>
      <c r="C856" s="15" t="str">
        <f>IFERROR(__xludf.DUMMYFUNCTION("""COMPUTED_VALUE"""),"Not ranking")</f>
        <v>Not ranking</v>
      </c>
      <c r="D856" s="15" t="str">
        <f>IFERROR(__xludf.DUMMYFUNCTION("""COMPUTED_VALUE"""),"Not ranking")</f>
        <v>Not ranking</v>
      </c>
      <c r="E856" s="15" t="str">
        <f>IFERROR(__xludf.DUMMYFUNCTION("""COMPUTED_VALUE"""),"36")</f>
        <v>36</v>
      </c>
      <c r="F856" s="18" t="str">
        <f>IFERROR(__xludf.DUMMYFUNCTION("""COMPUTED_VALUE"""),"Not ranking")</f>
        <v>Not ranking</v>
      </c>
      <c r="G856" s="18" t="str">
        <f>IFERROR(__xludf.DUMMYFUNCTION("""COMPUTED_VALUE"""),"Not ranking")</f>
        <v>Not ranking</v>
      </c>
      <c r="H856" s="17" t="str">
        <f>IFERROR(__xludf.DUMMYFUNCTION("""COMPUTED_VALUE"""),"https://www.wideopenspaces.com/mn-deer-hunting-zones/")</f>
        <v>https://www.wideopenspaces.com/mn-deer-hunting-zones/</v>
      </c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5" t="str">
        <f>IFERROR(__xludf.DUMMYFUNCTION("""COMPUTED_VALUE"""),"mo deer season 2022")</f>
        <v>mo deer season 2022</v>
      </c>
      <c r="B857" s="15" t="str">
        <f>IFERROR(__xludf.DUMMYFUNCTION("""COMPUTED_VALUE"""),"1300")</f>
        <v>1300</v>
      </c>
      <c r="C857" s="15" t="str">
        <f>IFERROR(__xludf.DUMMYFUNCTION("""COMPUTED_VALUE"""),"Not ranking")</f>
        <v>Not ranking</v>
      </c>
      <c r="D857" s="15" t="str">
        <f>IFERROR(__xludf.DUMMYFUNCTION("""COMPUTED_VALUE"""),"99")</f>
        <v>99</v>
      </c>
      <c r="E857" s="15" t="str">
        <f>IFERROR(__xludf.DUMMYFUNCTION("""COMPUTED_VALUE"""),"39")</f>
        <v>39</v>
      </c>
      <c r="F857" s="18" t="str">
        <f>IFERROR(__xludf.DUMMYFUNCTION("""COMPUTED_VALUE"""),"Not ranking")</f>
        <v>Not ranking</v>
      </c>
      <c r="G857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857" s="17" t="str">
        <f>IFERROR(__xludf.DUMMYFUNCTION("""COMPUTED_VALUE"""),"https://www.wideopenspaces.com/when-does-deer-season-end-in-missouri/")</f>
        <v>https://www.wideopenspaces.com/when-does-deer-season-end-in-missouri/</v>
      </c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5" t="str">
        <f>IFERROR(__xludf.DUMMYFUNCTION("""COMPUTED_VALUE"""),"non typical deer")</f>
        <v>non typical deer</v>
      </c>
      <c r="B858" s="15" t="str">
        <f>IFERROR(__xludf.DUMMYFUNCTION("""COMPUTED_VALUE"""),"1300")</f>
        <v>1300</v>
      </c>
      <c r="C858" s="15" t="str">
        <f>IFERROR(__xludf.DUMMYFUNCTION("""COMPUTED_VALUE"""),"Not ranking")</f>
        <v>Not ranking</v>
      </c>
      <c r="D858" s="15" t="str">
        <f>IFERROR(__xludf.DUMMYFUNCTION("""COMPUTED_VALUE"""),"43")</f>
        <v>43</v>
      </c>
      <c r="E858" s="15" t="str">
        <f>IFERROR(__xludf.DUMMYFUNCTION("""COMPUTED_VALUE"""),"2")</f>
        <v>2</v>
      </c>
      <c r="F858" s="18" t="str">
        <f>IFERROR(__xludf.DUMMYFUNCTION("""COMPUTED_VALUE"""),"Not ranking")</f>
        <v>Not ranking</v>
      </c>
      <c r="G858" s="17" t="str">
        <f>IFERROR(__xludf.DUMMYFUNCTION("""COMPUTED_VALUE"""),"https://realtree.com/deer-hunting/articles/states-that-haven-t-produced-a-non-typical-booner-in-the-last-10-years")</f>
        <v>https://realtree.com/deer-hunting/articles/states-that-haven-t-produced-a-non-typical-booner-in-the-last-10-years</v>
      </c>
      <c r="H858" s="17" t="str">
        <f>IFERROR(__xludf.DUMMYFUNCTION("""COMPUTED_VALUE"""),"https://www.wideopenspaces.com/typical-vs-non-typical-deer/")</f>
        <v>https://www.wideopenspaces.com/typical-vs-non-typical-deer/</v>
      </c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5" t="str">
        <f>IFERROR(__xludf.DUMMYFUNCTION("""COMPUTED_VALUE"""),"ohio deer hunting")</f>
        <v>ohio deer hunting</v>
      </c>
      <c r="B859" s="15" t="str">
        <f>IFERROR(__xludf.DUMMYFUNCTION("""COMPUTED_VALUE"""),"1300")</f>
        <v>1300</v>
      </c>
      <c r="C859" s="15" t="str">
        <f>IFERROR(__xludf.DUMMYFUNCTION("""COMPUTED_VALUE"""),"Not ranking")</f>
        <v>Not ranking</v>
      </c>
      <c r="D859" s="15" t="str">
        <f>IFERROR(__xludf.DUMMYFUNCTION("""COMPUTED_VALUE"""),"Not ranking")</f>
        <v>Not ranking</v>
      </c>
      <c r="E859" s="15" t="str">
        <f>IFERROR(__xludf.DUMMYFUNCTION("""COMPUTED_VALUE"""),"20")</f>
        <v>20</v>
      </c>
      <c r="F859" s="18" t="str">
        <f>IFERROR(__xludf.DUMMYFUNCTION("""COMPUTED_VALUE"""),"Not ranking")</f>
        <v>Not ranking</v>
      </c>
      <c r="G859" s="18" t="str">
        <f>IFERROR(__xludf.DUMMYFUNCTION("""COMPUTED_VALUE"""),"Not ranking")</f>
        <v>Not ranking</v>
      </c>
      <c r="H859" s="17" t="str">
        <f>IFERROR(__xludf.DUMMYFUNCTION("""COMPUTED_VALUE"""),"https://www.wideopenspaces.com/deer-hunting-in-ohio-what-you-should-know/")</f>
        <v>https://www.wideopenspaces.com/deer-hunting-in-ohio-what-you-should-know/</v>
      </c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5" t="str">
        <f>IFERROR(__xludf.DUMMYFUNCTION("""COMPUTED_VALUE"""),"painted deer skull")</f>
        <v>painted deer skull</v>
      </c>
      <c r="B860" s="15" t="str">
        <f>IFERROR(__xludf.DUMMYFUNCTION("""COMPUTED_VALUE"""),"1300")</f>
        <v>1300</v>
      </c>
      <c r="C860" s="15" t="str">
        <f>IFERROR(__xludf.DUMMYFUNCTION("""COMPUTED_VALUE"""),"Not ranking")</f>
        <v>Not ranking</v>
      </c>
      <c r="D860" s="15" t="str">
        <f>IFERROR(__xludf.DUMMYFUNCTION("""COMPUTED_VALUE"""),"Not ranking")</f>
        <v>Not ranking</v>
      </c>
      <c r="E860" s="15" t="str">
        <f>IFERROR(__xludf.DUMMYFUNCTION("""COMPUTED_VALUE"""),"60")</f>
        <v>60</v>
      </c>
      <c r="F860" s="18" t="str">
        <f>IFERROR(__xludf.DUMMYFUNCTION("""COMPUTED_VALUE"""),"Not ranking")</f>
        <v>Not ranking</v>
      </c>
      <c r="G860" s="18" t="str">
        <f>IFERROR(__xludf.DUMMYFUNCTION("""COMPUTED_VALUE"""),"Not ranking")</f>
        <v>Not ranking</v>
      </c>
      <c r="H860" s="17" t="str">
        <f>IFERROR(__xludf.DUMMYFUNCTION("""COMPUTED_VALUE"""),"https://www.wideopenspaces.com/dip-deer-skull-spray-paint-diy-video/")</f>
        <v>https://www.wideopenspaces.com/dip-deer-skull-spray-paint-diy-video/</v>
      </c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5" t="str">
        <f>IFERROR(__xludf.DUMMYFUNCTION("""COMPUTED_VALUE"""),"pictures deer")</f>
        <v>pictures deer</v>
      </c>
      <c r="B861" s="15" t="str">
        <f>IFERROR(__xludf.DUMMYFUNCTION("""COMPUTED_VALUE"""),"1300")</f>
        <v>1300</v>
      </c>
      <c r="C861" s="15" t="str">
        <f>IFERROR(__xludf.DUMMYFUNCTION("""COMPUTED_VALUE"""),"Not ranking")</f>
        <v>Not ranking</v>
      </c>
      <c r="D861" s="15" t="str">
        <f>IFERROR(__xludf.DUMMYFUNCTION("""COMPUTED_VALUE"""),"31")</f>
        <v>31</v>
      </c>
      <c r="E861" s="15" t="str">
        <f>IFERROR(__xludf.DUMMYFUNCTION("""COMPUTED_VALUE"""),"Not ranking")</f>
        <v>Not ranking</v>
      </c>
      <c r="F861" s="18" t="str">
        <f>IFERROR(__xludf.DUMMYFUNCTION("""COMPUTED_VALUE"""),"Not ranking")</f>
        <v>Not ranking</v>
      </c>
      <c r="G861" s="17" t="str">
        <f>IFERROR(__xludf.DUMMYFUNCTION("""COMPUTED_VALUE"""),"https://realtree.com/deer-hunting/articles/10-tips-for-great-deer-pictures")</f>
        <v>https://realtree.com/deer-hunting/articles/10-tips-for-great-deer-pictures</v>
      </c>
      <c r="H861" s="18" t="str">
        <f>IFERROR(__xludf.DUMMYFUNCTION("""COMPUTED_VALUE"""),"Not ranking")</f>
        <v>Not ranking</v>
      </c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5" t="str">
        <f>IFERROR(__xludf.DUMMYFUNCTION("""COMPUTED_VALUE"""),"semi sneak deer mount")</f>
        <v>semi sneak deer mount</v>
      </c>
      <c r="B862" s="15" t="str">
        <f>IFERROR(__xludf.DUMMYFUNCTION("""COMPUTED_VALUE"""),"1300")</f>
        <v>1300</v>
      </c>
      <c r="C862" s="15" t="str">
        <f>IFERROR(__xludf.DUMMYFUNCTION("""COMPUTED_VALUE"""),"Not ranking")</f>
        <v>Not ranking</v>
      </c>
      <c r="D862" s="15" t="str">
        <f>IFERROR(__xludf.DUMMYFUNCTION("""COMPUTED_VALUE"""),"19")</f>
        <v>19</v>
      </c>
      <c r="E862" s="15" t="str">
        <f>IFERROR(__xludf.DUMMYFUNCTION("""COMPUTED_VALUE"""),"44")</f>
        <v>44</v>
      </c>
      <c r="F862" s="18" t="str">
        <f>IFERROR(__xludf.DUMMYFUNCTION("""COMPUTED_VALUE"""),"Not ranking")</f>
        <v>Not ranking</v>
      </c>
      <c r="G862" s="17" t="str">
        <f>IFERROR(__xludf.DUMMYFUNCTION("""COMPUTED_VALUE"""),"https://realtree.com/brow-tines-and-backstrap/whitetail-taxidermy-poses-for-your-next-deer-mount")</f>
        <v>https://realtree.com/brow-tines-and-backstrap/whitetail-taxidermy-poses-for-your-next-deer-mount</v>
      </c>
      <c r="H862" s="17" t="str">
        <f>IFERROR(__xludf.DUMMYFUNCTION("""COMPUTED_VALUE"""),"https://www.wideopenspaces.com/taxidermy-deer-mount-how-much/")</f>
        <v>https://www.wideopenspaces.com/taxidermy-deer-mount-how-much/</v>
      </c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5" t="str">
        <f>IFERROR(__xludf.DUMMYFUNCTION("""COMPUTED_VALUE"""),"tennessee deer season")</f>
        <v>tennessee deer season</v>
      </c>
      <c r="B863" s="15" t="str">
        <f>IFERROR(__xludf.DUMMYFUNCTION("""COMPUTED_VALUE"""),"1300")</f>
        <v>1300</v>
      </c>
      <c r="C863" s="15" t="str">
        <f>IFERROR(__xludf.DUMMYFUNCTION("""COMPUTED_VALUE"""),"Not ranking")</f>
        <v>Not ranking</v>
      </c>
      <c r="D863" s="15" t="str">
        <f>IFERROR(__xludf.DUMMYFUNCTION("""COMPUTED_VALUE"""),"75")</f>
        <v>75</v>
      </c>
      <c r="E863" s="15" t="str">
        <f>IFERROR(__xludf.DUMMYFUNCTION("""COMPUTED_VALUE"""),"54")</f>
        <v>54</v>
      </c>
      <c r="F863" s="18" t="str">
        <f>IFERROR(__xludf.DUMMYFUNCTION("""COMPUTED_VALUE"""),"Not ranking")</f>
        <v>Not ranking</v>
      </c>
      <c r="G863" s="17" t="str">
        <f>IFERROR(__xludf.DUMMYFUNCTION("""COMPUTED_VALUE"""),"https://realtree.com/deer-hunting/articles/deer-hunting-the-late-season")</f>
        <v>https://realtree.com/deer-hunting/articles/deer-hunting-the-late-season</v>
      </c>
      <c r="H863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5" t="str">
        <f>IFERROR(__xludf.DUMMYFUNCTION("""COMPUTED_VALUE"""),"tndeer forums")</f>
        <v>tndeer forums</v>
      </c>
      <c r="B864" s="15" t="str">
        <f>IFERROR(__xludf.DUMMYFUNCTION("""COMPUTED_VALUE"""),"1300")</f>
        <v>1300</v>
      </c>
      <c r="C864" s="15" t="str">
        <f>IFERROR(__xludf.DUMMYFUNCTION("""COMPUTED_VALUE"""),"Not ranking")</f>
        <v>Not ranking</v>
      </c>
      <c r="D864" s="15" t="str">
        <f>IFERROR(__xludf.DUMMYFUNCTION("""COMPUTED_VALUE"""),"21")</f>
        <v>21</v>
      </c>
      <c r="E864" s="15" t="str">
        <f>IFERROR(__xludf.DUMMYFUNCTION("""COMPUTED_VALUE"""),"Not ranking")</f>
        <v>Not ranking</v>
      </c>
      <c r="F864" s="18" t="str">
        <f>IFERROR(__xludf.DUMMYFUNCTION("""COMPUTED_VALUE"""),"Not ranking")</f>
        <v>Not ranking</v>
      </c>
      <c r="G864" s="17" t="str">
        <f>IFERROR(__xludf.DUMMYFUNCTION("""COMPUTED_VALUE"""),"https://oldforums.realtree.com/topic/109585-anyone-hunting-western-tn/")</f>
        <v>https://oldforums.realtree.com/topic/109585-anyone-hunting-western-tn/</v>
      </c>
      <c r="H864" s="18" t="str">
        <f>IFERROR(__xludf.DUMMYFUNCTION("""COMPUTED_VALUE"""),"Not ranking")</f>
        <v>Not ranking</v>
      </c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5" t="str">
        <f>IFERROR(__xludf.DUMMYFUNCTION("""COMPUTED_VALUE"""),"what do deer eat in the winter")</f>
        <v>what do deer eat in the winter</v>
      </c>
      <c r="B865" s="15" t="str">
        <f>IFERROR(__xludf.DUMMYFUNCTION("""COMPUTED_VALUE"""),"1300")</f>
        <v>1300</v>
      </c>
      <c r="C865" s="15" t="str">
        <f>IFERROR(__xludf.DUMMYFUNCTION("""COMPUTED_VALUE"""),"Not ranking")</f>
        <v>Not ranking</v>
      </c>
      <c r="D865" s="15" t="str">
        <f>IFERROR(__xludf.DUMMYFUNCTION("""COMPUTED_VALUE"""),"Not ranking")</f>
        <v>Not ranking</v>
      </c>
      <c r="E865" s="15" t="str">
        <f>IFERROR(__xludf.DUMMYFUNCTION("""COMPUTED_VALUE"""),"65")</f>
        <v>65</v>
      </c>
      <c r="F865" s="18" t="str">
        <f>IFERROR(__xludf.DUMMYFUNCTION("""COMPUTED_VALUE"""),"Not ranking")</f>
        <v>Not ranking</v>
      </c>
      <c r="G865" s="18" t="str">
        <f>IFERROR(__xludf.DUMMYFUNCTION("""COMPUTED_VALUE"""),"Not ranking")</f>
        <v>Not ranking</v>
      </c>
      <c r="H865" s="17" t="str">
        <f>IFERROR(__xludf.DUMMYFUNCTION("""COMPUTED_VALUE"""),"https://www.wideopenspaces.com/what-do-deer-elk-and-moose-do-in-the-winter/")</f>
        <v>https://www.wideopenspaces.com/what-do-deer-elk-and-moose-do-in-the-winter/</v>
      </c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5" t="str">
        <f>IFERROR(__xludf.DUMMYFUNCTION("""COMPUTED_VALUE"""),"what does deer eat")</f>
        <v>what does deer eat</v>
      </c>
      <c r="B866" s="15" t="str">
        <f>IFERROR(__xludf.DUMMYFUNCTION("""COMPUTED_VALUE"""),"1300")</f>
        <v>1300</v>
      </c>
      <c r="C866" s="15" t="str">
        <f>IFERROR(__xludf.DUMMYFUNCTION("""COMPUTED_VALUE"""),"Not ranking")</f>
        <v>Not ranking</v>
      </c>
      <c r="D866" s="15" t="str">
        <f>IFERROR(__xludf.DUMMYFUNCTION("""COMPUTED_VALUE"""),"65")</f>
        <v>65</v>
      </c>
      <c r="E866" s="15" t="str">
        <f>IFERROR(__xludf.DUMMYFUNCTION("""COMPUTED_VALUE"""),"54")</f>
        <v>54</v>
      </c>
      <c r="F866" s="18" t="str">
        <f>IFERROR(__xludf.DUMMYFUNCTION("""COMPUTED_VALUE"""),"Not ranking")</f>
        <v>Not ranking</v>
      </c>
      <c r="G866" s="17" t="str">
        <f>IFERROR(__xludf.DUMMYFUNCTION("""COMPUTED_VALUE"""),"https://realtree.com/brow-tines-and-backstrap/10-feeding-habits-of-mature-deer")</f>
        <v>https://realtree.com/brow-tines-and-backstrap/10-feeding-habits-of-mature-deer</v>
      </c>
      <c r="H866" s="17" t="str">
        <f>IFERROR(__xludf.DUMMYFUNCTION("""COMPUTED_VALUE"""),"https://www.wideopenspaces.com/what-do-deer-eat/")</f>
        <v>https://www.wideopenspaces.com/what-do-deer-eat/</v>
      </c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5" t="str">
        <f>IFERROR(__xludf.DUMMYFUNCTION("""COMPUTED_VALUE"""),"where do deer live")</f>
        <v>where do deer live</v>
      </c>
      <c r="B867" s="15" t="str">
        <f>IFERROR(__xludf.DUMMYFUNCTION("""COMPUTED_VALUE"""),"1300")</f>
        <v>1300</v>
      </c>
      <c r="C867" s="15" t="str">
        <f>IFERROR(__xludf.DUMMYFUNCTION("""COMPUTED_VALUE"""),"Not ranking")</f>
        <v>Not ranking</v>
      </c>
      <c r="D867" s="15" t="str">
        <f>IFERROR(__xludf.DUMMYFUNCTION("""COMPUTED_VALUE"""),"46")</f>
        <v>46</v>
      </c>
      <c r="E867" s="15" t="str">
        <f>IFERROR(__xludf.DUMMYFUNCTION("""COMPUTED_VALUE"""),"Not ranking")</f>
        <v>Not ranking</v>
      </c>
      <c r="F867" s="18" t="str">
        <f>IFERROR(__xludf.DUMMYFUNCTION("""COMPUTED_VALUE"""),"Not ranking")</f>
        <v>Not ranking</v>
      </c>
      <c r="G867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867" s="18" t="str">
        <f>IFERROR(__xludf.DUMMYFUNCTION("""COMPUTED_VALUE"""),"Not ranking")</f>
        <v>Not ranking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5" t="str">
        <f>IFERROR(__xludf.DUMMYFUNCTION("""COMPUTED_VALUE"""),"wv deer season 2022")</f>
        <v>wv deer season 2022</v>
      </c>
      <c r="B868" s="15" t="str">
        <f>IFERROR(__xludf.DUMMYFUNCTION("""COMPUTED_VALUE"""),"1300")</f>
        <v>1300</v>
      </c>
      <c r="C868" s="15" t="str">
        <f>IFERROR(__xludf.DUMMYFUNCTION("""COMPUTED_VALUE"""),"Not ranking")</f>
        <v>Not ranking</v>
      </c>
      <c r="D868" s="15" t="str">
        <f>IFERROR(__xludf.DUMMYFUNCTION("""COMPUTED_VALUE"""),"79")</f>
        <v>79</v>
      </c>
      <c r="E868" s="15" t="str">
        <f>IFERROR(__xludf.DUMMYFUNCTION("""COMPUTED_VALUE"""),"Not ranking")</f>
        <v>Not ranking</v>
      </c>
      <c r="F868" s="18" t="str">
        <f>IFERROR(__xludf.DUMMYFUNCTION("""COMPUTED_VALUE"""),"Not ranking")</f>
        <v>Not ranking</v>
      </c>
      <c r="G868" s="17" t="str">
        <f>IFERROR(__xludf.DUMMYFUNCTION("""COMPUTED_VALUE"""),"https://realtree.com/")</f>
        <v>https://realtree.com/</v>
      </c>
      <c r="H868" s="18" t="str">
        <f>IFERROR(__xludf.DUMMYFUNCTION("""COMPUTED_VALUE"""),"Not ranking")</f>
        <v>Not ranking</v>
      </c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5" t="str">
        <f>IFERROR(__xludf.DUMMYFUNCTION("""COMPUTED_VALUE"""),"can a deer swim")</f>
        <v>can a deer swim</v>
      </c>
      <c r="B869" s="15" t="str">
        <f>IFERROR(__xludf.DUMMYFUNCTION("""COMPUTED_VALUE"""),"1000")</f>
        <v>1000</v>
      </c>
      <c r="C869" s="15" t="str">
        <f>IFERROR(__xludf.DUMMYFUNCTION("""COMPUTED_VALUE"""),"Not ranking")</f>
        <v>Not ranking</v>
      </c>
      <c r="D869" s="15" t="str">
        <f>IFERROR(__xludf.DUMMYFUNCTION("""COMPUTED_VALUE"""),"Not ranking")</f>
        <v>Not ranking</v>
      </c>
      <c r="E869" s="15" t="str">
        <f>IFERROR(__xludf.DUMMYFUNCTION("""COMPUTED_VALUE"""),"89")</f>
        <v>89</v>
      </c>
      <c r="F869" s="18" t="str">
        <f>IFERROR(__xludf.DUMMYFUNCTION("""COMPUTED_VALUE"""),"Not ranking")</f>
        <v>Not ranking</v>
      </c>
      <c r="G869" s="18" t="str">
        <f>IFERROR(__xludf.DUMMYFUNCTION("""COMPUTED_VALUE"""),"Not ranking")</f>
        <v>Not ranking</v>
      </c>
      <c r="H869" s="17" t="str">
        <f>IFERROR(__xludf.DUMMYFUNCTION("""COMPUTED_VALUE"""),"https://www.wideopenspaces.com/deer-swimming-in-the-hudson-river-gets-rescued/")</f>
        <v>https://www.wideopenspaces.com/deer-swimming-in-the-hudson-river-gets-rescued/</v>
      </c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5" t="str">
        <f>IFERROR(__xludf.DUMMYFUNCTION("""COMPUTED_VALUE"""),"check in deer in ohio")</f>
        <v>check in deer in ohio</v>
      </c>
      <c r="B870" s="15" t="str">
        <f>IFERROR(__xludf.DUMMYFUNCTION("""COMPUTED_VALUE"""),"1000")</f>
        <v>1000</v>
      </c>
      <c r="C870" s="15" t="str">
        <f>IFERROR(__xludf.DUMMYFUNCTION("""COMPUTED_VALUE"""),"Not ranking")</f>
        <v>Not ranking</v>
      </c>
      <c r="D870" s="15" t="str">
        <f>IFERROR(__xludf.DUMMYFUNCTION("""COMPUTED_VALUE"""),"Not ranking")</f>
        <v>Not ranking</v>
      </c>
      <c r="E870" s="15" t="str">
        <f>IFERROR(__xludf.DUMMYFUNCTION("""COMPUTED_VALUE"""),"54")</f>
        <v>54</v>
      </c>
      <c r="F870" s="18" t="str">
        <f>IFERROR(__xludf.DUMMYFUNCTION("""COMPUTED_VALUE"""),"Not ranking")</f>
        <v>Not ranking</v>
      </c>
      <c r="G870" s="18" t="str">
        <f>IFERROR(__xludf.DUMMYFUNCTION("""COMPUTED_VALUE"""),"Not ranking")</f>
        <v>Not ranking</v>
      </c>
      <c r="H870" s="17" t="str">
        <f>IFERROR(__xludf.DUMMYFUNCTION("""COMPUTED_VALUE"""),"https://www.wideopenspaces.com/deer-hunting-in-ohio-what-you-should-know/")</f>
        <v>https://www.wideopenspaces.com/deer-hunting-in-ohio-what-you-should-know/</v>
      </c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5" t="str">
        <f>IFERROR(__xludf.DUMMYFUNCTION("""COMPUTED_VALUE"""),"deer antler sheds")</f>
        <v>deer antler sheds</v>
      </c>
      <c r="B871" s="15" t="str">
        <f>IFERROR(__xludf.DUMMYFUNCTION("""COMPUTED_VALUE"""),"1000")</f>
        <v>1000</v>
      </c>
      <c r="C871" s="15" t="str">
        <f>IFERROR(__xludf.DUMMYFUNCTION("""COMPUTED_VALUE"""),"Not ranking")</f>
        <v>Not ranking</v>
      </c>
      <c r="D871" s="15" t="str">
        <f>IFERROR(__xludf.DUMMYFUNCTION("""COMPUTED_VALUE"""),"11")</f>
        <v>11</v>
      </c>
      <c r="E871" s="15" t="str">
        <f>IFERROR(__xludf.DUMMYFUNCTION("""COMPUTED_VALUE"""),"6")</f>
        <v>6</v>
      </c>
      <c r="F871" s="18" t="str">
        <f>IFERROR(__xludf.DUMMYFUNCTION("""COMPUTED_VALUE"""),"Not ranking")</f>
        <v>Not ranking</v>
      </c>
      <c r="G871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871" s="17" t="str">
        <f>IFERROR(__xludf.DUMMYFUNCTION("""COMPUTED_VALUE"""),"https://www.wideopenspaces.com/deer-shed-antlers-pics/")</f>
        <v>https://www.wideopenspaces.com/deer-shed-antlers-pics/</v>
      </c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5" t="str">
        <f>IFERROR(__xludf.DUMMYFUNCTION("""COMPUTED_VALUE"""),"deer cam")</f>
        <v>deer cam</v>
      </c>
      <c r="B872" s="15" t="str">
        <f>IFERROR(__xludf.DUMMYFUNCTION("""COMPUTED_VALUE"""),"1000")</f>
        <v>1000</v>
      </c>
      <c r="C872" s="15" t="str">
        <f>IFERROR(__xludf.DUMMYFUNCTION("""COMPUTED_VALUE"""),"Not ranking")</f>
        <v>Not ranking</v>
      </c>
      <c r="D872" s="15" t="str">
        <f>IFERROR(__xludf.DUMMYFUNCTION("""COMPUTED_VALUE"""),"79")</f>
        <v>79</v>
      </c>
      <c r="E872" s="15" t="str">
        <f>IFERROR(__xludf.DUMMYFUNCTION("""COMPUTED_VALUE"""),"Not ranking")</f>
        <v>Not ranking</v>
      </c>
      <c r="F872" s="18" t="str">
        <f>IFERROR(__xludf.DUMMYFUNCTION("""COMPUTED_VALUE"""),"Not ranking")</f>
        <v>Not ranking</v>
      </c>
      <c r="G872" s="17" t="str">
        <f>IFERROR(__xludf.DUMMYFUNCTION("""COMPUTED_VALUE"""),"https://realtree.com/deer-hunting/articles/5-advanced-trail-camera-tactics")</f>
        <v>https://realtree.com/deer-hunting/articles/5-advanced-trail-camera-tactics</v>
      </c>
      <c r="H872" s="18" t="str">
        <f>IFERROR(__xludf.DUMMYFUNCTION("""COMPUTED_VALUE"""),"Not ranking")</f>
        <v>Not ranking</v>
      </c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5" t="str">
        <f>IFERROR(__xludf.DUMMYFUNCTION("""COMPUTED_VALUE"""),"deer growing hair on eyes")</f>
        <v>deer growing hair on eyes</v>
      </c>
      <c r="B873" s="15" t="str">
        <f>IFERROR(__xludf.DUMMYFUNCTION("""COMPUTED_VALUE"""),"1000")</f>
        <v>1000</v>
      </c>
      <c r="C873" s="15" t="str">
        <f>IFERROR(__xludf.DUMMYFUNCTION("""COMPUTED_VALUE"""),"Not ranking")</f>
        <v>Not ranking</v>
      </c>
      <c r="D873" s="15" t="str">
        <f>IFERROR(__xludf.DUMMYFUNCTION("""COMPUTED_VALUE"""),"90")</f>
        <v>90</v>
      </c>
      <c r="E873" s="15" t="str">
        <f>IFERROR(__xludf.DUMMYFUNCTION("""COMPUTED_VALUE"""),"Not ranking")</f>
        <v>Not ranking</v>
      </c>
      <c r="F873" s="18" t="str">
        <f>IFERROR(__xludf.DUMMYFUNCTION("""COMPUTED_VALUE"""),"Not ranking")</f>
        <v>Not ranking</v>
      </c>
      <c r="G873" s="17" t="str">
        <f>IFERROR(__xludf.DUMMYFUNCTION("""COMPUTED_VALUE"""),"https://realtree.com/deer-hunting/articles/busted-5-things-you-don-t-know-about-deer-senses")</f>
        <v>https://realtree.com/deer-hunting/articles/busted-5-things-you-don-t-know-about-deer-senses</v>
      </c>
      <c r="H873" s="18" t="str">
        <f>IFERROR(__xludf.DUMMYFUNCTION("""COMPUTED_VALUE"""),"Not ranking")</f>
        <v>Not ranking</v>
      </c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5" t="str">
        <f>IFERROR(__xludf.DUMMYFUNCTION("""COMPUTED_VALUE"""),"deer habitat")</f>
        <v>deer habitat</v>
      </c>
      <c r="B874" s="15" t="str">
        <f>IFERROR(__xludf.DUMMYFUNCTION("""COMPUTED_VALUE"""),"1000")</f>
        <v>1000</v>
      </c>
      <c r="C874" s="15" t="str">
        <f>IFERROR(__xludf.DUMMYFUNCTION("""COMPUTED_VALUE"""),"Not ranking")</f>
        <v>Not ranking</v>
      </c>
      <c r="D874" s="15" t="str">
        <f>IFERROR(__xludf.DUMMYFUNCTION("""COMPUTED_VALUE"""),"60")</f>
        <v>60</v>
      </c>
      <c r="E874" s="15" t="str">
        <f>IFERROR(__xludf.DUMMYFUNCTION("""COMPUTED_VALUE"""),"Not ranking")</f>
        <v>Not ranking</v>
      </c>
      <c r="F874" s="18" t="str">
        <f>IFERROR(__xludf.DUMMYFUNCTION("""COMPUTED_VALUE"""),"Not ranking")</f>
        <v>Not ranking</v>
      </c>
      <c r="G874" s="17" t="str">
        <f>IFERROR(__xludf.DUMMYFUNCTION("""COMPUTED_VALUE"""),"https://realtree.com/food-plots-and-land-management/articles/do-cedar-trees-make-good-deer-habitat")</f>
        <v>https://realtree.com/food-plots-and-land-management/articles/do-cedar-trees-make-good-deer-habitat</v>
      </c>
      <c r="H874" s="18" t="str">
        <f>IFERROR(__xludf.DUMMYFUNCTION("""COMPUTED_VALUE"""),"Not ranking")</f>
        <v>Not ranking</v>
      </c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5" t="str">
        <f>IFERROR(__xludf.DUMMYFUNCTION("""COMPUTED_VALUE"""),"deer head tattoo")</f>
        <v>deer head tattoo</v>
      </c>
      <c r="B875" s="15" t="str">
        <f>IFERROR(__xludf.DUMMYFUNCTION("""COMPUTED_VALUE"""),"1000")</f>
        <v>1000</v>
      </c>
      <c r="C875" s="15" t="str">
        <f>IFERROR(__xludf.DUMMYFUNCTION("""COMPUTED_VALUE"""),"Not ranking")</f>
        <v>Not ranking</v>
      </c>
      <c r="D875" s="15" t="str">
        <f>IFERROR(__xludf.DUMMYFUNCTION("""COMPUTED_VALUE"""),"Not ranking")</f>
        <v>Not ranking</v>
      </c>
      <c r="E875" s="15" t="str">
        <f>IFERROR(__xludf.DUMMYFUNCTION("""COMPUTED_VALUE"""),"62")</f>
        <v>62</v>
      </c>
      <c r="F875" s="18" t="str">
        <f>IFERROR(__xludf.DUMMYFUNCTION("""COMPUTED_VALUE"""),"Not ranking")</f>
        <v>Not ranking</v>
      </c>
      <c r="G875" s="18" t="str">
        <f>IFERROR(__xludf.DUMMYFUNCTION("""COMPUTED_VALUE"""),"Not ranking")</f>
        <v>Not ranking</v>
      </c>
      <c r="H875" s="17" t="str">
        <f>IFERROR(__xludf.DUMMYFUNCTION("""COMPUTED_VALUE"""),"https://www.wideopenspaces.com/16-horrible-hunting-tattoos/")</f>
        <v>https://www.wideopenspaces.com/16-horrible-hunting-tattoos/</v>
      </c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5" t="str">
        <f>IFERROR(__xludf.DUMMYFUNCTION("""COMPUTED_VALUE"""),"deer hunting in florida")</f>
        <v>deer hunting in florida</v>
      </c>
      <c r="B876" s="15" t="str">
        <f>IFERROR(__xludf.DUMMYFUNCTION("""COMPUTED_VALUE"""),"1000")</f>
        <v>1000</v>
      </c>
      <c r="C876" s="15" t="str">
        <f>IFERROR(__xludf.DUMMYFUNCTION("""COMPUTED_VALUE"""),"Not ranking")</f>
        <v>Not ranking</v>
      </c>
      <c r="D876" s="15" t="str">
        <f>IFERROR(__xludf.DUMMYFUNCTION("""COMPUTED_VALUE"""),"75")</f>
        <v>75</v>
      </c>
      <c r="E876" s="15" t="str">
        <f>IFERROR(__xludf.DUMMYFUNCTION("""COMPUTED_VALUE"""),"Not ranking")</f>
        <v>Not ranking</v>
      </c>
      <c r="F876" s="18" t="str">
        <f>IFERROR(__xludf.DUMMYFUNCTION("""COMPUTED_VALUE"""),"Not ranking")</f>
        <v>Not ranking</v>
      </c>
      <c r="G876" s="17" t="str">
        <f>IFERROR(__xludf.DUMMYFUNCTION("""COMPUTED_VALUE"""),"https://realtree.com/deer-hunting/articles/where-to-deer-hunt-in-february")</f>
        <v>https://realtree.com/deer-hunting/articles/where-to-deer-hunt-in-february</v>
      </c>
      <c r="H876" s="18" t="str">
        <f>IFERROR(__xludf.DUMMYFUNCTION("""COMPUTED_VALUE"""),"Not ranking")</f>
        <v>Not ranking</v>
      </c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5" t="str">
        <f>IFERROR(__xludf.DUMMYFUNCTION("""COMPUTED_VALUE"""),"deer hunting meme")</f>
        <v>deer hunting meme</v>
      </c>
      <c r="B877" s="15" t="str">
        <f>IFERROR(__xludf.DUMMYFUNCTION("""COMPUTED_VALUE"""),"1000")</f>
        <v>1000</v>
      </c>
      <c r="C877" s="15" t="str">
        <f>IFERROR(__xludf.DUMMYFUNCTION("""COMPUTED_VALUE"""),"Not ranking")</f>
        <v>Not ranking</v>
      </c>
      <c r="D877" s="15" t="str">
        <f>IFERROR(__xludf.DUMMYFUNCTION("""COMPUTED_VALUE"""),"Not ranking")</f>
        <v>Not ranking</v>
      </c>
      <c r="E877" s="15" t="str">
        <f>IFERROR(__xludf.DUMMYFUNCTION("""COMPUTED_VALUE"""),"3")</f>
        <v>3</v>
      </c>
      <c r="F877" s="18" t="str">
        <f>IFERROR(__xludf.DUMMYFUNCTION("""COMPUTED_VALUE"""),"Not ranking")</f>
        <v>Not ranking</v>
      </c>
      <c r="G877" s="18" t="str">
        <f>IFERROR(__xludf.DUMMYFUNCTION("""COMPUTED_VALUE"""),"Not ranking")</f>
        <v>Not ranking</v>
      </c>
      <c r="H877" s="17" t="str">
        <f>IFERROR(__xludf.DUMMYFUNCTION("""COMPUTED_VALUE"""),"https://www.wideopenspaces.com/whitetailwednesday-15-hilarious-deer-hunting-memes-true/")</f>
        <v>https://www.wideopenspaces.com/whitetailwednesday-15-hilarious-deer-hunting-memes-true/</v>
      </c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5" t="str">
        <f>IFERROR(__xludf.DUMMYFUNCTION("""COMPUTED_VALUE"""),"deer hunting memes")</f>
        <v>deer hunting memes</v>
      </c>
      <c r="B878" s="15" t="str">
        <f>IFERROR(__xludf.DUMMYFUNCTION("""COMPUTED_VALUE"""),"1000")</f>
        <v>1000</v>
      </c>
      <c r="C878" s="15" t="str">
        <f>IFERROR(__xludf.DUMMYFUNCTION("""COMPUTED_VALUE"""),"Not ranking")</f>
        <v>Not ranking</v>
      </c>
      <c r="D878" s="15" t="str">
        <f>IFERROR(__xludf.DUMMYFUNCTION("""COMPUTED_VALUE"""),"Not ranking")</f>
        <v>Not ranking</v>
      </c>
      <c r="E878" s="15" t="str">
        <f>IFERROR(__xludf.DUMMYFUNCTION("""COMPUTED_VALUE"""),"3")</f>
        <v>3</v>
      </c>
      <c r="F878" s="18" t="str">
        <f>IFERROR(__xludf.DUMMYFUNCTION("""COMPUTED_VALUE"""),"Not ranking")</f>
        <v>Not ranking</v>
      </c>
      <c r="G878" s="18" t="str">
        <f>IFERROR(__xludf.DUMMYFUNCTION("""COMPUTED_VALUE"""),"Not ranking")</f>
        <v>Not ranking</v>
      </c>
      <c r="H878" s="17" t="str">
        <f>IFERROR(__xludf.DUMMYFUNCTION("""COMPUTED_VALUE"""),"https://www.wideopenspaces.com/whitetailwednesday-15-hilarious-deer-hunting-memes-true/")</f>
        <v>https://www.wideopenspaces.com/whitetailwednesday-15-hilarious-deer-hunting-memes-true/</v>
      </c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5" t="str">
        <f>IFERROR(__xludf.DUMMYFUNCTION("""COMPUTED_VALUE"""),"deer hunting near me")</f>
        <v>deer hunting near me</v>
      </c>
      <c r="B879" s="15" t="str">
        <f>IFERROR(__xludf.DUMMYFUNCTION("""COMPUTED_VALUE"""),"1000")</f>
        <v>1000</v>
      </c>
      <c r="C879" s="15" t="str">
        <f>IFERROR(__xludf.DUMMYFUNCTION("""COMPUTED_VALUE"""),"Not ranking")</f>
        <v>Not ranking</v>
      </c>
      <c r="D879" s="15" t="str">
        <f>IFERROR(__xludf.DUMMYFUNCTION("""COMPUTED_VALUE"""),"Not ranking")</f>
        <v>Not ranking</v>
      </c>
      <c r="E879" s="15" t="str">
        <f>IFERROR(__xludf.DUMMYFUNCTION("""COMPUTED_VALUE"""),"61")</f>
        <v>61</v>
      </c>
      <c r="F879" s="18" t="str">
        <f>IFERROR(__xludf.DUMMYFUNCTION("""COMPUTED_VALUE"""),"Not ranking")</f>
        <v>Not ranking</v>
      </c>
      <c r="G879" s="18" t="str">
        <f>IFERROR(__xludf.DUMMYFUNCTION("""COMPUTED_VALUE"""),"Not ranking")</f>
        <v>Not ranking</v>
      </c>
      <c r="H879" s="17" t="str">
        <f>IFERROR(__xludf.DUMMYFUNCTION("""COMPUTED_VALUE"""),"https://www.wideopenspaces.com/5-of-the-best-public-places-to-hunt-in-ohio/")</f>
        <v>https://www.wideopenspaces.com/5-of-the-best-public-places-to-hunt-in-ohio/</v>
      </c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5" t="str">
        <f>IFERROR(__xludf.DUMMYFUNCTION("""COMPUTED_VALUE"""),"deer hunting season michigan")</f>
        <v>deer hunting season michigan</v>
      </c>
      <c r="B880" s="15" t="str">
        <f>IFERROR(__xludf.DUMMYFUNCTION("""COMPUTED_VALUE"""),"1000")</f>
        <v>1000</v>
      </c>
      <c r="C880" s="15" t="str">
        <f>IFERROR(__xludf.DUMMYFUNCTION("""COMPUTED_VALUE"""),"Not ranking")</f>
        <v>Not ranking</v>
      </c>
      <c r="D880" s="15" t="str">
        <f>IFERROR(__xludf.DUMMYFUNCTION("""COMPUTED_VALUE"""),"Not ranking")</f>
        <v>Not ranking</v>
      </c>
      <c r="E880" s="15" t="str">
        <f>IFERROR(__xludf.DUMMYFUNCTION("""COMPUTED_VALUE"""),"66")</f>
        <v>66</v>
      </c>
      <c r="F880" s="18" t="str">
        <f>IFERROR(__xludf.DUMMYFUNCTION("""COMPUTED_VALUE"""),"Not ranking")</f>
        <v>Not ranking</v>
      </c>
      <c r="G880" s="18" t="str">
        <f>IFERROR(__xludf.DUMMYFUNCTION("""COMPUTED_VALUE"""),"Not ranking")</f>
        <v>Not ranking</v>
      </c>
      <c r="H880" s="17" t="str">
        <f>IFERROR(__xludf.DUMMYFUNCTION("""COMPUTED_VALUE"""),"https://www.wideopenspaces.com/michigan-deer-combo-license-explained/")</f>
        <v>https://www.wideopenspaces.com/michigan-deer-combo-license-explained/</v>
      </c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5" t="str">
        <f>IFERROR(__xludf.DUMMYFUNCTION("""COMPUTED_VALUE"""),"deer hunting season mn 2022")</f>
        <v>deer hunting season mn 2022</v>
      </c>
      <c r="B881" s="15" t="str">
        <f>IFERROR(__xludf.DUMMYFUNCTION("""COMPUTED_VALUE"""),"1000")</f>
        <v>1000</v>
      </c>
      <c r="C881" s="15" t="str">
        <f>IFERROR(__xludf.DUMMYFUNCTION("""COMPUTED_VALUE"""),"Not ranking")</f>
        <v>Not ranking</v>
      </c>
      <c r="D881" s="15" t="str">
        <f>IFERROR(__xludf.DUMMYFUNCTION("""COMPUTED_VALUE"""),"Not ranking")</f>
        <v>Not ranking</v>
      </c>
      <c r="E881" s="15" t="str">
        <f>IFERROR(__xludf.DUMMYFUNCTION("""COMPUTED_VALUE"""),"36")</f>
        <v>36</v>
      </c>
      <c r="F881" s="18" t="str">
        <f>IFERROR(__xludf.DUMMYFUNCTION("""COMPUTED_VALUE"""),"Not ranking")</f>
        <v>Not ranking</v>
      </c>
      <c r="G881" s="18" t="str">
        <f>IFERROR(__xludf.DUMMYFUNCTION("""COMPUTED_VALUE"""),"Not ranking")</f>
        <v>Not ranking</v>
      </c>
      <c r="H881" s="17" t="str">
        <f>IFERROR(__xludf.DUMMYFUNCTION("""COMPUTED_VALUE"""),"https://www.wideopenspaces.com/mn-deer-hunting-zones/")</f>
        <v>https://www.wideopenspaces.com/mn-deer-hunting-zones/</v>
      </c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5" t="str">
        <f>IFERROR(__xludf.DUMMYFUNCTION("""COMPUTED_VALUE"""),"deer hunting tattoos")</f>
        <v>deer hunting tattoos</v>
      </c>
      <c r="B882" s="15" t="str">
        <f>IFERROR(__xludf.DUMMYFUNCTION("""COMPUTED_VALUE"""),"1000")</f>
        <v>1000</v>
      </c>
      <c r="C882" s="15" t="str">
        <f>IFERROR(__xludf.DUMMYFUNCTION("""COMPUTED_VALUE"""),"Not ranking")</f>
        <v>Not ranking</v>
      </c>
      <c r="D882" s="15" t="str">
        <f>IFERROR(__xludf.DUMMYFUNCTION("""COMPUTED_VALUE"""),"18")</f>
        <v>18</v>
      </c>
      <c r="E882" s="15" t="str">
        <f>IFERROR(__xludf.DUMMYFUNCTION("""COMPUTED_VALUE"""),"5")</f>
        <v>5</v>
      </c>
      <c r="F882" s="18" t="str">
        <f>IFERROR(__xludf.DUMMYFUNCTION("""COMPUTED_VALUE"""),"Not ranking")</f>
        <v>Not ranking</v>
      </c>
      <c r="G882" s="17" t="str">
        <f>IFERROR(__xludf.DUMMYFUNCTION("""COMPUTED_VALUE"""),"https://realtree.com/the-realblog-with-stephanie-mallory/top-10-hunting-tattoos-for-2017")</f>
        <v>https://realtree.com/the-realblog-with-stephanie-mallory/top-10-hunting-tattoos-for-2017</v>
      </c>
      <c r="H882" s="17" t="str">
        <f>IFERROR(__xludf.DUMMYFUNCTION("""COMPUTED_VALUE"""),"https://www.wideopenspaces.com/20-great-hunting-tattoos-youll-want-to-get/")</f>
        <v>https://www.wideopenspaces.com/20-great-hunting-tattoos-youll-want-to-get/</v>
      </c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5" t="str">
        <f>IFERROR(__xludf.DUMMYFUNCTION("""COMPUTED_VALUE"""),"deer image")</f>
        <v>deer image</v>
      </c>
      <c r="B883" s="15" t="str">
        <f>IFERROR(__xludf.DUMMYFUNCTION("""COMPUTED_VALUE"""),"1000")</f>
        <v>1000</v>
      </c>
      <c r="C883" s="15" t="str">
        <f>IFERROR(__xludf.DUMMYFUNCTION("""COMPUTED_VALUE"""),"Not ranking")</f>
        <v>Not ranking</v>
      </c>
      <c r="D883" s="15" t="str">
        <f>IFERROR(__xludf.DUMMYFUNCTION("""COMPUTED_VALUE"""),"84")</f>
        <v>84</v>
      </c>
      <c r="E883" s="15" t="str">
        <f>IFERROR(__xludf.DUMMYFUNCTION("""COMPUTED_VALUE"""),"Not ranking")</f>
        <v>Not ranking</v>
      </c>
      <c r="F883" s="18" t="str">
        <f>IFERROR(__xludf.DUMMYFUNCTION("""COMPUTED_VALUE"""),"Not ranking")</f>
        <v>Not ranking</v>
      </c>
      <c r="G883" s="17" t="str">
        <f>IFERROR(__xludf.DUMMYFUNCTION("""COMPUTED_VALUE"""),"https://realtree.com/deer-hunting/articles/10-tips-for-great-deer-pictures")</f>
        <v>https://realtree.com/deer-hunting/articles/10-tips-for-great-deer-pictures</v>
      </c>
      <c r="H883" s="18" t="str">
        <f>IFERROR(__xludf.DUMMYFUNCTION("""COMPUTED_VALUE"""),"Not ranking")</f>
        <v>Not ranking</v>
      </c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5" t="str">
        <f>IFERROR(__xludf.DUMMYFUNCTION("""COMPUTED_VALUE"""),"deer jokes")</f>
        <v>deer jokes</v>
      </c>
      <c r="B884" s="15" t="str">
        <f>IFERROR(__xludf.DUMMYFUNCTION("""COMPUTED_VALUE"""),"1000")</f>
        <v>1000</v>
      </c>
      <c r="C884" s="15" t="str">
        <f>IFERROR(__xludf.DUMMYFUNCTION("""COMPUTED_VALUE"""),"Not ranking")</f>
        <v>Not ranking</v>
      </c>
      <c r="D884" s="15" t="str">
        <f>IFERROR(__xludf.DUMMYFUNCTION("""COMPUTED_VALUE"""),"Not ranking")</f>
        <v>Not ranking</v>
      </c>
      <c r="E884" s="15" t="str">
        <f>IFERROR(__xludf.DUMMYFUNCTION("""COMPUTED_VALUE"""),"44")</f>
        <v>44</v>
      </c>
      <c r="F884" s="18" t="str">
        <f>IFERROR(__xludf.DUMMYFUNCTION("""COMPUTED_VALUE"""),"Not ranking")</f>
        <v>Not ranking</v>
      </c>
      <c r="G884" s="18" t="str">
        <f>IFERROR(__xludf.DUMMYFUNCTION("""COMPUTED_VALUE"""),"Not ranking")</f>
        <v>Not ranking</v>
      </c>
      <c r="H884" s="17" t="str">
        <f>IFERROR(__xludf.DUMMYFUNCTION("""COMPUTED_VALUE"""),"https://www.wideopenspaces.com/19-deer-hunting-jokes/")</f>
        <v>https://www.wideopenspaces.com/19-deer-hunting-jokes/</v>
      </c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5" t="str">
        <f>IFERROR(__xludf.DUMMYFUNCTION("""COMPUTED_VALUE"""),"deer lease in texas")</f>
        <v>deer lease in texas</v>
      </c>
      <c r="B885" s="15" t="str">
        <f>IFERROR(__xludf.DUMMYFUNCTION("""COMPUTED_VALUE"""),"1000")</f>
        <v>1000</v>
      </c>
      <c r="C885" s="15" t="str">
        <f>IFERROR(__xludf.DUMMYFUNCTION("""COMPUTED_VALUE"""),"Not ranking")</f>
        <v>Not ranking</v>
      </c>
      <c r="D885" s="15" t="str">
        <f>IFERROR(__xludf.DUMMYFUNCTION("""COMPUTED_VALUE"""),"Not ranking")</f>
        <v>Not ranking</v>
      </c>
      <c r="E885" s="15" t="str">
        <f>IFERROR(__xludf.DUMMYFUNCTION("""COMPUTED_VALUE"""),"63")</f>
        <v>63</v>
      </c>
      <c r="F885" s="18" t="str">
        <f>IFERROR(__xludf.DUMMYFUNCTION("""COMPUTED_VALUE"""),"Not ranking")</f>
        <v>Not ranking</v>
      </c>
      <c r="G885" s="18" t="str">
        <f>IFERROR(__xludf.DUMMYFUNCTION("""COMPUTED_VALUE"""),"Not ranking")</f>
        <v>Not ranking</v>
      </c>
      <c r="H885" s="17" t="str">
        <f>IFERROR(__xludf.DUMMYFUNCTION("""COMPUTED_VALUE"""),"https://www.wideopenspaces.com/finding-land-to-hunt-in-texas-isnt-as-hard-as-you-might-think/")</f>
        <v>https://www.wideopenspaces.com/finding-land-to-hunt-in-texas-isnt-as-hard-as-you-might-think/</v>
      </c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5" t="str">
        <f>IFERROR(__xludf.DUMMYFUNCTION("""COMPUTED_VALUE"""),"deer license in indiana")</f>
        <v>deer license in indiana</v>
      </c>
      <c r="B886" s="15" t="str">
        <f>IFERROR(__xludf.DUMMYFUNCTION("""COMPUTED_VALUE"""),"1000")</f>
        <v>1000</v>
      </c>
      <c r="C886" s="15" t="str">
        <f>IFERROR(__xludf.DUMMYFUNCTION("""COMPUTED_VALUE"""),"Not ranking")</f>
        <v>Not ranking</v>
      </c>
      <c r="D886" s="15" t="str">
        <f>IFERROR(__xludf.DUMMYFUNCTION("""COMPUTED_VALUE"""),"Not ranking")</f>
        <v>Not ranking</v>
      </c>
      <c r="E886" s="15" t="str">
        <f>IFERROR(__xludf.DUMMYFUNCTION("""COMPUTED_VALUE"""),"19")</f>
        <v>19</v>
      </c>
      <c r="F886" s="18" t="str">
        <f>IFERROR(__xludf.DUMMYFUNCTION("""COMPUTED_VALUE"""),"Not ranking")</f>
        <v>Not ranking</v>
      </c>
      <c r="G886" s="18" t="str">
        <f>IFERROR(__xludf.DUMMYFUNCTION("""COMPUTED_VALUE"""),"Not ranking")</f>
        <v>Not ranking</v>
      </c>
      <c r="H886" s="17" t="str">
        <f>IFERROR(__xludf.DUMMYFUNCTION("""COMPUTED_VALUE"""),"https://www.wideopenspaces.com/indiana-hunting-license/")</f>
        <v>https://www.wideopenspaces.com/indiana-hunting-license/</v>
      </c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5" t="str">
        <f>IFERROR(__xludf.DUMMYFUNCTION("""COMPUTED_VALUE"""),"deer meaning")</f>
        <v>deer meaning</v>
      </c>
      <c r="B887" s="15" t="str">
        <f>IFERROR(__xludf.DUMMYFUNCTION("""COMPUTED_VALUE"""),"1000")</f>
        <v>1000</v>
      </c>
      <c r="C887" s="15" t="str">
        <f>IFERROR(__xludf.DUMMYFUNCTION("""COMPUTED_VALUE"""),"Not ranking")</f>
        <v>Not ranking</v>
      </c>
      <c r="D887" s="15" t="str">
        <f>IFERROR(__xludf.DUMMYFUNCTION("""COMPUTED_VALUE"""),"58")</f>
        <v>58</v>
      </c>
      <c r="E887" s="15" t="str">
        <f>IFERROR(__xludf.DUMMYFUNCTION("""COMPUTED_VALUE"""),"Not ranking")</f>
        <v>Not ranking</v>
      </c>
      <c r="F887" s="18" t="str">
        <f>IFERROR(__xludf.DUMMYFUNCTION("""COMPUTED_VALUE"""),"Not ranking")</f>
        <v>Not ranking</v>
      </c>
      <c r="G887" s="17" t="str">
        <f>IFERROR(__xludf.DUMMYFUNCTION("""COMPUTED_VALUE"""),"https://realtree.com/deer-hunting/articles/the-meaning-of-deer-hunting-hunting-truth-in-life")</f>
        <v>https://realtree.com/deer-hunting/articles/the-meaning-of-deer-hunting-hunting-truth-in-life</v>
      </c>
      <c r="H887" s="18" t="str">
        <f>IFERROR(__xludf.DUMMYFUNCTION("""COMPUTED_VALUE"""),"Not ranking")</f>
        <v>Not ranking</v>
      </c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5" t="str">
        <f>IFERROR(__xludf.DUMMYFUNCTION("""COMPUTED_VALUE"""),"deer pedestal mount")</f>
        <v>deer pedestal mount</v>
      </c>
      <c r="B888" s="15" t="str">
        <f>IFERROR(__xludf.DUMMYFUNCTION("""COMPUTED_VALUE"""),"1000")</f>
        <v>1000</v>
      </c>
      <c r="C888" s="15" t="str">
        <f>IFERROR(__xludf.DUMMYFUNCTION("""COMPUTED_VALUE"""),"Not ranking")</f>
        <v>Not ranking</v>
      </c>
      <c r="D888" s="15" t="str">
        <f>IFERROR(__xludf.DUMMYFUNCTION("""COMPUTED_VALUE"""),"66")</f>
        <v>66</v>
      </c>
      <c r="E888" s="15" t="str">
        <f>IFERROR(__xludf.DUMMYFUNCTION("""COMPUTED_VALUE"""),"Not ranking")</f>
        <v>Not ranking</v>
      </c>
      <c r="F888" s="18" t="str">
        <f>IFERROR(__xludf.DUMMYFUNCTION("""COMPUTED_VALUE"""),"Not ranking")</f>
        <v>Not ranking</v>
      </c>
      <c r="G888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888" s="18" t="str">
        <f>IFERROR(__xludf.DUMMYFUNCTION("""COMPUTED_VALUE"""),"Not ranking")</f>
        <v>Not ranking</v>
      </c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5" t="str">
        <f>IFERROR(__xludf.DUMMYFUNCTION("""COMPUTED_VALUE"""),"deer season alabama 2022")</f>
        <v>deer season alabama 2022</v>
      </c>
      <c r="B889" s="15" t="str">
        <f>IFERROR(__xludf.DUMMYFUNCTION("""COMPUTED_VALUE"""),"1000")</f>
        <v>1000</v>
      </c>
      <c r="C889" s="15" t="str">
        <f>IFERROR(__xludf.DUMMYFUNCTION("""COMPUTED_VALUE"""),"Not ranking")</f>
        <v>Not ranking</v>
      </c>
      <c r="D889" s="15" t="str">
        <f>IFERROR(__xludf.DUMMYFUNCTION("""COMPUTED_VALUE"""),"25")</f>
        <v>25</v>
      </c>
      <c r="E889" s="15" t="str">
        <f>IFERROR(__xludf.DUMMYFUNCTION("""COMPUTED_VALUE"""),"73")</f>
        <v>73</v>
      </c>
      <c r="F889" s="18" t="str">
        <f>IFERROR(__xludf.DUMMYFUNCTION("""COMPUTED_VALUE"""),"Not ranking")</f>
        <v>Not ranking</v>
      </c>
      <c r="G88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889" s="17" t="str">
        <f>IFERROR(__xludf.DUMMYFUNCTION("""COMPUTED_VALUE"""),"https://www.wideopenspaces.com/alabama-hunting-license/")</f>
        <v>https://www.wideopenspaces.com/alabama-hunting-license/</v>
      </c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5" t="str">
        <f>IFERROR(__xludf.DUMMYFUNCTION("""COMPUTED_VALUE"""),"deer season florida")</f>
        <v>deer season florida</v>
      </c>
      <c r="B890" s="15" t="str">
        <f>IFERROR(__xludf.DUMMYFUNCTION("""COMPUTED_VALUE"""),"1000")</f>
        <v>1000</v>
      </c>
      <c r="C890" s="15" t="str">
        <f>IFERROR(__xludf.DUMMYFUNCTION("""COMPUTED_VALUE"""),"Not ranking")</f>
        <v>Not ranking</v>
      </c>
      <c r="D890" s="15" t="str">
        <f>IFERROR(__xludf.DUMMYFUNCTION("""COMPUTED_VALUE"""),"61")</f>
        <v>61</v>
      </c>
      <c r="E890" s="15" t="str">
        <f>IFERROR(__xludf.DUMMYFUNCTION("""COMPUTED_VALUE"""),"88")</f>
        <v>88</v>
      </c>
      <c r="F890" s="18" t="str">
        <f>IFERROR(__xludf.DUMMYFUNCTION("""COMPUTED_VALUE"""),"Not ranking")</f>
        <v>Not ranking</v>
      </c>
      <c r="G890" s="17" t="str">
        <f>IFERROR(__xludf.DUMMYFUNCTION("""COMPUTED_VALUE"""),"https://realtree.com/deer-hunting/articles/where-to-deer-hunt-in-february")</f>
        <v>https://realtree.com/deer-hunting/articles/where-to-deer-hunt-in-february</v>
      </c>
      <c r="H890" s="17" t="str">
        <f>IFERROR(__xludf.DUMMYFUNCTION("""COMPUTED_VALUE"""),"https://www.wideopenspaces.com/hunt-deer-january-february/")</f>
        <v>https://www.wideopenspaces.com/hunt-deer-january-february/</v>
      </c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5" t="str">
        <f>IFERROR(__xludf.DUMMYFUNCTION("""COMPUTED_VALUE"""),"deer season in georgia")</f>
        <v>deer season in georgia</v>
      </c>
      <c r="B891" s="15" t="str">
        <f>IFERROR(__xludf.DUMMYFUNCTION("""COMPUTED_VALUE"""),"1000")</f>
        <v>1000</v>
      </c>
      <c r="C891" s="15" t="str">
        <f>IFERROR(__xludf.DUMMYFUNCTION("""COMPUTED_VALUE"""),"Not ranking")</f>
        <v>Not ranking</v>
      </c>
      <c r="D891" s="15" t="str">
        <f>IFERROR(__xludf.DUMMYFUNCTION("""COMPUTED_VALUE"""),"Not ranking")</f>
        <v>Not ranking</v>
      </c>
      <c r="E891" s="15" t="str">
        <f>IFERROR(__xludf.DUMMYFUNCTION("""COMPUTED_VALUE"""),"17")</f>
        <v>17</v>
      </c>
      <c r="F891" s="18" t="str">
        <f>IFERROR(__xludf.DUMMYFUNCTION("""COMPUTED_VALUE"""),"Not ranking")</f>
        <v>Not ranking</v>
      </c>
      <c r="G891" s="18" t="str">
        <f>IFERROR(__xludf.DUMMYFUNCTION("""COMPUTED_VALUE"""),"Not ranking")</f>
        <v>Not ranking</v>
      </c>
      <c r="H891" s="17" t="str">
        <f>IFERROR(__xludf.DUMMYFUNCTION("""COMPUTED_VALUE"""),"https://www.wideopenspaces.com/when-does-deer-season-end-in-georgia/")</f>
        <v>https://www.wideopenspaces.com/when-does-deer-season-end-in-georgia/</v>
      </c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5" t="str">
        <f>IFERROR(__xludf.DUMMYFUNCTION("""COMPUTED_VALUE"""),"deer season in il")</f>
        <v>deer season in il</v>
      </c>
      <c r="B892" s="15" t="str">
        <f>IFERROR(__xludf.DUMMYFUNCTION("""COMPUTED_VALUE"""),"1000")</f>
        <v>1000</v>
      </c>
      <c r="C892" s="15" t="str">
        <f>IFERROR(__xludf.DUMMYFUNCTION("""COMPUTED_VALUE"""),"Not ranking")</f>
        <v>Not ranking</v>
      </c>
      <c r="D892" s="15" t="str">
        <f>IFERROR(__xludf.DUMMYFUNCTION("""COMPUTED_VALUE"""),"Not ranking")</f>
        <v>Not ranking</v>
      </c>
      <c r="E892" s="15" t="str">
        <f>IFERROR(__xludf.DUMMYFUNCTION("""COMPUTED_VALUE"""),"98")</f>
        <v>98</v>
      </c>
      <c r="F892" s="18" t="str">
        <f>IFERROR(__xludf.DUMMYFUNCTION("""COMPUTED_VALUE"""),"Not ranking")</f>
        <v>Not ranking</v>
      </c>
      <c r="G892" s="18" t="str">
        <f>IFERROR(__xludf.DUMMYFUNCTION("""COMPUTED_VALUE"""),"Not ranking")</f>
        <v>Not ranking</v>
      </c>
      <c r="H892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5" t="str">
        <f>IFERROR(__xludf.DUMMYFUNCTION("""COMPUTED_VALUE"""),"deer season in texas")</f>
        <v>deer season in texas</v>
      </c>
      <c r="B893" s="15" t="str">
        <f>IFERROR(__xludf.DUMMYFUNCTION("""COMPUTED_VALUE"""),"1000")</f>
        <v>1000</v>
      </c>
      <c r="C893" s="15" t="str">
        <f>IFERROR(__xludf.DUMMYFUNCTION("""COMPUTED_VALUE"""),"Not ranking")</f>
        <v>Not ranking</v>
      </c>
      <c r="D893" s="15" t="str">
        <f>IFERROR(__xludf.DUMMYFUNCTION("""COMPUTED_VALUE"""),"Not ranking")</f>
        <v>Not ranking</v>
      </c>
      <c r="E893" s="15" t="str">
        <f>IFERROR(__xludf.DUMMYFUNCTION("""COMPUTED_VALUE"""),"8")</f>
        <v>8</v>
      </c>
      <c r="F893" s="18" t="str">
        <f>IFERROR(__xludf.DUMMYFUNCTION("""COMPUTED_VALUE"""),"Not ranking")</f>
        <v>Not ranking</v>
      </c>
      <c r="G893" s="18" t="str">
        <f>IFERROR(__xludf.DUMMYFUNCTION("""COMPUTED_VALUE"""),"Not ranking")</f>
        <v>Not ranking</v>
      </c>
      <c r="H893" s="17" t="str">
        <f>IFERROR(__xludf.DUMMYFUNCTION("""COMPUTED_VALUE"""),"https://www.wideopenspaces.com/when-does-deer-season-end-in-texas/")</f>
        <v>https://www.wideopenspaces.com/when-does-deer-season-end-in-texas/</v>
      </c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5" t="str">
        <f>IFERROR(__xludf.DUMMYFUNCTION("""COMPUTED_VALUE"""),"deer season mississippi")</f>
        <v>deer season mississippi</v>
      </c>
      <c r="B894" s="15" t="str">
        <f>IFERROR(__xludf.DUMMYFUNCTION("""COMPUTED_VALUE"""),"1000")</f>
        <v>1000</v>
      </c>
      <c r="C894" s="15" t="str">
        <f>IFERROR(__xludf.DUMMYFUNCTION("""COMPUTED_VALUE"""),"Not ranking")</f>
        <v>Not ranking</v>
      </c>
      <c r="D894" s="15" t="str">
        <f>IFERROR(__xludf.DUMMYFUNCTION("""COMPUTED_VALUE"""),"47")</f>
        <v>47</v>
      </c>
      <c r="E894" s="15" t="str">
        <f>IFERROR(__xludf.DUMMYFUNCTION("""COMPUTED_VALUE"""),"Not ranking")</f>
        <v>Not ranking</v>
      </c>
      <c r="F894" s="18" t="str">
        <f>IFERROR(__xludf.DUMMYFUNCTION("""COMPUTED_VALUE"""),"Not ranking")</f>
        <v>Not ranking</v>
      </c>
      <c r="G894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894" s="18" t="str">
        <f>IFERROR(__xludf.DUMMYFUNCTION("""COMPUTED_VALUE"""),"Not ranking")</f>
        <v>Not ranking</v>
      </c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5" t="str">
        <f>IFERROR(__xludf.DUMMYFUNCTION("""COMPUTED_VALUE"""),"deer season ohio")</f>
        <v>deer season ohio</v>
      </c>
      <c r="B895" s="15" t="str">
        <f>IFERROR(__xludf.DUMMYFUNCTION("""COMPUTED_VALUE"""),"1000")</f>
        <v>1000</v>
      </c>
      <c r="C895" s="15" t="str">
        <f>IFERROR(__xludf.DUMMYFUNCTION("""COMPUTED_VALUE"""),"Not ranking")</f>
        <v>Not ranking</v>
      </c>
      <c r="D895" s="15" t="str">
        <f>IFERROR(__xludf.DUMMYFUNCTION("""COMPUTED_VALUE"""),"Not ranking")</f>
        <v>Not ranking</v>
      </c>
      <c r="E895" s="15" t="str">
        <f>IFERROR(__xludf.DUMMYFUNCTION("""COMPUTED_VALUE"""),"53")</f>
        <v>53</v>
      </c>
      <c r="F895" s="18" t="str">
        <f>IFERROR(__xludf.DUMMYFUNCTION("""COMPUTED_VALUE"""),"Not ranking")</f>
        <v>Not ranking</v>
      </c>
      <c r="G895" s="18" t="str">
        <f>IFERROR(__xludf.DUMMYFUNCTION("""COMPUTED_VALUE"""),"Not ranking")</f>
        <v>Not ranking</v>
      </c>
      <c r="H895" s="17" t="str">
        <f>IFERROR(__xludf.DUMMYFUNCTION("""COMPUTED_VALUE"""),"https://www.wideopenspaces.com/deer-hunting-in-ohio-what-you-should-know/")</f>
        <v>https://www.wideopenspaces.com/deer-hunting-in-ohio-what-you-should-know/</v>
      </c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5" t="str">
        <f>IFERROR(__xludf.DUMMYFUNCTION("""COMPUTED_VALUE"""),"deer season pa")</f>
        <v>deer season pa</v>
      </c>
      <c r="B896" s="15" t="str">
        <f>IFERROR(__xludf.DUMMYFUNCTION("""COMPUTED_VALUE"""),"1000")</f>
        <v>1000</v>
      </c>
      <c r="C896" s="15" t="str">
        <f>IFERROR(__xludf.DUMMYFUNCTION("""COMPUTED_VALUE"""),"Not ranking")</f>
        <v>Not ranking</v>
      </c>
      <c r="D896" s="15" t="str">
        <f>IFERROR(__xludf.DUMMYFUNCTION("""COMPUTED_VALUE"""),"Not ranking")</f>
        <v>Not ranking</v>
      </c>
      <c r="E896" s="15" t="str">
        <f>IFERROR(__xludf.DUMMYFUNCTION("""COMPUTED_VALUE"""),"85")</f>
        <v>85</v>
      </c>
      <c r="F896" s="18" t="str">
        <f>IFERROR(__xludf.DUMMYFUNCTION("""COMPUTED_VALUE"""),"Not ranking")</f>
        <v>Not ranking</v>
      </c>
      <c r="G896" s="18" t="str">
        <f>IFERROR(__xludf.DUMMYFUNCTION("""COMPUTED_VALUE"""),"Not ranking")</f>
        <v>Not ranking</v>
      </c>
      <c r="H896" s="17" t="str">
        <f>IFERROR(__xludf.DUMMYFUNCTION("""COMPUTED_VALUE"""),"https://www.wideopenspaces.com/pennsylvania-deer-hunting/")</f>
        <v>https://www.wideopenspaces.com/pennsylvania-deer-hunting/</v>
      </c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5" t="str">
        <f>IFERROR(__xludf.DUMMYFUNCTION("""COMPUTED_VALUE"""),"deer with spots")</f>
        <v>deer with spots</v>
      </c>
      <c r="B897" s="15" t="str">
        <f>IFERROR(__xludf.DUMMYFUNCTION("""COMPUTED_VALUE"""),"1000")</f>
        <v>1000</v>
      </c>
      <c r="C897" s="15" t="str">
        <f>IFERROR(__xludf.DUMMYFUNCTION("""COMPUTED_VALUE"""),"Not ranking")</f>
        <v>Not ranking</v>
      </c>
      <c r="D897" s="15" t="str">
        <f>IFERROR(__xludf.DUMMYFUNCTION("""COMPUTED_VALUE"""),"Not ranking")</f>
        <v>Not ranking</v>
      </c>
      <c r="E897" s="15" t="str">
        <f>IFERROR(__xludf.DUMMYFUNCTION("""COMPUTED_VALUE"""),"17")</f>
        <v>17</v>
      </c>
      <c r="F897" s="18" t="str">
        <f>IFERROR(__xludf.DUMMYFUNCTION("""COMPUTED_VALUE"""),"Not ranking")</f>
        <v>Not ranking</v>
      </c>
      <c r="G897" s="18" t="str">
        <f>IFERROR(__xludf.DUMMYFUNCTION("""COMPUTED_VALUE"""),"Not ranking")</f>
        <v>Not ranking</v>
      </c>
      <c r="H897" s="17" t="str">
        <f>IFERROR(__xludf.DUMMYFUNCTION("""COMPUTED_VALUE"""),"https://www.wideopenspaces.com/invasion-axis-deer/")</f>
        <v>https://www.wideopenspaces.com/invasion-axis-deer/</v>
      </c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5" t="str">
        <f>IFERROR(__xludf.DUMMYFUNCTION("""COMPUTED_VALUE"""),"facts about deer")</f>
        <v>facts about deer</v>
      </c>
      <c r="B898" s="15" t="str">
        <f>IFERROR(__xludf.DUMMYFUNCTION("""COMPUTED_VALUE"""),"1000")</f>
        <v>1000</v>
      </c>
      <c r="C898" s="15" t="str">
        <f>IFERROR(__xludf.DUMMYFUNCTION("""COMPUTED_VALUE"""),"Not ranking")</f>
        <v>Not ranking</v>
      </c>
      <c r="D898" s="15" t="str">
        <f>IFERROR(__xludf.DUMMYFUNCTION("""COMPUTED_VALUE"""),"52")</f>
        <v>52</v>
      </c>
      <c r="E898" s="15" t="str">
        <f>IFERROR(__xludf.DUMMYFUNCTION("""COMPUTED_VALUE"""),"Not ranking")</f>
        <v>Not ranking</v>
      </c>
      <c r="F898" s="18" t="str">
        <f>IFERROR(__xludf.DUMMYFUNCTION("""COMPUTED_VALUE"""),"Not ranking")</f>
        <v>Not ranking</v>
      </c>
      <c r="G898" s="17" t="str">
        <f>IFERROR(__xludf.DUMMYFUNCTION("""COMPUTED_VALUE"""),"https://realtree.com/deer-hunting/articles/15-fascinating-facts-about-whitetail-biology-and-behavior")</f>
        <v>https://realtree.com/deer-hunting/articles/15-fascinating-facts-about-whitetail-biology-and-behavior</v>
      </c>
      <c r="H898" s="18" t="str">
        <f>IFERROR(__xludf.DUMMYFUNCTION("""COMPUTED_VALUE"""),"Not ranking")</f>
        <v>Not ranking</v>
      </c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5" t="str">
        <f>IFERROR(__xludf.DUMMYFUNCTION("""COMPUTED_VALUE"""),"fl deer season")</f>
        <v>fl deer season</v>
      </c>
      <c r="B899" s="15" t="str">
        <f>IFERROR(__xludf.DUMMYFUNCTION("""COMPUTED_VALUE"""),"1000")</f>
        <v>1000</v>
      </c>
      <c r="C899" s="15" t="str">
        <f>IFERROR(__xludf.DUMMYFUNCTION("""COMPUTED_VALUE"""),"Not ranking")</f>
        <v>Not ranking</v>
      </c>
      <c r="D899" s="15" t="str">
        <f>IFERROR(__xludf.DUMMYFUNCTION("""COMPUTED_VALUE"""),"36")</f>
        <v>36</v>
      </c>
      <c r="E899" s="15" t="str">
        <f>IFERROR(__xludf.DUMMYFUNCTION("""COMPUTED_VALUE"""),"Not ranking")</f>
        <v>Not ranking</v>
      </c>
      <c r="F899" s="18" t="str">
        <f>IFERROR(__xludf.DUMMYFUNCTION("""COMPUTED_VALUE"""),"Not ranking")</f>
        <v>Not ranking</v>
      </c>
      <c r="G899" s="17" t="str">
        <f>IFERROR(__xludf.DUMMYFUNCTION("""COMPUTED_VALUE"""),"https://realtree.com/deer-hunting/articles/where-to-deer-hunt-in-february")</f>
        <v>https://realtree.com/deer-hunting/articles/where-to-deer-hunt-in-february</v>
      </c>
      <c r="H899" s="18" t="str">
        <f>IFERROR(__xludf.DUMMYFUNCTION("""COMPUTED_VALUE"""),"Not ranking")</f>
        <v>Not ranking</v>
      </c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5" t="str">
        <f>IFERROR(__xludf.DUMMYFUNCTION("""COMPUTED_VALUE"""),"ga deer season")</f>
        <v>ga deer season</v>
      </c>
      <c r="B900" s="15" t="str">
        <f>IFERROR(__xludf.DUMMYFUNCTION("""COMPUTED_VALUE"""),"1000")</f>
        <v>1000</v>
      </c>
      <c r="C900" s="15" t="str">
        <f>IFERROR(__xludf.DUMMYFUNCTION("""COMPUTED_VALUE"""),"Not ranking")</f>
        <v>Not ranking</v>
      </c>
      <c r="D900" s="15" t="str">
        <f>IFERROR(__xludf.DUMMYFUNCTION("""COMPUTED_VALUE"""),"43")</f>
        <v>43</v>
      </c>
      <c r="E900" s="15" t="str">
        <f>IFERROR(__xludf.DUMMYFUNCTION("""COMPUTED_VALUE"""),"Not ranking")</f>
        <v>Not ranking</v>
      </c>
      <c r="F900" s="18" t="str">
        <f>IFERROR(__xludf.DUMMYFUNCTION("""COMPUTED_VALUE"""),"Not ranking")</f>
        <v>Not ranking</v>
      </c>
      <c r="G900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900" s="18" t="str">
        <f>IFERROR(__xludf.DUMMYFUNCTION("""COMPUTED_VALUE"""),"Not ranking")</f>
        <v>Not ranking</v>
      </c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5" t="str">
        <f>IFERROR(__xludf.DUMMYFUNCTION("""COMPUTED_VALUE"""),"georgia deer hunting season")</f>
        <v>georgia deer hunting season</v>
      </c>
      <c r="B901" s="15" t="str">
        <f>IFERROR(__xludf.DUMMYFUNCTION("""COMPUTED_VALUE"""),"1000")</f>
        <v>1000</v>
      </c>
      <c r="C901" s="15" t="str">
        <f>IFERROR(__xludf.DUMMYFUNCTION("""COMPUTED_VALUE"""),"Not ranking")</f>
        <v>Not ranking</v>
      </c>
      <c r="D901" s="15" t="str">
        <f>IFERROR(__xludf.DUMMYFUNCTION("""COMPUTED_VALUE"""),"Not ranking")</f>
        <v>Not ranking</v>
      </c>
      <c r="E901" s="15" t="str">
        <f>IFERROR(__xludf.DUMMYFUNCTION("""COMPUTED_VALUE"""),"25")</f>
        <v>25</v>
      </c>
      <c r="F901" s="18" t="str">
        <f>IFERROR(__xludf.DUMMYFUNCTION("""COMPUTED_VALUE"""),"Not ranking")</f>
        <v>Not ranking</v>
      </c>
      <c r="G901" s="18" t="str">
        <f>IFERROR(__xludf.DUMMYFUNCTION("""COMPUTED_VALUE"""),"Not ranking")</f>
        <v>Not ranking</v>
      </c>
      <c r="H901" s="17" t="str">
        <f>IFERROR(__xludf.DUMMYFUNCTION("""COMPUTED_VALUE"""),"https://www.wideopenspaces.com/georgia-deer-hunting/")</f>
        <v>https://www.wideopenspaces.com/georgia-deer-hunting/</v>
      </c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5" t="str">
        <f>IFERROR(__xludf.DUMMYFUNCTION("""COMPUTED_VALUE"""),"hairless deer")</f>
        <v>hairless deer</v>
      </c>
      <c r="B902" s="15" t="str">
        <f>IFERROR(__xludf.DUMMYFUNCTION("""COMPUTED_VALUE"""),"1000")</f>
        <v>1000</v>
      </c>
      <c r="C902" s="15" t="str">
        <f>IFERROR(__xludf.DUMMYFUNCTION("""COMPUTED_VALUE"""),"Not ranking")</f>
        <v>Not ranking</v>
      </c>
      <c r="D902" s="15" t="str">
        <f>IFERROR(__xludf.DUMMYFUNCTION("""COMPUTED_VALUE"""),"Not ranking")</f>
        <v>Not ranking</v>
      </c>
      <c r="E902" s="15" t="str">
        <f>IFERROR(__xludf.DUMMYFUNCTION("""COMPUTED_VALUE"""),"6")</f>
        <v>6</v>
      </c>
      <c r="F902" s="18" t="str">
        <f>IFERROR(__xludf.DUMMYFUNCTION("""COMPUTED_VALUE"""),"Not ranking")</f>
        <v>Not ranking</v>
      </c>
      <c r="G902" s="18" t="str">
        <f>IFERROR(__xludf.DUMMYFUNCTION("""COMPUTED_VALUE"""),"Not ranking")</f>
        <v>Not ranking</v>
      </c>
      <c r="H902" s="17" t="str">
        <f>IFERROR(__xludf.DUMMYFUNCTION("""COMPUTED_VALUE"""),"https://www.wideopenspaces.com/hairless-buck/")</f>
        <v>https://www.wideopenspaces.com/hairless-buck/</v>
      </c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5" t="str">
        <f>IFERROR(__xludf.DUMMYFUNCTION("""COMPUTED_VALUE"""),"how high a deer can jump")</f>
        <v>how high a deer can jump</v>
      </c>
      <c r="B903" s="15" t="str">
        <f>IFERROR(__xludf.DUMMYFUNCTION("""COMPUTED_VALUE"""),"1000")</f>
        <v>1000</v>
      </c>
      <c r="C903" s="15" t="str">
        <f>IFERROR(__xludf.DUMMYFUNCTION("""COMPUTED_VALUE"""),"Not ranking")</f>
        <v>Not ranking</v>
      </c>
      <c r="D903" s="15" t="str">
        <f>IFERROR(__xludf.DUMMYFUNCTION("""COMPUTED_VALUE"""),"56")</f>
        <v>56</v>
      </c>
      <c r="E903" s="15" t="str">
        <f>IFERROR(__xludf.DUMMYFUNCTION("""COMPUTED_VALUE"""),"35")</f>
        <v>35</v>
      </c>
      <c r="F903" s="18" t="str">
        <f>IFERROR(__xludf.DUMMYFUNCTION("""COMPUTED_VALUE"""),"Not ranking")</f>
        <v>Not ranking</v>
      </c>
      <c r="G903" s="17" t="str">
        <f>IFERROR(__xludf.DUMMYFUNCTION("""COMPUTED_VALUE"""),"https://realtree.com/midwest-whitetail/articles/string-jumpers-how-to-aim-at-alert-deer")</f>
        <v>https://realtree.com/midwest-whitetail/articles/string-jumpers-how-to-aim-at-alert-deer</v>
      </c>
      <c r="H903" s="17" t="str">
        <f>IFERROR(__xludf.DUMMYFUNCTION("""COMPUTED_VALUE"""),"https://www.wideopenspaces.com/deer-tries-to-jump-high-fence-video/")</f>
        <v>https://www.wideopenspaces.com/deer-tries-to-jump-high-fence-video/</v>
      </c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5" t="str">
        <f>IFERROR(__xludf.DUMMYFUNCTION("""COMPUTED_VALUE"""),"hydro dipped deer skull")</f>
        <v>hydro dipped deer skull</v>
      </c>
      <c r="B904" s="15" t="str">
        <f>IFERROR(__xludf.DUMMYFUNCTION("""COMPUTED_VALUE"""),"1000")</f>
        <v>1000</v>
      </c>
      <c r="C904" s="15" t="str">
        <f>IFERROR(__xludf.DUMMYFUNCTION("""COMPUTED_VALUE"""),"Not ranking")</f>
        <v>Not ranking</v>
      </c>
      <c r="D904" s="15" t="str">
        <f>IFERROR(__xludf.DUMMYFUNCTION("""COMPUTED_VALUE"""),"Not ranking")</f>
        <v>Not ranking</v>
      </c>
      <c r="E904" s="15" t="str">
        <f>IFERROR(__xludf.DUMMYFUNCTION("""COMPUTED_VALUE"""),"12")</f>
        <v>12</v>
      </c>
      <c r="F904" s="18" t="str">
        <f>IFERROR(__xludf.DUMMYFUNCTION("""COMPUTED_VALUE"""),"Not ranking")</f>
        <v>Not ranking</v>
      </c>
      <c r="G904" s="18" t="str">
        <f>IFERROR(__xludf.DUMMYFUNCTION("""COMPUTED_VALUE"""),"Not ranking")</f>
        <v>Not ranking</v>
      </c>
      <c r="H904" s="17" t="str">
        <f>IFERROR(__xludf.DUMMYFUNCTION("""COMPUTED_VALUE"""),"https://www.wideopenspaces.com/dip-deer-skull-spray-paint-diy-video/")</f>
        <v>https://www.wideopenspaces.com/dip-deer-skull-spray-paint-diy-video/</v>
      </c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5" t="str">
        <f>IFERROR(__xludf.DUMMYFUNCTION("""COMPUTED_VALUE"""),"ia deer seasons")</f>
        <v>ia deer seasons</v>
      </c>
      <c r="B905" s="15" t="str">
        <f>IFERROR(__xludf.DUMMYFUNCTION("""COMPUTED_VALUE"""),"1000")</f>
        <v>1000</v>
      </c>
      <c r="C905" s="15" t="str">
        <f>IFERROR(__xludf.DUMMYFUNCTION("""COMPUTED_VALUE"""),"Not ranking")</f>
        <v>Not ranking</v>
      </c>
      <c r="D905" s="15" t="str">
        <f>IFERROR(__xludf.DUMMYFUNCTION("""COMPUTED_VALUE"""),"32")</f>
        <v>32</v>
      </c>
      <c r="E905" s="15" t="str">
        <f>IFERROR(__xludf.DUMMYFUNCTION("""COMPUTED_VALUE"""),"Not ranking")</f>
        <v>Not ranking</v>
      </c>
      <c r="F905" s="18" t="str">
        <f>IFERROR(__xludf.DUMMYFUNCTION("""COMPUTED_VALUE"""),"Not ranking")</f>
        <v>Not ranking</v>
      </c>
      <c r="G905" s="17" t="str">
        <f>IFERROR(__xludf.DUMMYFUNCTION("""COMPUTED_VALUE"""),"https://realtree.com/brow-tines-and-backstrap/iowa-law-expands-rifle-options-for-late-season-antlerless-hunts")</f>
        <v>https://realtree.com/brow-tines-and-backstrap/iowa-law-expands-rifle-options-for-late-season-antlerless-hunts</v>
      </c>
      <c r="H905" s="18" t="str">
        <f>IFERROR(__xludf.DUMMYFUNCTION("""COMPUTED_VALUE"""),"Not ranking")</f>
        <v>Not ranking</v>
      </c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5" t="str">
        <f>IFERROR(__xludf.DUMMYFUNCTION("""COMPUTED_VALUE"""),"illinois deer hunting")</f>
        <v>illinois deer hunting</v>
      </c>
      <c r="B906" s="15" t="str">
        <f>IFERROR(__xludf.DUMMYFUNCTION("""COMPUTED_VALUE"""),"1000")</f>
        <v>1000</v>
      </c>
      <c r="C906" s="15" t="str">
        <f>IFERROR(__xludf.DUMMYFUNCTION("""COMPUTED_VALUE"""),"Not ranking")</f>
        <v>Not ranking</v>
      </c>
      <c r="D906" s="15" t="str">
        <f>IFERROR(__xludf.DUMMYFUNCTION("""COMPUTED_VALUE"""),"Not ranking")</f>
        <v>Not ranking</v>
      </c>
      <c r="E906" s="15" t="str">
        <f>IFERROR(__xludf.DUMMYFUNCTION("""COMPUTED_VALUE"""),"65")</f>
        <v>65</v>
      </c>
      <c r="F906" s="18" t="str">
        <f>IFERROR(__xludf.DUMMYFUNCTION("""COMPUTED_VALUE"""),"Not ranking")</f>
        <v>Not ranking</v>
      </c>
      <c r="G906" s="18" t="str">
        <f>IFERROR(__xludf.DUMMYFUNCTION("""COMPUTED_VALUE"""),"Not ranking")</f>
        <v>Not ranking</v>
      </c>
      <c r="H906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5" t="str">
        <f>IFERROR(__xludf.DUMMYFUNCTION("""COMPUTED_VALUE"""),"maine deer season 2022")</f>
        <v>maine deer season 2022</v>
      </c>
      <c r="B907" s="15" t="str">
        <f>IFERROR(__xludf.DUMMYFUNCTION("""COMPUTED_VALUE"""),"1000")</f>
        <v>1000</v>
      </c>
      <c r="C907" s="15" t="str">
        <f>IFERROR(__xludf.DUMMYFUNCTION("""COMPUTED_VALUE"""),"Not ranking")</f>
        <v>Not ranking</v>
      </c>
      <c r="D907" s="15" t="str">
        <f>IFERROR(__xludf.DUMMYFUNCTION("""COMPUTED_VALUE"""),"61")</f>
        <v>61</v>
      </c>
      <c r="E907" s="15" t="str">
        <f>IFERROR(__xludf.DUMMYFUNCTION("""COMPUTED_VALUE"""),"Not ranking")</f>
        <v>Not ranking</v>
      </c>
      <c r="F907" s="18" t="str">
        <f>IFERROR(__xludf.DUMMYFUNCTION("""COMPUTED_VALUE"""),"Not ranking")</f>
        <v>Not ranking</v>
      </c>
      <c r="G907" s="17" t="str">
        <f>IFERROR(__xludf.DUMMYFUNCTION("""COMPUTED_VALUE"""),"https://realtree.com/brow-tines-and-backstrap/2022-northeast-deer-hunting-forecast")</f>
        <v>https://realtree.com/brow-tines-and-backstrap/2022-northeast-deer-hunting-forecast</v>
      </c>
      <c r="H907" s="18" t="str">
        <f>IFERROR(__xludf.DUMMYFUNCTION("""COMPUTED_VALUE"""),"Not ranking")</f>
        <v>Not ranking</v>
      </c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5" t="str">
        <f>IFERROR(__xludf.DUMMYFUNCTION("""COMPUTED_VALUE"""),"michigan deer hunting season")</f>
        <v>michigan deer hunting season</v>
      </c>
      <c r="B908" s="15" t="str">
        <f>IFERROR(__xludf.DUMMYFUNCTION("""COMPUTED_VALUE"""),"1000")</f>
        <v>1000</v>
      </c>
      <c r="C908" s="15" t="str">
        <f>IFERROR(__xludf.DUMMYFUNCTION("""COMPUTED_VALUE"""),"Not ranking")</f>
        <v>Not ranking</v>
      </c>
      <c r="D908" s="15" t="str">
        <f>IFERROR(__xludf.DUMMYFUNCTION("""COMPUTED_VALUE"""),"Not ranking")</f>
        <v>Not ranking</v>
      </c>
      <c r="E908" s="15" t="str">
        <f>IFERROR(__xludf.DUMMYFUNCTION("""COMPUTED_VALUE"""),"78")</f>
        <v>78</v>
      </c>
      <c r="F908" s="18" t="str">
        <f>IFERROR(__xludf.DUMMYFUNCTION("""COMPUTED_VALUE"""),"Not ranking")</f>
        <v>Not ranking</v>
      </c>
      <c r="G908" s="18" t="str">
        <f>IFERROR(__xludf.DUMMYFUNCTION("""COMPUTED_VALUE"""),"Not ranking")</f>
        <v>Not ranking</v>
      </c>
      <c r="H908" s="17" t="str">
        <f>IFERROR(__xludf.DUMMYFUNCTION("""COMPUTED_VALUE"""),"https://www.wideopenspaces.com/heres-michigans-early-antlerless-deer-season-explained-quickly-easily/")</f>
        <v>https://www.wideopenspaces.com/heres-michigans-early-antlerless-deer-season-explained-quickly-easily/</v>
      </c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5" t="str">
        <f>IFERROR(__xludf.DUMMYFUNCTION("""COMPUTED_VALUE"""),"michigan dnr deer reporting")</f>
        <v>michigan dnr deer reporting</v>
      </c>
      <c r="B909" s="15" t="str">
        <f>IFERROR(__xludf.DUMMYFUNCTION("""COMPUTED_VALUE"""),"1000")</f>
        <v>1000</v>
      </c>
      <c r="C909" s="15" t="str">
        <f>IFERROR(__xludf.DUMMYFUNCTION("""COMPUTED_VALUE"""),"Not ranking")</f>
        <v>Not ranking</v>
      </c>
      <c r="D909" s="15" t="str">
        <f>IFERROR(__xludf.DUMMYFUNCTION("""COMPUTED_VALUE"""),"Not ranking")</f>
        <v>Not ranking</v>
      </c>
      <c r="E909" s="15" t="str">
        <f>IFERROR(__xludf.DUMMYFUNCTION("""COMPUTED_VALUE"""),"61")</f>
        <v>61</v>
      </c>
      <c r="F909" s="18" t="str">
        <f>IFERROR(__xludf.DUMMYFUNCTION("""COMPUTED_VALUE"""),"Not ranking")</f>
        <v>Not ranking</v>
      </c>
      <c r="G909" s="18" t="str">
        <f>IFERROR(__xludf.DUMMYFUNCTION("""COMPUTED_VALUE"""),"Not ranking")</f>
        <v>Not ranking</v>
      </c>
      <c r="H909" s="17" t="str">
        <f>IFERROR(__xludf.DUMMYFUNCTION("""COMPUTED_VALUE"""),"https://www.wideopenspaces.com/michigan-deer-license-sales/")</f>
        <v>https://www.wideopenspaces.com/michigan-deer-license-sales/</v>
      </c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5" t="str">
        <f>IFERROR(__xludf.DUMMYFUNCTION("""COMPUTED_VALUE"""),"missouri deer hunting")</f>
        <v>missouri deer hunting</v>
      </c>
      <c r="B910" s="15" t="str">
        <f>IFERROR(__xludf.DUMMYFUNCTION("""COMPUTED_VALUE"""),"1000")</f>
        <v>1000</v>
      </c>
      <c r="C910" s="15" t="str">
        <f>IFERROR(__xludf.DUMMYFUNCTION("""COMPUTED_VALUE"""),"Not ranking")</f>
        <v>Not ranking</v>
      </c>
      <c r="D910" s="15" t="str">
        <f>IFERROR(__xludf.DUMMYFUNCTION("""COMPUTED_VALUE"""),"Not ranking")</f>
        <v>Not ranking</v>
      </c>
      <c r="E910" s="15" t="str">
        <f>IFERROR(__xludf.DUMMYFUNCTION("""COMPUTED_VALUE"""),"38")</f>
        <v>38</v>
      </c>
      <c r="F910" s="18" t="str">
        <f>IFERROR(__xludf.DUMMYFUNCTION("""COMPUTED_VALUE"""),"Not ranking")</f>
        <v>Not ranking</v>
      </c>
      <c r="G910" s="18" t="str">
        <f>IFERROR(__xludf.DUMMYFUNCTION("""COMPUTED_VALUE"""),"Not ranking")</f>
        <v>Not ranking</v>
      </c>
      <c r="H910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5" t="str">
        <f>IFERROR(__xludf.DUMMYFUNCTION("""COMPUTED_VALUE"""),"mn deer hunting")</f>
        <v>mn deer hunting</v>
      </c>
      <c r="B911" s="15" t="str">
        <f>IFERROR(__xludf.DUMMYFUNCTION("""COMPUTED_VALUE"""),"1000")</f>
        <v>1000</v>
      </c>
      <c r="C911" s="15" t="str">
        <f>IFERROR(__xludf.DUMMYFUNCTION("""COMPUTED_VALUE"""),"Not ranking")</f>
        <v>Not ranking</v>
      </c>
      <c r="D911" s="15" t="str">
        <f>IFERROR(__xludf.DUMMYFUNCTION("""COMPUTED_VALUE"""),"Not ranking")</f>
        <v>Not ranking</v>
      </c>
      <c r="E911" s="15" t="str">
        <f>IFERROR(__xludf.DUMMYFUNCTION("""COMPUTED_VALUE"""),"73")</f>
        <v>73</v>
      </c>
      <c r="F911" s="18" t="str">
        <f>IFERROR(__xludf.DUMMYFUNCTION("""COMPUTED_VALUE"""),"Not ranking")</f>
        <v>Not ranking</v>
      </c>
      <c r="G911" s="18" t="str">
        <f>IFERROR(__xludf.DUMMYFUNCTION("""COMPUTED_VALUE"""),"Not ranking")</f>
        <v>Not ranking</v>
      </c>
      <c r="H911" s="17" t="str">
        <f>IFERROR(__xludf.DUMMYFUNCTION("""COMPUTED_VALUE"""),"https://www.wideopenspaces.com/mn-deer-hunting-zones/")</f>
        <v>https://www.wideopenspaces.com/mn-deer-hunting-zones/</v>
      </c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5" t="str">
        <f>IFERROR(__xludf.DUMMYFUNCTION("""COMPUTED_VALUE"""),"mn deer hunting season")</f>
        <v>mn deer hunting season</v>
      </c>
      <c r="B912" s="15" t="str">
        <f>IFERROR(__xludf.DUMMYFUNCTION("""COMPUTED_VALUE"""),"1000")</f>
        <v>1000</v>
      </c>
      <c r="C912" s="15" t="str">
        <f>IFERROR(__xludf.DUMMYFUNCTION("""COMPUTED_VALUE"""),"Not ranking")</f>
        <v>Not ranking</v>
      </c>
      <c r="D912" s="15" t="str">
        <f>IFERROR(__xludf.DUMMYFUNCTION("""COMPUTED_VALUE"""),"Not ranking")</f>
        <v>Not ranking</v>
      </c>
      <c r="E912" s="15" t="str">
        <f>IFERROR(__xludf.DUMMYFUNCTION("""COMPUTED_VALUE"""),"32")</f>
        <v>32</v>
      </c>
      <c r="F912" s="18" t="str">
        <f>IFERROR(__xludf.DUMMYFUNCTION("""COMPUTED_VALUE"""),"Not ranking")</f>
        <v>Not ranking</v>
      </c>
      <c r="G912" s="18" t="str">
        <f>IFERROR(__xludf.DUMMYFUNCTION("""COMPUTED_VALUE"""),"Not ranking")</f>
        <v>Not ranking</v>
      </c>
      <c r="H912" s="17" t="str">
        <f>IFERROR(__xludf.DUMMYFUNCTION("""COMPUTED_VALUE"""),"https://www.wideopenspaces.com/mn-deer-hunting-zones/")</f>
        <v>https://www.wideopenspaces.com/mn-deer-hunting-zones/</v>
      </c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5" t="str">
        <f>IFERROR(__xludf.DUMMYFUNCTION("""COMPUTED_VALUE"""),"mn deer register")</f>
        <v>mn deer register</v>
      </c>
      <c r="B913" s="15" t="str">
        <f>IFERROR(__xludf.DUMMYFUNCTION("""COMPUTED_VALUE"""),"1000")</f>
        <v>1000</v>
      </c>
      <c r="C913" s="15" t="str">
        <f>IFERROR(__xludf.DUMMYFUNCTION("""COMPUTED_VALUE"""),"Not ranking")</f>
        <v>Not ranking</v>
      </c>
      <c r="D913" s="15" t="str">
        <f>IFERROR(__xludf.DUMMYFUNCTION("""COMPUTED_VALUE"""),"Not ranking")</f>
        <v>Not ranking</v>
      </c>
      <c r="E913" s="15" t="str">
        <f>IFERROR(__xludf.DUMMYFUNCTION("""COMPUTED_VALUE"""),"58")</f>
        <v>58</v>
      </c>
      <c r="F913" s="18" t="str">
        <f>IFERROR(__xludf.DUMMYFUNCTION("""COMPUTED_VALUE"""),"Not ranking")</f>
        <v>Not ranking</v>
      </c>
      <c r="G913" s="18" t="str">
        <f>IFERROR(__xludf.DUMMYFUNCTION("""COMPUTED_VALUE"""),"Not ranking")</f>
        <v>Not ranking</v>
      </c>
      <c r="H913" s="17" t="str">
        <f>IFERROR(__xludf.DUMMYFUNCTION("""COMPUTED_VALUE"""),"https://www.wideopenspaces.com/minnesota-deer-hunting/")</f>
        <v>https://www.wideopenspaces.com/minnesota-deer-hunting/</v>
      </c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5" t="str">
        <f>IFERROR(__xludf.DUMMYFUNCTION("""COMPUTED_VALUE"""),"nh deer season 2022")</f>
        <v>nh deer season 2022</v>
      </c>
      <c r="B914" s="15" t="str">
        <f>IFERROR(__xludf.DUMMYFUNCTION("""COMPUTED_VALUE"""),"1000")</f>
        <v>1000</v>
      </c>
      <c r="C914" s="15" t="str">
        <f>IFERROR(__xludf.DUMMYFUNCTION("""COMPUTED_VALUE"""),"Not ranking")</f>
        <v>Not ranking</v>
      </c>
      <c r="D914" s="15" t="str">
        <f>IFERROR(__xludf.DUMMYFUNCTION("""COMPUTED_VALUE"""),"48")</f>
        <v>48</v>
      </c>
      <c r="E914" s="15" t="str">
        <f>IFERROR(__xludf.DUMMYFUNCTION("""COMPUTED_VALUE"""),"Not ranking")</f>
        <v>Not ranking</v>
      </c>
      <c r="F914" s="18" t="str">
        <f>IFERROR(__xludf.DUMMYFUNCTION("""COMPUTED_VALUE"""),"Not ranking")</f>
        <v>Not ranking</v>
      </c>
      <c r="G914" s="17" t="str">
        <f>IFERROR(__xludf.DUMMYFUNCTION("""COMPUTED_VALUE"""),"https://realtree.com/brow-tines-and-backstrap/2022-northeast-deer-hunting-forecast")</f>
        <v>https://realtree.com/brow-tines-and-backstrap/2022-northeast-deer-hunting-forecast</v>
      </c>
      <c r="H914" s="18" t="str">
        <f>IFERROR(__xludf.DUMMYFUNCTION("""COMPUTED_VALUE"""),"Not ranking")</f>
        <v>Not ranking</v>
      </c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5" t="str">
        <f>IFERROR(__xludf.DUMMYFUNCTION("""COMPUTED_VALUE"""),"puns about deer")</f>
        <v>puns about deer</v>
      </c>
      <c r="B915" s="15" t="str">
        <f>IFERROR(__xludf.DUMMYFUNCTION("""COMPUTED_VALUE"""),"1000")</f>
        <v>1000</v>
      </c>
      <c r="C915" s="15" t="str">
        <f>IFERROR(__xludf.DUMMYFUNCTION("""COMPUTED_VALUE"""),"Not ranking")</f>
        <v>Not ranking</v>
      </c>
      <c r="D915" s="15" t="str">
        <f>IFERROR(__xludf.DUMMYFUNCTION("""COMPUTED_VALUE"""),"Not ranking")</f>
        <v>Not ranking</v>
      </c>
      <c r="E915" s="15" t="str">
        <f>IFERROR(__xludf.DUMMYFUNCTION("""COMPUTED_VALUE"""),"47")</f>
        <v>47</v>
      </c>
      <c r="F915" s="18" t="str">
        <f>IFERROR(__xludf.DUMMYFUNCTION("""COMPUTED_VALUE"""),"Not ranking")</f>
        <v>Not ranking</v>
      </c>
      <c r="G915" s="18" t="str">
        <f>IFERROR(__xludf.DUMMYFUNCTION("""COMPUTED_VALUE"""),"Not ranking")</f>
        <v>Not ranking</v>
      </c>
      <c r="H915" s="17" t="str">
        <f>IFERROR(__xludf.DUMMYFUNCTION("""COMPUTED_VALUE"""),"https://www.wideopenspaces.com/19-deer-hunting-jokes/")</f>
        <v>https://www.wideopenspaces.com/19-deer-hunting-jokes/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5" t="str">
        <f>IFERROR(__xludf.DUMMYFUNCTION("""COMPUTED_VALUE"""),"reindeer meat")</f>
        <v>reindeer meat</v>
      </c>
      <c r="B916" s="15" t="str">
        <f>IFERROR(__xludf.DUMMYFUNCTION("""COMPUTED_VALUE"""),"1000")</f>
        <v>1000</v>
      </c>
      <c r="C916" s="15" t="str">
        <f>IFERROR(__xludf.DUMMYFUNCTION("""COMPUTED_VALUE"""),"Not ranking")</f>
        <v>Not ranking</v>
      </c>
      <c r="D916" s="15" t="str">
        <f>IFERROR(__xludf.DUMMYFUNCTION("""COMPUTED_VALUE"""),"Not ranking")</f>
        <v>Not ranking</v>
      </c>
      <c r="E916" s="15" t="str">
        <f>IFERROR(__xludf.DUMMYFUNCTION("""COMPUTED_VALUE"""),"86")</f>
        <v>86</v>
      </c>
      <c r="F916" s="18" t="str">
        <f>IFERROR(__xludf.DUMMYFUNCTION("""COMPUTED_VALUE"""),"Not ranking")</f>
        <v>Not ranking</v>
      </c>
      <c r="G916" s="18" t="str">
        <f>IFERROR(__xludf.DUMMYFUNCTION("""COMPUTED_VALUE"""),"Not ranking")</f>
        <v>Not ranking</v>
      </c>
      <c r="H916" s="17" t="str">
        <f>IFERROR(__xludf.DUMMYFUNCTION("""COMPUTED_VALUE"""),"https://www.wideopenspaces.com/reindeer-meat/")</f>
        <v>https://www.wideopenspaces.com/reindeer-meat/</v>
      </c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5" t="str">
        <f>IFERROR(__xludf.DUMMYFUNCTION("""COMPUTED_VALUE"""),"sc deer season 2022")</f>
        <v>sc deer season 2022</v>
      </c>
      <c r="B917" s="15" t="str">
        <f>IFERROR(__xludf.DUMMYFUNCTION("""COMPUTED_VALUE"""),"1000")</f>
        <v>1000</v>
      </c>
      <c r="C917" s="15" t="str">
        <f>IFERROR(__xludf.DUMMYFUNCTION("""COMPUTED_VALUE"""),"Not ranking")</f>
        <v>Not ranking</v>
      </c>
      <c r="D917" s="15" t="str">
        <f>IFERROR(__xludf.DUMMYFUNCTION("""COMPUTED_VALUE"""),"31")</f>
        <v>31</v>
      </c>
      <c r="E917" s="15" t="str">
        <f>IFERROR(__xludf.DUMMYFUNCTION("""COMPUTED_VALUE"""),"Not ranking")</f>
        <v>Not ranking</v>
      </c>
      <c r="F917" s="18" t="str">
        <f>IFERROR(__xludf.DUMMYFUNCTION("""COMPUTED_VALUE"""),"Not ranking")</f>
        <v>Not ranking</v>
      </c>
      <c r="G917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917" s="18" t="str">
        <f>IFERROR(__xludf.DUMMYFUNCTION("""COMPUTED_VALUE"""),"Not ranking")</f>
        <v>Not ranking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5" t="str">
        <f>IFERROR(__xludf.DUMMYFUNCTION("""COMPUTED_VALUE"""),"snow deer heated socks")</f>
        <v>snow deer heated socks</v>
      </c>
      <c r="B918" s="15" t="str">
        <f>IFERROR(__xludf.DUMMYFUNCTION("""COMPUTED_VALUE"""),"1000")</f>
        <v>1000</v>
      </c>
      <c r="C918" s="15" t="str">
        <f>IFERROR(__xludf.DUMMYFUNCTION("""COMPUTED_VALUE"""),"Not ranking")</f>
        <v>Not ranking</v>
      </c>
      <c r="D918" s="15" t="str">
        <f>IFERROR(__xludf.DUMMYFUNCTION("""COMPUTED_VALUE"""),"Not ranking")</f>
        <v>Not ranking</v>
      </c>
      <c r="E918" s="15" t="str">
        <f>IFERROR(__xludf.DUMMYFUNCTION("""COMPUTED_VALUE"""),"44")</f>
        <v>44</v>
      </c>
      <c r="F918" s="18" t="str">
        <f>IFERROR(__xludf.DUMMYFUNCTION("""COMPUTED_VALUE"""),"Not ranking")</f>
        <v>Not ranking</v>
      </c>
      <c r="G918" s="18" t="str">
        <f>IFERROR(__xludf.DUMMYFUNCTION("""COMPUTED_VALUE"""),"Not ranking")</f>
        <v>Not ranking</v>
      </c>
      <c r="H918" s="17" t="str">
        <f>IFERROR(__xludf.DUMMYFUNCTION("""COMPUTED_VALUE"""),"https://www.wideopenspaces.com/best-heated-socks/")</f>
        <v>https://www.wideopenspaces.com/best-heated-socks/</v>
      </c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5" t="str">
        <f>IFERROR(__xludf.DUMMYFUNCTION("""COMPUTED_VALUE"""),"texas deer")</f>
        <v>texas deer</v>
      </c>
      <c r="B919" s="15" t="str">
        <f>IFERROR(__xludf.DUMMYFUNCTION("""COMPUTED_VALUE"""),"1000")</f>
        <v>1000</v>
      </c>
      <c r="C919" s="15" t="str">
        <f>IFERROR(__xludf.DUMMYFUNCTION("""COMPUTED_VALUE"""),"Not ranking")</f>
        <v>Not ranking</v>
      </c>
      <c r="D919" s="15" t="str">
        <f>IFERROR(__xludf.DUMMYFUNCTION("""COMPUTED_VALUE"""),"Not ranking")</f>
        <v>Not ranking</v>
      </c>
      <c r="E919" s="15" t="str">
        <f>IFERROR(__xludf.DUMMYFUNCTION("""COMPUTED_VALUE"""),"65")</f>
        <v>65</v>
      </c>
      <c r="F919" s="18" t="str">
        <f>IFERROR(__xludf.DUMMYFUNCTION("""COMPUTED_VALUE"""),"Not ranking")</f>
        <v>Not ranking</v>
      </c>
      <c r="G919" s="18" t="str">
        <f>IFERROR(__xludf.DUMMYFUNCTION("""COMPUTED_VALUE"""),"Not ranking")</f>
        <v>Not ranking</v>
      </c>
      <c r="H919" s="17" t="str">
        <f>IFERROR(__xludf.DUMMYFUNCTION("""COMPUTED_VALUE"""),"https://www.wideopenspaces.com/when-does-deer-season-end-in-texas/")</f>
        <v>https://www.wideopenspaces.com/when-does-deer-season-end-in-texas/</v>
      </c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5" t="str">
        <f>IFERROR(__xludf.DUMMYFUNCTION("""COMPUTED_VALUE"""),"when is deer season in texas")</f>
        <v>when is deer season in texas</v>
      </c>
      <c r="B920" s="15" t="str">
        <f>IFERROR(__xludf.DUMMYFUNCTION("""COMPUTED_VALUE"""),"1000")</f>
        <v>1000</v>
      </c>
      <c r="C920" s="15" t="str">
        <f>IFERROR(__xludf.DUMMYFUNCTION("""COMPUTED_VALUE"""),"Not ranking")</f>
        <v>Not ranking</v>
      </c>
      <c r="D920" s="15" t="str">
        <f>IFERROR(__xludf.DUMMYFUNCTION("""COMPUTED_VALUE"""),"Not ranking")</f>
        <v>Not ranking</v>
      </c>
      <c r="E920" s="15" t="str">
        <f>IFERROR(__xludf.DUMMYFUNCTION("""COMPUTED_VALUE"""),"7")</f>
        <v>7</v>
      </c>
      <c r="F920" s="18" t="str">
        <f>IFERROR(__xludf.DUMMYFUNCTION("""COMPUTED_VALUE"""),"Not ranking")</f>
        <v>Not ranking</v>
      </c>
      <c r="G920" s="18" t="str">
        <f>IFERROR(__xludf.DUMMYFUNCTION("""COMPUTED_VALUE"""),"Not ranking")</f>
        <v>Not ranking</v>
      </c>
      <c r="H920" s="17" t="str">
        <f>IFERROR(__xludf.DUMMYFUNCTION("""COMPUTED_VALUE"""),"https://www.wideopenspaces.com/when-does-deer-season-end-in-texas/")</f>
        <v>https://www.wideopenspaces.com/when-does-deer-season-end-in-texas/</v>
      </c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5" t="str">
        <f>IFERROR(__xludf.DUMMYFUNCTION("""COMPUTED_VALUE"""),"wisconsin deer hunting")</f>
        <v>wisconsin deer hunting</v>
      </c>
      <c r="B921" s="15" t="str">
        <f>IFERROR(__xludf.DUMMYFUNCTION("""COMPUTED_VALUE"""),"1000")</f>
        <v>1000</v>
      </c>
      <c r="C921" s="15" t="str">
        <f>IFERROR(__xludf.DUMMYFUNCTION("""COMPUTED_VALUE"""),"Not ranking")</f>
        <v>Not ranking</v>
      </c>
      <c r="D921" s="15" t="str">
        <f>IFERROR(__xludf.DUMMYFUNCTION("""COMPUTED_VALUE"""),"22")</f>
        <v>22</v>
      </c>
      <c r="E921" s="15" t="str">
        <f>IFERROR(__xludf.DUMMYFUNCTION("""COMPUTED_VALUE"""),"Not ranking")</f>
        <v>Not ranking</v>
      </c>
      <c r="F921" s="18" t="str">
        <f>IFERROR(__xludf.DUMMYFUNCTION("""COMPUTED_VALUE"""),"Not ranking")</f>
        <v>Not ranking</v>
      </c>
      <c r="G921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921" s="18" t="str">
        <f>IFERROR(__xludf.DUMMYFUNCTION("""COMPUTED_VALUE"""),"Not ranking")</f>
        <v>Not ranking</v>
      </c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5" t="str">
        <f>IFERROR(__xludf.DUMMYFUNCTION("""COMPUTED_VALUE"""),"wisconsin deer hunting season")</f>
        <v>wisconsin deer hunting season</v>
      </c>
      <c r="B922" s="15" t="str">
        <f>IFERROR(__xludf.DUMMYFUNCTION("""COMPUTED_VALUE"""),"1000")</f>
        <v>1000</v>
      </c>
      <c r="C922" s="15" t="str">
        <f>IFERROR(__xludf.DUMMYFUNCTION("""COMPUTED_VALUE"""),"Not ranking")</f>
        <v>Not ranking</v>
      </c>
      <c r="D922" s="15" t="str">
        <f>IFERROR(__xludf.DUMMYFUNCTION("""COMPUTED_VALUE"""),"13")</f>
        <v>13</v>
      </c>
      <c r="E922" s="15" t="str">
        <f>IFERROR(__xludf.DUMMYFUNCTION("""COMPUTED_VALUE"""),"91")</f>
        <v>91</v>
      </c>
      <c r="F922" s="18" t="str">
        <f>IFERROR(__xludf.DUMMYFUNCTION("""COMPUTED_VALUE"""),"Not ranking")</f>
        <v>Not ranking</v>
      </c>
      <c r="G922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922" s="17" t="str">
        <f>IFERROR(__xludf.DUMMYFUNCTION("""COMPUTED_VALUE"""),"https://www.wideopenspaces.com/wisconsin-deer-hunting-everything-hunters-need-to-know/")</f>
        <v>https://www.wideopenspaces.com/wisconsin-deer-hunting-everything-hunters-need-to-know/</v>
      </c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5" t="str">
        <f>IFERROR(__xludf.DUMMYFUNCTION("""COMPUTED_VALUE"""),"acis deer")</f>
        <v>acis deer</v>
      </c>
      <c r="B923" s="15" t="str">
        <f>IFERROR(__xludf.DUMMYFUNCTION("""COMPUTED_VALUE"""),"880")</f>
        <v>880</v>
      </c>
      <c r="C923" s="15" t="str">
        <f>IFERROR(__xludf.DUMMYFUNCTION("""COMPUTED_VALUE"""),"Not ranking")</f>
        <v>Not ranking</v>
      </c>
      <c r="D923" s="15" t="str">
        <f>IFERROR(__xludf.DUMMYFUNCTION("""COMPUTED_VALUE"""),"Not ranking")</f>
        <v>Not ranking</v>
      </c>
      <c r="E923" s="15" t="str">
        <f>IFERROR(__xludf.DUMMYFUNCTION("""COMPUTED_VALUE"""),"5")</f>
        <v>5</v>
      </c>
      <c r="F923" s="18" t="str">
        <f>IFERROR(__xludf.DUMMYFUNCTION("""COMPUTED_VALUE"""),"Not ranking")</f>
        <v>Not ranking</v>
      </c>
      <c r="G923" s="18" t="str">
        <f>IFERROR(__xludf.DUMMYFUNCTION("""COMPUTED_VALUE"""),"Not ranking")</f>
        <v>Not ranking</v>
      </c>
      <c r="H923" s="17" t="str">
        <f>IFERROR(__xludf.DUMMYFUNCTION("""COMPUTED_VALUE"""),"https://www.wideopenspaces.com/invasion-axis-deer/")</f>
        <v>https://www.wideopenspaces.com/invasion-axis-deer/</v>
      </c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5" t="str">
        <f>IFERROR(__xludf.DUMMYFUNCTION("""COMPUTED_VALUE"""),"brownville food pantry for deer")</f>
        <v>brownville food pantry for deer</v>
      </c>
      <c r="B924" s="15" t="str">
        <f>IFERROR(__xludf.DUMMYFUNCTION("""COMPUTED_VALUE"""),"880")</f>
        <v>880</v>
      </c>
      <c r="C924" s="15" t="str">
        <f>IFERROR(__xludf.DUMMYFUNCTION("""COMPUTED_VALUE"""),"Not ranking")</f>
        <v>Not ranking</v>
      </c>
      <c r="D924" s="15" t="str">
        <f>IFERROR(__xludf.DUMMYFUNCTION("""COMPUTED_VALUE"""),"14")</f>
        <v>14</v>
      </c>
      <c r="E924" s="15" t="str">
        <f>IFERROR(__xludf.DUMMYFUNCTION("""COMPUTED_VALUE"""),"70")</f>
        <v>70</v>
      </c>
      <c r="F924" s="18" t="str">
        <f>IFERROR(__xludf.DUMMYFUNCTION("""COMPUTED_VALUE"""),"Not ranking")</f>
        <v>Not ranking</v>
      </c>
      <c r="G924" s="17" t="str">
        <f>IFERROR(__xludf.DUMMYFUNCTION("""COMPUTED_VALUE"""),"https://realtree.com/the-realblog-with-stephanie-mallory/watch-live-cam-of-maine-deer-pantry")</f>
        <v>https://realtree.com/the-realblog-with-stephanie-mallory/watch-live-cam-of-maine-deer-pantry</v>
      </c>
      <c r="H924" s="17" t="str">
        <f>IFERROR(__xludf.DUMMYFUNCTION("""COMPUTED_VALUE"""),"https://www.wideopenspaces.com/buck-loses-an-antler-while-sparring-at-feeder/")</f>
        <v>https://www.wideopenspaces.com/buck-loses-an-antler-while-sparring-at-feeder/</v>
      </c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5" t="str">
        <f>IFERROR(__xludf.DUMMYFUNCTION("""COMPUTED_VALUE"""),"canning deer meat")</f>
        <v>canning deer meat</v>
      </c>
      <c r="B925" s="15" t="str">
        <f>IFERROR(__xludf.DUMMYFUNCTION("""COMPUTED_VALUE"""),"880")</f>
        <v>880</v>
      </c>
      <c r="C925" s="15" t="str">
        <f>IFERROR(__xludf.DUMMYFUNCTION("""COMPUTED_VALUE"""),"Not ranking")</f>
        <v>Not ranking</v>
      </c>
      <c r="D925" s="15" t="str">
        <f>IFERROR(__xludf.DUMMYFUNCTION("""COMPUTED_VALUE"""),"4")</f>
        <v>4</v>
      </c>
      <c r="E925" s="15" t="str">
        <f>IFERROR(__xludf.DUMMYFUNCTION("""COMPUTED_VALUE"""),"22")</f>
        <v>22</v>
      </c>
      <c r="F925" s="18" t="str">
        <f>IFERROR(__xludf.DUMMYFUNCTION("""COMPUTED_VALUE"""),"Not ranking")</f>
        <v>Not ranking</v>
      </c>
      <c r="G925" s="17" t="str">
        <f>IFERROR(__xludf.DUMMYFUNCTION("""COMPUTED_VALUE"""),"https://realtree.com/timber-2-table-wild-game-recipes/easy-canned-venison")</f>
        <v>https://realtree.com/timber-2-table-wild-game-recipes/easy-canned-venison</v>
      </c>
      <c r="H925" s="17" t="str">
        <f>IFERROR(__xludf.DUMMYFUNCTION("""COMPUTED_VALUE"""),"https://www.wideopenspaces.com/canned-venison-how-to-preserve-your-wild-game-meat-the-old-fashioned-way/")</f>
        <v>https://www.wideopenspaces.com/canned-venison-how-to-preserve-your-wild-game-meat-the-old-fashioned-way/</v>
      </c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5" t="str">
        <f>IFERROR(__xludf.DUMMYFUNCTION("""COMPUTED_VALUE"""),"crush deer cam")</f>
        <v>crush deer cam</v>
      </c>
      <c r="B926" s="15" t="str">
        <f>IFERROR(__xludf.DUMMYFUNCTION("""COMPUTED_VALUE"""),"880")</f>
        <v>880</v>
      </c>
      <c r="C926" s="15" t="str">
        <f>IFERROR(__xludf.DUMMYFUNCTION("""COMPUTED_VALUE"""),"Not ranking")</f>
        <v>Not ranking</v>
      </c>
      <c r="D926" s="15" t="str">
        <f>IFERROR(__xludf.DUMMYFUNCTION("""COMPUTED_VALUE"""),"67")</f>
        <v>67</v>
      </c>
      <c r="E926" s="15" t="str">
        <f>IFERROR(__xludf.DUMMYFUNCTION("""COMPUTED_VALUE"""),"Not ranking")</f>
        <v>Not ranking</v>
      </c>
      <c r="F926" s="18" t="str">
        <f>IFERROR(__xludf.DUMMYFUNCTION("""COMPUTED_VALUE"""),"Not ranking")</f>
        <v>Not ranking</v>
      </c>
      <c r="G926" s="17" t="str">
        <f>IFERROR(__xludf.DUMMYFUNCTION("""COMPUTED_VALUE"""),"https://realtree.com/brow-tines-and-backstrap/how-to-use-a-trail-camera")</f>
        <v>https://realtree.com/brow-tines-and-backstrap/how-to-use-a-trail-camera</v>
      </c>
      <c r="H926" s="18" t="str">
        <f>IFERROR(__xludf.DUMMYFUNCTION("""COMPUTED_VALUE"""),"Not ranking")</f>
        <v>Not ranking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5" t="str">
        <f>IFERROR(__xludf.DUMMYFUNCTION("""COMPUTED_VALUE"""),"deer attack")</f>
        <v>deer attack</v>
      </c>
      <c r="B927" s="15" t="str">
        <f>IFERROR(__xludf.DUMMYFUNCTION("""COMPUTED_VALUE"""),"880")</f>
        <v>880</v>
      </c>
      <c r="C927" s="15" t="str">
        <f>IFERROR(__xludf.DUMMYFUNCTION("""COMPUTED_VALUE"""),"Not ranking")</f>
        <v>Not ranking</v>
      </c>
      <c r="D927" s="15" t="str">
        <f>IFERROR(__xludf.DUMMYFUNCTION("""COMPUTED_VALUE"""),"22")</f>
        <v>22</v>
      </c>
      <c r="E927" s="15" t="str">
        <f>IFERROR(__xludf.DUMMYFUNCTION("""COMPUTED_VALUE"""),"Not ranking")</f>
        <v>Not ranking</v>
      </c>
      <c r="F927" s="18" t="str">
        <f>IFERROR(__xludf.DUMMYFUNCTION("""COMPUTED_VALUE"""),"Not ranking")</f>
        <v>Not ranking</v>
      </c>
      <c r="G927" s="17" t="str">
        <f>IFERROR(__xludf.DUMMYFUNCTION("""COMPUTED_VALUE"""),"https://realtree.com/turkey-blog-with-steve-hickoff/video-territorial-deer-attack-on-backyard-turkey-flock")</f>
        <v>https://realtree.com/turkey-blog-with-steve-hickoff/video-territorial-deer-attack-on-backyard-turkey-flock</v>
      </c>
      <c r="H927" s="18" t="str">
        <f>IFERROR(__xludf.DUMMYFUNCTION("""COMPUTED_VALUE"""),"Not ranking")</f>
        <v>Not ranking</v>
      </c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5" t="str">
        <f>IFERROR(__xludf.DUMMYFUNCTION("""COMPUTED_VALUE"""),"deer busters")</f>
        <v>deer busters</v>
      </c>
      <c r="B928" s="15" t="str">
        <f>IFERROR(__xludf.DUMMYFUNCTION("""COMPUTED_VALUE"""),"880")</f>
        <v>880</v>
      </c>
      <c r="C928" s="15" t="str">
        <f>IFERROR(__xludf.DUMMYFUNCTION("""COMPUTED_VALUE"""),"Not ranking")</f>
        <v>Not ranking</v>
      </c>
      <c r="D928" s="15" t="str">
        <f>IFERROR(__xludf.DUMMYFUNCTION("""COMPUTED_VALUE"""),"57")</f>
        <v>57</v>
      </c>
      <c r="E928" s="15" t="str">
        <f>IFERROR(__xludf.DUMMYFUNCTION("""COMPUTED_VALUE"""),"Not ranking")</f>
        <v>Not ranking</v>
      </c>
      <c r="F928" s="18" t="str">
        <f>IFERROR(__xludf.DUMMYFUNCTION("""COMPUTED_VALUE"""),"Not ranking")</f>
        <v>Not ranking</v>
      </c>
      <c r="G928" s="17" t="str">
        <f>IFERROR(__xludf.DUMMYFUNCTION("""COMPUTED_VALUE"""),"https://realtree.com/deer-hunting/articles/ghost-busters-what-to-do-when-your-buck-disappears")</f>
        <v>https://realtree.com/deer-hunting/articles/ghost-busters-what-to-do-when-your-buck-disappears</v>
      </c>
      <c r="H928" s="18" t="str">
        <f>IFERROR(__xludf.DUMMYFUNCTION("""COMPUTED_VALUE"""),"Not ranking")</f>
        <v>Not ranking</v>
      </c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5" t="str">
        <f>IFERROR(__xludf.DUMMYFUNCTION("""COMPUTED_VALUE"""),"deer butchering near me")</f>
        <v>deer butchering near me</v>
      </c>
      <c r="B929" s="15" t="str">
        <f>IFERROR(__xludf.DUMMYFUNCTION("""COMPUTED_VALUE"""),"880")</f>
        <v>880</v>
      </c>
      <c r="C929" s="15" t="str">
        <f>IFERROR(__xludf.DUMMYFUNCTION("""COMPUTED_VALUE"""),"Not ranking")</f>
        <v>Not ranking</v>
      </c>
      <c r="D929" s="15" t="str">
        <f>IFERROR(__xludf.DUMMYFUNCTION("""COMPUTED_VALUE"""),"36")</f>
        <v>36</v>
      </c>
      <c r="E929" s="15" t="str">
        <f>IFERROR(__xludf.DUMMYFUNCTION("""COMPUTED_VALUE"""),"Not ranking")</f>
        <v>Not ranking</v>
      </c>
      <c r="F929" s="18" t="str">
        <f>IFERROR(__xludf.DUMMYFUNCTION("""COMPUTED_VALUE"""),"Not ranking")</f>
        <v>Not ranking</v>
      </c>
      <c r="G929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929" s="18" t="str">
        <f>IFERROR(__xludf.DUMMYFUNCTION("""COMPUTED_VALUE"""),"Not ranking")</f>
        <v>Not ranking</v>
      </c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5" t="str">
        <f>IFERROR(__xludf.DUMMYFUNCTION("""COMPUTED_VALUE"""),"deer butchers near me")</f>
        <v>deer butchers near me</v>
      </c>
      <c r="B930" s="15" t="str">
        <f>IFERROR(__xludf.DUMMYFUNCTION("""COMPUTED_VALUE"""),"880")</f>
        <v>880</v>
      </c>
      <c r="C930" s="15" t="str">
        <f>IFERROR(__xludf.DUMMYFUNCTION("""COMPUTED_VALUE"""),"Not ranking")</f>
        <v>Not ranking</v>
      </c>
      <c r="D930" s="15" t="str">
        <f>IFERROR(__xludf.DUMMYFUNCTION("""COMPUTED_VALUE"""),"37")</f>
        <v>37</v>
      </c>
      <c r="E930" s="15" t="str">
        <f>IFERROR(__xludf.DUMMYFUNCTION("""COMPUTED_VALUE"""),"Not ranking")</f>
        <v>Not ranking</v>
      </c>
      <c r="F930" s="18" t="str">
        <f>IFERROR(__xludf.DUMMYFUNCTION("""COMPUTED_VALUE"""),"Not ranking")</f>
        <v>Not ranking</v>
      </c>
      <c r="G930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930" s="18" t="str">
        <f>IFERROR(__xludf.DUMMYFUNCTION("""COMPUTED_VALUE"""),"Not ranking")</f>
        <v>Not ranking</v>
      </c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5" t="str">
        <f>IFERROR(__xludf.DUMMYFUNCTION("""COMPUTED_VALUE"""),"deer diseases")</f>
        <v>deer diseases</v>
      </c>
      <c r="B931" s="15" t="str">
        <f>IFERROR(__xludf.DUMMYFUNCTION("""COMPUTED_VALUE"""),"880")</f>
        <v>880</v>
      </c>
      <c r="C931" s="15" t="str">
        <f>IFERROR(__xludf.DUMMYFUNCTION("""COMPUTED_VALUE"""),"Not ranking")</f>
        <v>Not ranking</v>
      </c>
      <c r="D931" s="15" t="str">
        <f>IFERROR(__xludf.DUMMYFUNCTION("""COMPUTED_VALUE"""),"Not ranking")</f>
        <v>Not ranking</v>
      </c>
      <c r="E931" s="15" t="str">
        <f>IFERROR(__xludf.DUMMYFUNCTION("""COMPUTED_VALUE"""),"27")</f>
        <v>27</v>
      </c>
      <c r="F931" s="18" t="str">
        <f>IFERROR(__xludf.DUMMYFUNCTION("""COMPUTED_VALUE"""),"Not ranking")</f>
        <v>Not ranking</v>
      </c>
      <c r="G931" s="18" t="str">
        <f>IFERROR(__xludf.DUMMYFUNCTION("""COMPUTED_VALUE"""),"Not ranking")</f>
        <v>Not ranking</v>
      </c>
      <c r="H931" s="17" t="str">
        <f>IFERROR(__xludf.DUMMYFUNCTION("""COMPUTED_VALUE"""),"https://www.wideopenspaces.com/whitetail-deer-diseases/")</f>
        <v>https://www.wideopenspaces.com/whitetail-deer-diseases/</v>
      </c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5" t="str">
        <f>IFERROR(__xludf.DUMMYFUNCTION("""COMPUTED_VALUE"""),"deer dog")</f>
        <v>deer dog</v>
      </c>
      <c r="B932" s="15" t="str">
        <f>IFERROR(__xludf.DUMMYFUNCTION("""COMPUTED_VALUE"""),"880")</f>
        <v>880</v>
      </c>
      <c r="C932" s="15" t="str">
        <f>IFERROR(__xludf.DUMMYFUNCTION("""COMPUTED_VALUE"""),"Not ranking")</f>
        <v>Not ranking</v>
      </c>
      <c r="D932" s="15" t="str">
        <f>IFERROR(__xludf.DUMMYFUNCTION("""COMPUTED_VALUE"""),"5")</f>
        <v>5</v>
      </c>
      <c r="E932" s="15" t="str">
        <f>IFERROR(__xludf.DUMMYFUNCTION("""COMPUTED_VALUE"""),"Not ranking")</f>
        <v>Not ranking</v>
      </c>
      <c r="F932" s="18" t="str">
        <f>IFERROR(__xludf.DUMMYFUNCTION("""COMPUTED_VALUE"""),"Not ranking")</f>
        <v>Not ranking</v>
      </c>
      <c r="G932" s="17" t="str">
        <f>IFERROR(__xludf.DUMMYFUNCTION("""COMPUTED_VALUE"""),"https://realtree.com/deer-hunting/articles/5-traits-of-a-good-blood-trailing-deer-dog")</f>
        <v>https://realtree.com/deer-hunting/articles/5-traits-of-a-good-blood-trailing-deer-dog</v>
      </c>
      <c r="H932" s="18" t="str">
        <f>IFERROR(__xludf.DUMMYFUNCTION("""COMPUTED_VALUE"""),"Not ranking")</f>
        <v>Not ranking</v>
      </c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5" t="str">
        <f>IFERROR(__xludf.DUMMYFUNCTION("""COMPUTED_VALUE"""),"deer feeders amazon")</f>
        <v>deer feeders amazon</v>
      </c>
      <c r="B933" s="15" t="str">
        <f>IFERROR(__xludf.DUMMYFUNCTION("""COMPUTED_VALUE"""),"880")</f>
        <v>880</v>
      </c>
      <c r="C933" s="15" t="str">
        <f>IFERROR(__xludf.DUMMYFUNCTION("""COMPUTED_VALUE"""),"Not ranking")</f>
        <v>Not ranking</v>
      </c>
      <c r="D933" s="15" t="str">
        <f>IFERROR(__xludf.DUMMYFUNCTION("""COMPUTED_VALUE"""),"Not ranking")</f>
        <v>Not ranking</v>
      </c>
      <c r="E933" s="15" t="str">
        <f>IFERROR(__xludf.DUMMYFUNCTION("""COMPUTED_VALUE"""),"28")</f>
        <v>28</v>
      </c>
      <c r="F933" s="18" t="str">
        <f>IFERROR(__xludf.DUMMYFUNCTION("""COMPUTED_VALUE"""),"Not ranking")</f>
        <v>Not ranking</v>
      </c>
      <c r="G933" s="18" t="str">
        <f>IFERROR(__xludf.DUMMYFUNCTION("""COMPUTED_VALUE"""),"Not ranking")</f>
        <v>Not ranking</v>
      </c>
      <c r="H933" s="17" t="str">
        <f>IFERROR(__xludf.DUMMYFUNCTION("""COMPUTED_VALUE"""),"https://www.wideopenspaces.com/best-deer-feeders/")</f>
        <v>https://www.wideopenspaces.com/best-deer-feeders/</v>
      </c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5" t="str">
        <f>IFERROR(__xludf.DUMMYFUNCTION("""COMPUTED_VALUE"""),"deer feeders homemade")</f>
        <v>deer feeders homemade</v>
      </c>
      <c r="B934" s="15" t="str">
        <f>IFERROR(__xludf.DUMMYFUNCTION("""COMPUTED_VALUE"""),"880")</f>
        <v>880</v>
      </c>
      <c r="C934" s="15" t="str">
        <f>IFERROR(__xludf.DUMMYFUNCTION("""COMPUTED_VALUE"""),"Not ranking")</f>
        <v>Not ranking</v>
      </c>
      <c r="D934" s="15" t="str">
        <f>IFERROR(__xludf.DUMMYFUNCTION("""COMPUTED_VALUE"""),"7")</f>
        <v>7</v>
      </c>
      <c r="E934" s="15" t="str">
        <f>IFERROR(__xludf.DUMMYFUNCTION("""COMPUTED_VALUE"""),"39")</f>
        <v>39</v>
      </c>
      <c r="F934" s="18" t="str">
        <f>IFERROR(__xludf.DUMMYFUNCTION("""COMPUTED_VALUE"""),"Not ranking")</f>
        <v>Not ranking</v>
      </c>
      <c r="G934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934" s="17" t="str">
        <f>IFERROR(__xludf.DUMMYFUNCTION("""COMPUTED_VALUE"""),"https://www.wideopenspaces.com/make-poor-mans-deer-feeder/")</f>
        <v>https://www.wideopenspaces.com/make-poor-mans-deer-feeder/</v>
      </c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5" t="str">
        <f>IFERROR(__xludf.DUMMYFUNCTION("""COMPUTED_VALUE"""),"deer fibroma")</f>
        <v>deer fibroma</v>
      </c>
      <c r="B935" s="15" t="str">
        <f>IFERROR(__xludf.DUMMYFUNCTION("""COMPUTED_VALUE"""),"880")</f>
        <v>880</v>
      </c>
      <c r="C935" s="15" t="str">
        <f>IFERROR(__xludf.DUMMYFUNCTION("""COMPUTED_VALUE"""),"Not ranking")</f>
        <v>Not ranking</v>
      </c>
      <c r="D935" s="15" t="str">
        <f>IFERROR(__xludf.DUMMYFUNCTION("""COMPUTED_VALUE"""),"Not ranking")</f>
        <v>Not ranking</v>
      </c>
      <c r="E935" s="15" t="str">
        <f>IFERROR(__xludf.DUMMYFUNCTION("""COMPUTED_VALUE"""),"41")</f>
        <v>41</v>
      </c>
      <c r="F935" s="18" t="str">
        <f>IFERROR(__xludf.DUMMYFUNCTION("""COMPUTED_VALUE"""),"Not ranking")</f>
        <v>Not ranking</v>
      </c>
      <c r="G935" s="18" t="str">
        <f>IFERROR(__xludf.DUMMYFUNCTION("""COMPUTED_VALUE"""),"Not ranking")</f>
        <v>Not ranking</v>
      </c>
      <c r="H935" s="17" t="str">
        <f>IFERROR(__xludf.DUMMYFUNCTION("""COMPUTED_VALUE"""),"https://www.wideopenspaces.com/deer-warts/")</f>
        <v>https://www.wideopenspaces.com/deer-warts/</v>
      </c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5" t="str">
        <f>IFERROR(__xludf.DUMMYFUNCTION("""COMPUTED_VALUE"""),"deer for pets")</f>
        <v>deer for pets</v>
      </c>
      <c r="B936" s="15" t="str">
        <f>IFERROR(__xludf.DUMMYFUNCTION("""COMPUTED_VALUE"""),"880")</f>
        <v>880</v>
      </c>
      <c r="C936" s="15" t="str">
        <f>IFERROR(__xludf.DUMMYFUNCTION("""COMPUTED_VALUE"""),"Not ranking")</f>
        <v>Not ranking</v>
      </c>
      <c r="D936" s="15" t="str">
        <f>IFERROR(__xludf.DUMMYFUNCTION("""COMPUTED_VALUE"""),"Not ranking")</f>
        <v>Not ranking</v>
      </c>
      <c r="E936" s="15" t="str">
        <f>IFERROR(__xludf.DUMMYFUNCTION("""COMPUTED_VALUE"""),"6")</f>
        <v>6</v>
      </c>
      <c r="F936" s="18" t="str">
        <f>IFERROR(__xludf.DUMMYFUNCTION("""COMPUTED_VALUE"""),"Not ranking")</f>
        <v>Not ranking</v>
      </c>
      <c r="G936" s="18" t="str">
        <f>IFERROR(__xludf.DUMMYFUNCTION("""COMPUTED_VALUE"""),"Not ranking")</f>
        <v>Not ranking</v>
      </c>
      <c r="H936" s="17" t="str">
        <f>IFERROR(__xludf.DUMMYFUNCTION("""COMPUTED_VALUE"""),"https://www.wideopenspaces.com/deer-as-pets/")</f>
        <v>https://www.wideopenspaces.com/deer-as-pets/</v>
      </c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5" t="str">
        <f>IFERROR(__xludf.DUMMYFUNCTION("""COMPUTED_VALUE"""),"deer jumping")</f>
        <v>deer jumping</v>
      </c>
      <c r="B937" s="15" t="str">
        <f>IFERROR(__xludf.DUMMYFUNCTION("""COMPUTED_VALUE"""),"880")</f>
        <v>880</v>
      </c>
      <c r="C937" s="15" t="str">
        <f>IFERROR(__xludf.DUMMYFUNCTION("""COMPUTED_VALUE"""),"Not ranking")</f>
        <v>Not ranking</v>
      </c>
      <c r="D937" s="15" t="str">
        <f>IFERROR(__xludf.DUMMYFUNCTION("""COMPUTED_VALUE"""),"70")</f>
        <v>70</v>
      </c>
      <c r="E937" s="15" t="str">
        <f>IFERROR(__xludf.DUMMYFUNCTION("""COMPUTED_VALUE"""),"Not ranking")</f>
        <v>Not ranking</v>
      </c>
      <c r="F937" s="18" t="str">
        <f>IFERROR(__xludf.DUMMYFUNCTION("""COMPUTED_VALUE"""),"Not ranking")</f>
        <v>Not ranking</v>
      </c>
      <c r="G937" s="17" t="str">
        <f>IFERROR(__xludf.DUMMYFUNCTION("""COMPUTED_VALUE"""),"https://realtree.com/the-realblog-with-stephanie-mallory/deer-are-jumping-to-their-death-off-pennsylvania-bypass")</f>
        <v>https://realtree.com/the-realblog-with-stephanie-mallory/deer-are-jumping-to-their-death-off-pennsylvania-bypass</v>
      </c>
      <c r="H937" s="18" t="str">
        <f>IFERROR(__xludf.DUMMYFUNCTION("""COMPUTED_VALUE"""),"Not ranking")</f>
        <v>Not ranking</v>
      </c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5" t="str">
        <f>IFERROR(__xludf.DUMMYFUNCTION("""COMPUTED_VALUE"""),"deer lake orchard")</f>
        <v>deer lake orchard</v>
      </c>
      <c r="B938" s="15" t="str">
        <f>IFERROR(__xludf.DUMMYFUNCTION("""COMPUTED_VALUE"""),"880")</f>
        <v>880</v>
      </c>
      <c r="C938" s="15" t="str">
        <f>IFERROR(__xludf.DUMMYFUNCTION("""COMPUTED_VALUE"""),"Not ranking")</f>
        <v>Not ranking</v>
      </c>
      <c r="D938" s="15" t="str">
        <f>IFERROR(__xludf.DUMMYFUNCTION("""COMPUTED_VALUE"""),"48")</f>
        <v>48</v>
      </c>
      <c r="E938" s="15" t="str">
        <f>IFERROR(__xludf.DUMMYFUNCTION("""COMPUTED_VALUE"""),"Not ranking")</f>
        <v>Not ranking</v>
      </c>
      <c r="F938" s="18" t="str">
        <f>IFERROR(__xludf.DUMMYFUNCTION("""COMPUTED_VALUE"""),"Not ranking")</f>
        <v>Not ranking</v>
      </c>
      <c r="G938" s="17" t="str">
        <f>IFERROR(__xludf.DUMMYFUNCTION("""COMPUTED_VALUE"""),"https://realtree.com/food-plots-and-land-management/articles/how-to-plant-a-deer-orchard")</f>
        <v>https://realtree.com/food-plots-and-land-management/articles/how-to-plant-a-deer-orchard</v>
      </c>
      <c r="H938" s="18" t="str">
        <f>IFERROR(__xludf.DUMMYFUNCTION("""COMPUTED_VALUE"""),"Not ranking")</f>
        <v>Not ranking</v>
      </c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5" t="str">
        <f>IFERROR(__xludf.DUMMYFUNCTION("""COMPUTED_VALUE"""),"deer lease texas")</f>
        <v>deer lease texas</v>
      </c>
      <c r="B939" s="15" t="str">
        <f>IFERROR(__xludf.DUMMYFUNCTION("""COMPUTED_VALUE"""),"880")</f>
        <v>880</v>
      </c>
      <c r="C939" s="15" t="str">
        <f>IFERROR(__xludf.DUMMYFUNCTION("""COMPUTED_VALUE"""),"Not ranking")</f>
        <v>Not ranking</v>
      </c>
      <c r="D939" s="15" t="str">
        <f>IFERROR(__xludf.DUMMYFUNCTION("""COMPUTED_VALUE"""),"Not ranking")</f>
        <v>Not ranking</v>
      </c>
      <c r="E939" s="15" t="str">
        <f>IFERROR(__xludf.DUMMYFUNCTION("""COMPUTED_VALUE"""),"59")</f>
        <v>59</v>
      </c>
      <c r="F939" s="18" t="str">
        <f>IFERROR(__xludf.DUMMYFUNCTION("""COMPUTED_VALUE"""),"Not ranking")</f>
        <v>Not ranking</v>
      </c>
      <c r="G939" s="18" t="str">
        <f>IFERROR(__xludf.DUMMYFUNCTION("""COMPUTED_VALUE"""),"Not ranking")</f>
        <v>Not ranking</v>
      </c>
      <c r="H939" s="17" t="str">
        <f>IFERROR(__xludf.DUMMYFUNCTION("""COMPUTED_VALUE"""),"https://www.wideopenspaces.com/finding-land-to-hunt-in-texas-isnt-as-hard-as-you-might-think/")</f>
        <v>https://www.wideopenspaces.com/finding-land-to-hunt-in-texas-isnt-as-hard-as-you-might-think/</v>
      </c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5" t="str">
        <f>IFERROR(__xludf.DUMMYFUNCTION("""COMPUTED_VALUE"""),"deer meadows outfitters")</f>
        <v>deer meadows outfitters</v>
      </c>
      <c r="B940" s="15" t="str">
        <f>IFERROR(__xludf.DUMMYFUNCTION("""COMPUTED_VALUE"""),"880")</f>
        <v>880</v>
      </c>
      <c r="C940" s="15" t="str">
        <f>IFERROR(__xludf.DUMMYFUNCTION("""COMPUTED_VALUE"""),"Not ranking")</f>
        <v>Not ranking</v>
      </c>
      <c r="D940" s="15" t="str">
        <f>IFERROR(__xludf.DUMMYFUNCTION("""COMPUTED_VALUE"""),"Not ranking")</f>
        <v>Not ranking</v>
      </c>
      <c r="E940" s="15" t="str">
        <f>IFERROR(__xludf.DUMMYFUNCTION("""COMPUTED_VALUE"""),"41")</f>
        <v>41</v>
      </c>
      <c r="F940" s="18" t="str">
        <f>IFERROR(__xludf.DUMMYFUNCTION("""COMPUTED_VALUE"""),"Not ranking")</f>
        <v>Not ranking</v>
      </c>
      <c r="G940" s="18" t="str">
        <f>IFERROR(__xludf.DUMMYFUNCTION("""COMPUTED_VALUE"""),"Not ranking")</f>
        <v>Not ranking</v>
      </c>
      <c r="H940" s="17" t="str">
        <f>IFERROR(__xludf.DUMMYFUNCTION("""COMPUTED_VALUE"""),"https://www.wideopenspaces.com/best-mule-deer-hunting-states/")</f>
        <v>https://www.wideopenspaces.com/best-mule-deer-hunting-states/</v>
      </c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5" t="str">
        <f>IFERROR(__xludf.DUMMYFUNCTION("""COMPUTED_VALUE"""),"deer meat processing near me")</f>
        <v>deer meat processing near me</v>
      </c>
      <c r="B941" s="15" t="str">
        <f>IFERROR(__xludf.DUMMYFUNCTION("""COMPUTED_VALUE"""),"880")</f>
        <v>880</v>
      </c>
      <c r="C941" s="15" t="str">
        <f>IFERROR(__xludf.DUMMYFUNCTION("""COMPUTED_VALUE"""),"Not ranking")</f>
        <v>Not ranking</v>
      </c>
      <c r="D941" s="15" t="str">
        <f>IFERROR(__xludf.DUMMYFUNCTION("""COMPUTED_VALUE"""),"50")</f>
        <v>50</v>
      </c>
      <c r="E941" s="15" t="str">
        <f>IFERROR(__xludf.DUMMYFUNCTION("""COMPUTED_VALUE"""),"Not ranking")</f>
        <v>Not ranking</v>
      </c>
      <c r="F941" s="18" t="str">
        <f>IFERROR(__xludf.DUMMYFUNCTION("""COMPUTED_VALUE"""),"Not ranking")</f>
        <v>Not ranking</v>
      </c>
      <c r="G941" s="17" t="str">
        <f>IFERROR(__xludf.DUMMYFUNCTION("""COMPUTED_VALUE"""),"https://realtree.com/timber-2-table-articles/5-things-your-deer-processor-hates")</f>
        <v>https://realtree.com/timber-2-table-articles/5-things-your-deer-processor-hates</v>
      </c>
      <c r="H941" s="18" t="str">
        <f>IFERROR(__xludf.DUMMYFUNCTION("""COMPUTED_VALUE"""),"Not ranking")</f>
        <v>Not ranking</v>
      </c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5" t="str">
        <f>IFERROR(__xludf.DUMMYFUNCTION("""COMPUTED_VALUE"""),"deer mullet")</f>
        <v>deer mullet</v>
      </c>
      <c r="B942" s="15" t="str">
        <f>IFERROR(__xludf.DUMMYFUNCTION("""COMPUTED_VALUE"""),"880")</f>
        <v>880</v>
      </c>
      <c r="C942" s="15" t="str">
        <f>IFERROR(__xludf.DUMMYFUNCTION("""COMPUTED_VALUE"""),"Not ranking")</f>
        <v>Not ranking</v>
      </c>
      <c r="D942" s="15" t="str">
        <f>IFERROR(__xludf.DUMMYFUNCTION("""COMPUTED_VALUE"""),"33")</f>
        <v>33</v>
      </c>
      <c r="E942" s="15" t="str">
        <f>IFERROR(__xludf.DUMMYFUNCTION("""COMPUTED_VALUE"""),"Not ranking")</f>
        <v>Not ranking</v>
      </c>
      <c r="F942" s="18" t="str">
        <f>IFERROR(__xludf.DUMMYFUNCTION("""COMPUTED_VALUE"""),"Not ranking")</f>
        <v>Not ranking</v>
      </c>
      <c r="G942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942" s="18" t="str">
        <f>IFERROR(__xludf.DUMMYFUNCTION("""COMPUTED_VALUE"""),"Not ranking")</f>
        <v>Not ranking</v>
      </c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5" t="str">
        <f>IFERROR(__xludf.DUMMYFUNCTION("""COMPUTED_VALUE"""),"deer pic")</f>
        <v>deer pic</v>
      </c>
      <c r="B943" s="15" t="str">
        <f>IFERROR(__xludf.DUMMYFUNCTION("""COMPUTED_VALUE"""),"880")</f>
        <v>880</v>
      </c>
      <c r="C943" s="15" t="str">
        <f>IFERROR(__xludf.DUMMYFUNCTION("""COMPUTED_VALUE"""),"Not ranking")</f>
        <v>Not ranking</v>
      </c>
      <c r="D943" s="15" t="str">
        <f>IFERROR(__xludf.DUMMYFUNCTION("""COMPUTED_VALUE"""),"88")</f>
        <v>88</v>
      </c>
      <c r="E943" s="15" t="str">
        <f>IFERROR(__xludf.DUMMYFUNCTION("""COMPUTED_VALUE"""),"Not ranking")</f>
        <v>Not ranking</v>
      </c>
      <c r="F943" s="18" t="str">
        <f>IFERROR(__xludf.DUMMYFUNCTION("""COMPUTED_VALUE"""),"Not ranking")</f>
        <v>Not ranking</v>
      </c>
      <c r="G943" s="17" t="str">
        <f>IFERROR(__xludf.DUMMYFUNCTION("""COMPUTED_VALUE"""),"https://realtree.com/deer-hunting/articles/10-tips-for-great-deer-pictures")</f>
        <v>https://realtree.com/deer-hunting/articles/10-tips-for-great-deer-pictures</v>
      </c>
      <c r="H943" s="18" t="str">
        <f>IFERROR(__xludf.DUMMYFUNCTION("""COMPUTED_VALUE"""),"Not ranking")</f>
        <v>Not ranking</v>
      </c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5" t="str">
        <f>IFERROR(__xludf.DUMMYFUNCTION("""COMPUTED_VALUE"""),"deer pong")</f>
        <v>deer pong</v>
      </c>
      <c r="B944" s="15" t="str">
        <f>IFERROR(__xludf.DUMMYFUNCTION("""COMPUTED_VALUE"""),"880")</f>
        <v>880</v>
      </c>
      <c r="C944" s="15" t="str">
        <f>IFERROR(__xludf.DUMMYFUNCTION("""COMPUTED_VALUE"""),"Not ranking")</f>
        <v>Not ranking</v>
      </c>
      <c r="D944" s="15" t="str">
        <f>IFERROR(__xludf.DUMMYFUNCTION("""COMPUTED_VALUE"""),"Not ranking")</f>
        <v>Not ranking</v>
      </c>
      <c r="E944" s="15" t="str">
        <f>IFERROR(__xludf.DUMMYFUNCTION("""COMPUTED_VALUE"""),"59")</f>
        <v>59</v>
      </c>
      <c r="F944" s="18" t="str">
        <f>IFERROR(__xludf.DUMMYFUNCTION("""COMPUTED_VALUE"""),"Not ranking")</f>
        <v>Not ranking</v>
      </c>
      <c r="G944" s="18" t="str">
        <f>IFERROR(__xludf.DUMMYFUNCTION("""COMPUTED_VALUE"""),"Not ranking")</f>
        <v>Not ranking</v>
      </c>
      <c r="H944" s="17" t="str">
        <f>IFERROR(__xludf.DUMMYFUNCTION("""COMPUTED_VALUE"""),"https://www.wideopenspaces.com/deer-pong/")</f>
        <v>https://www.wideopenspaces.com/deer-pong/</v>
      </c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5" t="str">
        <f>IFERROR(__xludf.DUMMYFUNCTION("""COMPUTED_VALUE"""),"deer rack")</f>
        <v>deer rack</v>
      </c>
      <c r="B945" s="15" t="str">
        <f>IFERROR(__xludf.DUMMYFUNCTION("""COMPUTED_VALUE"""),"880")</f>
        <v>880</v>
      </c>
      <c r="C945" s="15" t="str">
        <f>IFERROR(__xludf.DUMMYFUNCTION("""COMPUTED_VALUE"""),"Not ranking")</f>
        <v>Not ranking</v>
      </c>
      <c r="D945" s="15" t="str">
        <f>IFERROR(__xludf.DUMMYFUNCTION("""COMPUTED_VALUE"""),"14")</f>
        <v>14</v>
      </c>
      <c r="E945" s="15" t="str">
        <f>IFERROR(__xludf.DUMMYFUNCTION("""COMPUTED_VALUE"""),"Not ranking")</f>
        <v>Not ranking</v>
      </c>
      <c r="F945" s="18" t="str">
        <f>IFERROR(__xludf.DUMMYFUNCTION("""COMPUTED_VALUE"""),"Not ranking")</f>
        <v>Not ranking</v>
      </c>
      <c r="G945" s="17" t="str">
        <f>IFERROR(__xludf.DUMMYFUNCTION("""COMPUTED_VALUE"""),"https://realtree.com/all/articles/rack-em-up")</f>
        <v>https://realtree.com/all/articles/rack-em-up</v>
      </c>
      <c r="H945" s="18" t="str">
        <f>IFERROR(__xludf.DUMMYFUNCTION("""COMPUTED_VALUE"""),"Not ranking")</f>
        <v>Not ranking</v>
      </c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5" t="str">
        <f>IFERROR(__xludf.DUMMYFUNCTION("""COMPUTED_VALUE"""),"deer rutting")</f>
        <v>deer rutting</v>
      </c>
      <c r="B946" s="15" t="str">
        <f>IFERROR(__xludf.DUMMYFUNCTION("""COMPUTED_VALUE"""),"880")</f>
        <v>880</v>
      </c>
      <c r="C946" s="15" t="str">
        <f>IFERROR(__xludf.DUMMYFUNCTION("""COMPUTED_VALUE"""),"Not ranking")</f>
        <v>Not ranking</v>
      </c>
      <c r="D946" s="15" t="str">
        <f>IFERROR(__xludf.DUMMYFUNCTION("""COMPUTED_VALUE"""),"40")</f>
        <v>40</v>
      </c>
      <c r="E946" s="15" t="str">
        <f>IFERROR(__xludf.DUMMYFUNCTION("""COMPUTED_VALUE"""),"Not ranking")</f>
        <v>Not ranking</v>
      </c>
      <c r="F946" s="18" t="str">
        <f>IFERROR(__xludf.DUMMYFUNCTION("""COMPUTED_VALUE"""),"Not ranking")</f>
        <v>Not ranking</v>
      </c>
      <c r="G946" s="17" t="str">
        <f>IFERROR(__xludf.DUMMYFUNCTION("""COMPUTED_VALUE"""),"https://realtree.com/deer-hunting/articles/5-rut-buck-behaviors-you-should-recognize")</f>
        <v>https://realtree.com/deer-hunting/articles/5-rut-buck-behaviors-you-should-recognize</v>
      </c>
      <c r="H946" s="18" t="str">
        <f>IFERROR(__xludf.DUMMYFUNCTION("""COMPUTED_VALUE"""),"Not ranking")</f>
        <v>Not ranking</v>
      </c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5" t="str">
        <f>IFERROR(__xludf.DUMMYFUNCTION("""COMPUTED_VALUE"""),"deer season 2022 missouri")</f>
        <v>deer season 2022 missouri</v>
      </c>
      <c r="B947" s="15" t="str">
        <f>IFERROR(__xludf.DUMMYFUNCTION("""COMPUTED_VALUE"""),"880")</f>
        <v>880</v>
      </c>
      <c r="C947" s="15" t="str">
        <f>IFERROR(__xludf.DUMMYFUNCTION("""COMPUTED_VALUE"""),"Not ranking")</f>
        <v>Not ranking</v>
      </c>
      <c r="D947" s="15" t="str">
        <f>IFERROR(__xludf.DUMMYFUNCTION("""COMPUTED_VALUE"""),"100")</f>
        <v>100</v>
      </c>
      <c r="E947" s="15" t="str">
        <f>IFERROR(__xludf.DUMMYFUNCTION("""COMPUTED_VALUE"""),"41")</f>
        <v>41</v>
      </c>
      <c r="F947" s="18" t="str">
        <f>IFERROR(__xludf.DUMMYFUNCTION("""COMPUTED_VALUE"""),"Not ranking")</f>
        <v>Not ranking</v>
      </c>
      <c r="G947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947" s="17" t="str">
        <f>IFERROR(__xludf.DUMMYFUNCTION("""COMPUTED_VALUE"""),"https://www.wideopenspaces.com/when-does-deer-season-end-in-missouri/")</f>
        <v>https://www.wideopenspaces.com/when-does-deer-season-end-in-missouri/</v>
      </c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5" t="str">
        <f>IFERROR(__xludf.DUMMYFUNCTION("""COMPUTED_VALUE"""),"deer season kansas 2022")</f>
        <v>deer season kansas 2022</v>
      </c>
      <c r="B948" s="15" t="str">
        <f>IFERROR(__xludf.DUMMYFUNCTION("""COMPUTED_VALUE"""),"880")</f>
        <v>880</v>
      </c>
      <c r="C948" s="15" t="str">
        <f>IFERROR(__xludf.DUMMYFUNCTION("""COMPUTED_VALUE"""),"Not ranking")</f>
        <v>Not ranking</v>
      </c>
      <c r="D948" s="15" t="str">
        <f>IFERROR(__xludf.DUMMYFUNCTION("""COMPUTED_VALUE"""),"83")</f>
        <v>83</v>
      </c>
      <c r="E948" s="15" t="str">
        <f>IFERROR(__xludf.DUMMYFUNCTION("""COMPUTED_VALUE"""),"Not ranking")</f>
        <v>Not ranking</v>
      </c>
      <c r="F948" s="18" t="str">
        <f>IFERROR(__xludf.DUMMYFUNCTION("""COMPUTED_VALUE"""),"Not ranking")</f>
        <v>Not ranking</v>
      </c>
      <c r="G948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948" s="18" t="str">
        <f>IFERROR(__xludf.DUMMYFUNCTION("""COMPUTED_VALUE"""),"Not ranking")</f>
        <v>Not ranking</v>
      </c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5" t="str">
        <f>IFERROR(__xludf.DUMMYFUNCTION("""COMPUTED_VALUE"""),"deer season mississippi 2022")</f>
        <v>deer season mississippi 2022</v>
      </c>
      <c r="B949" s="15" t="str">
        <f>IFERROR(__xludf.DUMMYFUNCTION("""COMPUTED_VALUE"""),"880")</f>
        <v>880</v>
      </c>
      <c r="C949" s="15" t="str">
        <f>IFERROR(__xludf.DUMMYFUNCTION("""COMPUTED_VALUE"""),"Not ranking")</f>
        <v>Not ranking</v>
      </c>
      <c r="D949" s="15" t="str">
        <f>IFERROR(__xludf.DUMMYFUNCTION("""COMPUTED_VALUE"""),"34")</f>
        <v>34</v>
      </c>
      <c r="E949" s="15" t="str">
        <f>IFERROR(__xludf.DUMMYFUNCTION("""COMPUTED_VALUE"""),"Not ranking")</f>
        <v>Not ranking</v>
      </c>
      <c r="F949" s="18" t="str">
        <f>IFERROR(__xludf.DUMMYFUNCTION("""COMPUTED_VALUE"""),"Not ranking")</f>
        <v>Not ranking</v>
      </c>
      <c r="G94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949" s="18" t="str">
        <f>IFERROR(__xludf.DUMMYFUNCTION("""COMPUTED_VALUE"""),"Not ranking")</f>
        <v>Not ranking</v>
      </c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5" t="str">
        <f>IFERROR(__xludf.DUMMYFUNCTION("""COMPUTED_VALUE"""),"deer season sc 2022")</f>
        <v>deer season sc 2022</v>
      </c>
      <c r="B950" s="15" t="str">
        <f>IFERROR(__xludf.DUMMYFUNCTION("""COMPUTED_VALUE"""),"880")</f>
        <v>880</v>
      </c>
      <c r="C950" s="15" t="str">
        <f>IFERROR(__xludf.DUMMYFUNCTION("""COMPUTED_VALUE"""),"Not ranking")</f>
        <v>Not ranking</v>
      </c>
      <c r="D950" s="15" t="str">
        <f>IFERROR(__xludf.DUMMYFUNCTION("""COMPUTED_VALUE"""),"30")</f>
        <v>30</v>
      </c>
      <c r="E950" s="15" t="str">
        <f>IFERROR(__xludf.DUMMYFUNCTION("""COMPUTED_VALUE"""),"Not ranking")</f>
        <v>Not ranking</v>
      </c>
      <c r="F950" s="18" t="str">
        <f>IFERROR(__xludf.DUMMYFUNCTION("""COMPUTED_VALUE"""),"Not ranking")</f>
        <v>Not ranking</v>
      </c>
      <c r="G950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950" s="18" t="str">
        <f>IFERROR(__xludf.DUMMYFUNCTION("""COMPUTED_VALUE"""),"Not ranking")</f>
        <v>Not ranking</v>
      </c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5" t="str">
        <f>IFERROR(__xludf.DUMMYFUNCTION("""COMPUTED_VALUE"""),"deer shedding velvet painful")</f>
        <v>deer shedding velvet painful</v>
      </c>
      <c r="B951" s="15" t="str">
        <f>IFERROR(__xludf.DUMMYFUNCTION("""COMPUTED_VALUE"""),"880")</f>
        <v>880</v>
      </c>
      <c r="C951" s="15" t="str">
        <f>IFERROR(__xludf.DUMMYFUNCTION("""COMPUTED_VALUE"""),"Not ranking")</f>
        <v>Not ranking</v>
      </c>
      <c r="D951" s="15" t="str">
        <f>IFERROR(__xludf.DUMMYFUNCTION("""COMPUTED_VALUE"""),"22")</f>
        <v>22</v>
      </c>
      <c r="E951" s="15" t="str">
        <f>IFERROR(__xludf.DUMMYFUNCTION("""COMPUTED_VALUE"""),"4")</f>
        <v>4</v>
      </c>
      <c r="F951" s="18" t="str">
        <f>IFERROR(__xludf.DUMMYFUNCTION("""COMPUTED_VALUE"""),"Not ranking")</f>
        <v>Not ranking</v>
      </c>
      <c r="G951" s="17" t="str">
        <f>IFERROR(__xludf.DUMMYFUNCTION("""COMPUTED_VALUE"""),"https://realtree.com/deer-hunting/articles/10-things-you-didn-t-know-about-velvet-bucks")</f>
        <v>https://realtree.com/deer-hunting/articles/10-things-you-didn-t-know-about-velvet-bucks</v>
      </c>
      <c r="H951" s="17" t="str">
        <f>IFERROR(__xludf.DUMMYFUNCTION("""COMPUTED_VALUE"""),"https://www.wideopenspaces.com/10-awesome-photos-of-deer-shedding-their-velvet-pics/")</f>
        <v>https://www.wideopenspaces.com/10-awesome-photos-of-deer-shedding-their-velvet-pics/</v>
      </c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5" t="str">
        <f>IFERROR(__xludf.DUMMYFUNCTION("""COMPUTED_VALUE"""),"deer tags in missouri")</f>
        <v>deer tags in missouri</v>
      </c>
      <c r="B952" s="15" t="str">
        <f>IFERROR(__xludf.DUMMYFUNCTION("""COMPUTED_VALUE"""),"880")</f>
        <v>880</v>
      </c>
      <c r="C952" s="15" t="str">
        <f>IFERROR(__xludf.DUMMYFUNCTION("""COMPUTED_VALUE"""),"Not ranking")</f>
        <v>Not ranking</v>
      </c>
      <c r="D952" s="15" t="str">
        <f>IFERROR(__xludf.DUMMYFUNCTION("""COMPUTED_VALUE"""),"Not ranking")</f>
        <v>Not ranking</v>
      </c>
      <c r="E952" s="15" t="str">
        <f>IFERROR(__xludf.DUMMYFUNCTION("""COMPUTED_VALUE"""),"98")</f>
        <v>98</v>
      </c>
      <c r="F952" s="18" t="str">
        <f>IFERROR(__xludf.DUMMYFUNCTION("""COMPUTED_VALUE"""),"Not ranking")</f>
        <v>Not ranking</v>
      </c>
      <c r="G952" s="18" t="str">
        <f>IFERROR(__xludf.DUMMYFUNCTION("""COMPUTED_VALUE"""),"Not ranking")</f>
        <v>Not ranking</v>
      </c>
      <c r="H952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5" t="str">
        <f>IFERROR(__xludf.DUMMYFUNCTION("""COMPUTED_VALUE"""),"deer with fibromas")</f>
        <v>deer with fibromas</v>
      </c>
      <c r="B953" s="15" t="str">
        <f>IFERROR(__xludf.DUMMYFUNCTION("""COMPUTED_VALUE"""),"880")</f>
        <v>880</v>
      </c>
      <c r="C953" s="15" t="str">
        <f>IFERROR(__xludf.DUMMYFUNCTION("""COMPUTED_VALUE"""),"Not ranking")</f>
        <v>Not ranking</v>
      </c>
      <c r="D953" s="15" t="str">
        <f>IFERROR(__xludf.DUMMYFUNCTION("""COMPUTED_VALUE"""),"Not ranking")</f>
        <v>Not ranking</v>
      </c>
      <c r="E953" s="15" t="str">
        <f>IFERROR(__xludf.DUMMYFUNCTION("""COMPUTED_VALUE"""),"37")</f>
        <v>37</v>
      </c>
      <c r="F953" s="18" t="str">
        <f>IFERROR(__xludf.DUMMYFUNCTION("""COMPUTED_VALUE"""),"Not ranking")</f>
        <v>Not ranking</v>
      </c>
      <c r="G953" s="18" t="str">
        <f>IFERROR(__xludf.DUMMYFUNCTION("""COMPUTED_VALUE"""),"Not ranking")</f>
        <v>Not ranking</v>
      </c>
      <c r="H953" s="17" t="str">
        <f>IFERROR(__xludf.DUMMYFUNCTION("""COMPUTED_VALUE"""),"https://www.wideopenspaces.com/deer-warts/")</f>
        <v>https://www.wideopenspaces.com/deer-warts/</v>
      </c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5" t="str">
        <f>IFERROR(__xludf.DUMMYFUNCTION("""COMPUTED_VALUE"""),"deer young")</f>
        <v>deer young</v>
      </c>
      <c r="B954" s="15" t="str">
        <f>IFERROR(__xludf.DUMMYFUNCTION("""COMPUTED_VALUE"""),"880")</f>
        <v>880</v>
      </c>
      <c r="C954" s="15" t="str">
        <f>IFERROR(__xludf.DUMMYFUNCTION("""COMPUTED_VALUE"""),"Not ranking")</f>
        <v>Not ranking</v>
      </c>
      <c r="D954" s="15" t="str">
        <f>IFERROR(__xludf.DUMMYFUNCTION("""COMPUTED_VALUE"""),"98")</f>
        <v>98</v>
      </c>
      <c r="E954" s="15" t="str">
        <f>IFERROR(__xludf.DUMMYFUNCTION("""COMPUTED_VALUE"""),"Not ranking")</f>
        <v>Not ranking</v>
      </c>
      <c r="F954" s="18" t="str">
        <f>IFERROR(__xludf.DUMMYFUNCTION("""COMPUTED_VALUE"""),"Not ranking")</f>
        <v>Not ranking</v>
      </c>
      <c r="G954" s="17" t="str">
        <f>IFERROR(__xludf.DUMMYFUNCTION("""COMPUTED_VALUE"""),"https://realtree.com/deer-hunting/articles/top-10-pope-young-deer-hunting-states")</f>
        <v>https://realtree.com/deer-hunting/articles/top-10-pope-young-deer-hunting-states</v>
      </c>
      <c r="H954" s="18" t="str">
        <f>IFERROR(__xludf.DUMMYFUNCTION("""COMPUTED_VALUE"""),"Not ranking")</f>
        <v>Not ranking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5" t="str">
        <f>IFERROR(__xludf.DUMMYFUNCTION("""COMPUTED_VALUE"""),"delaware deer season")</f>
        <v>delaware deer season</v>
      </c>
      <c r="B955" s="15" t="str">
        <f>IFERROR(__xludf.DUMMYFUNCTION("""COMPUTED_VALUE"""),"880")</f>
        <v>880</v>
      </c>
      <c r="C955" s="15" t="str">
        <f>IFERROR(__xludf.DUMMYFUNCTION("""COMPUTED_VALUE"""),"Not ranking")</f>
        <v>Not ranking</v>
      </c>
      <c r="D955" s="15" t="str">
        <f>IFERROR(__xludf.DUMMYFUNCTION("""COMPUTED_VALUE"""),"68")</f>
        <v>68</v>
      </c>
      <c r="E955" s="15" t="str">
        <f>IFERROR(__xludf.DUMMYFUNCTION("""COMPUTED_VALUE"""),"Not ranking")</f>
        <v>Not ranking</v>
      </c>
      <c r="F955" s="18" t="str">
        <f>IFERROR(__xludf.DUMMYFUNCTION("""COMPUTED_VALUE"""),"Not ranking")</f>
        <v>Not ranking</v>
      </c>
      <c r="G955" s="17" t="str">
        <f>IFERROR(__xludf.DUMMYFUNCTION("""COMPUTED_VALUE"""),"https://realtree.com/")</f>
        <v>https://realtree.com/</v>
      </c>
      <c r="H955" s="18" t="str">
        <f>IFERROR(__xludf.DUMMYFUNCTION("""COMPUTED_VALUE"""),"Not ranking")</f>
        <v>Not ranking</v>
      </c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5" t="str">
        <f>IFERROR(__xludf.DUMMYFUNCTION("""COMPUTED_VALUE"""),"does deer eat sunflowers")</f>
        <v>does deer eat sunflowers</v>
      </c>
      <c r="B956" s="15" t="str">
        <f>IFERROR(__xludf.DUMMYFUNCTION("""COMPUTED_VALUE"""),"880")</f>
        <v>880</v>
      </c>
      <c r="C956" s="15" t="str">
        <f>IFERROR(__xludf.DUMMYFUNCTION("""COMPUTED_VALUE"""),"Not ranking")</f>
        <v>Not ranking</v>
      </c>
      <c r="D956" s="15" t="str">
        <f>IFERROR(__xludf.DUMMYFUNCTION("""COMPUTED_VALUE"""),"37")</f>
        <v>37</v>
      </c>
      <c r="E956" s="15" t="str">
        <f>IFERROR(__xludf.DUMMYFUNCTION("""COMPUTED_VALUE"""),"Not ranking")</f>
        <v>Not ranking</v>
      </c>
      <c r="F956" s="18" t="str">
        <f>IFERROR(__xludf.DUMMYFUNCTION("""COMPUTED_VALUE"""),"Not ranking")</f>
        <v>Not ranking</v>
      </c>
      <c r="G956" s="17" t="str">
        <f>IFERROR(__xludf.DUMMYFUNCTION("""COMPUTED_VALUE"""),"https://realtree.com/food-plots-and-land-management/articles/food-plot-seed-how-to-plant-sunflowers")</f>
        <v>https://realtree.com/food-plots-and-land-management/articles/food-plot-seed-how-to-plant-sunflowers</v>
      </c>
      <c r="H956" s="18" t="str">
        <f>IFERROR(__xludf.DUMMYFUNCTION("""COMPUTED_VALUE"""),"Not ranking")</f>
        <v>Not ranking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5" t="str">
        <f>IFERROR(__xludf.DUMMYFUNCTION("""COMPUTED_VALUE"""),"drop tine deer")</f>
        <v>drop tine deer</v>
      </c>
      <c r="B957" s="15" t="str">
        <f>IFERROR(__xludf.DUMMYFUNCTION("""COMPUTED_VALUE"""),"880")</f>
        <v>880</v>
      </c>
      <c r="C957" s="15" t="str">
        <f>IFERROR(__xludf.DUMMYFUNCTION("""COMPUTED_VALUE"""),"Not ranking")</f>
        <v>Not ranking</v>
      </c>
      <c r="D957" s="15" t="str">
        <f>IFERROR(__xludf.DUMMYFUNCTION("""COMPUTED_VALUE"""),"2")</f>
        <v>2</v>
      </c>
      <c r="E957" s="15" t="str">
        <f>IFERROR(__xludf.DUMMYFUNCTION("""COMPUTED_VALUE"""),"13")</f>
        <v>13</v>
      </c>
      <c r="F957" s="18" t="str">
        <f>IFERROR(__xludf.DUMMYFUNCTION("""COMPUTED_VALUE"""),"Not ranking")</f>
        <v>Not ranking</v>
      </c>
      <c r="G957" s="17" t="str">
        <f>IFERROR(__xludf.DUMMYFUNCTION("""COMPUTED_VALUE"""),"https://realtree.com/deer-hunting/articles/deer-hunting-a-quest-for-a-drop-tine-buck")</f>
        <v>https://realtree.com/deer-hunting/articles/deer-hunting-a-quest-for-a-drop-tine-buck</v>
      </c>
      <c r="H957" s="17" t="str">
        <f>IFERROR(__xludf.DUMMYFUNCTION("""COMPUTED_VALUE"""),"https://www.wideopenspaces.com/whitetailwednesday-check-out-8-of-the-coolest-drop-tine-bucks-ever/")</f>
        <v>https://www.wideopenspaces.com/whitetailwednesday-check-out-8-of-the-coolest-drop-tine-bucks-ever/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5" t="str">
        <f>IFERROR(__xludf.DUMMYFUNCTION("""COMPUTED_VALUE"""),"elevated deer blinds")</f>
        <v>elevated deer blinds</v>
      </c>
      <c r="B958" s="15" t="str">
        <f>IFERROR(__xludf.DUMMYFUNCTION("""COMPUTED_VALUE"""),"880")</f>
        <v>880</v>
      </c>
      <c r="C958" s="15" t="str">
        <f>IFERROR(__xludf.DUMMYFUNCTION("""COMPUTED_VALUE"""),"Not ranking")</f>
        <v>Not ranking</v>
      </c>
      <c r="D958" s="15" t="str">
        <f>IFERROR(__xludf.DUMMYFUNCTION("""COMPUTED_VALUE"""),"Not ranking")</f>
        <v>Not ranking</v>
      </c>
      <c r="E958" s="15" t="str">
        <f>IFERROR(__xludf.DUMMYFUNCTION("""COMPUTED_VALUE"""),"29")</f>
        <v>29</v>
      </c>
      <c r="F958" s="18" t="str">
        <f>IFERROR(__xludf.DUMMYFUNCTION("""COMPUTED_VALUE"""),"Not ranking")</f>
        <v>Not ranking</v>
      </c>
      <c r="G958" s="18" t="str">
        <f>IFERROR(__xludf.DUMMYFUNCTION("""COMPUTED_VALUE"""),"Not ranking")</f>
        <v>Not ranking</v>
      </c>
      <c r="H958" s="17" t="str">
        <f>IFERROR(__xludf.DUMMYFUNCTION("""COMPUTED_VALUE"""),"https://www.wideopenspaces.com/elevated-hunting-blind/")</f>
        <v>https://www.wideopenspaces.com/elevated-hunting-blind/</v>
      </c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5" t="str">
        <f>IFERROR(__xludf.DUMMYFUNCTION("""COMPUTED_VALUE"""),"gestation deer")</f>
        <v>gestation deer</v>
      </c>
      <c r="B959" s="15" t="str">
        <f>IFERROR(__xludf.DUMMYFUNCTION("""COMPUTED_VALUE"""),"880")</f>
        <v>880</v>
      </c>
      <c r="C959" s="15" t="str">
        <f>IFERROR(__xludf.DUMMYFUNCTION("""COMPUTED_VALUE"""),"Not ranking")</f>
        <v>Not ranking</v>
      </c>
      <c r="D959" s="15" t="str">
        <f>IFERROR(__xludf.DUMMYFUNCTION("""COMPUTED_VALUE"""),"Not ranking")</f>
        <v>Not ranking</v>
      </c>
      <c r="E959" s="15" t="str">
        <f>IFERROR(__xludf.DUMMYFUNCTION("""COMPUTED_VALUE"""),"6")</f>
        <v>6</v>
      </c>
      <c r="F959" s="18" t="str">
        <f>IFERROR(__xludf.DUMMYFUNCTION("""COMPUTED_VALUE"""),"Not ranking")</f>
        <v>Not ranking</v>
      </c>
      <c r="G959" s="18" t="str">
        <f>IFERROR(__xludf.DUMMYFUNCTION("""COMPUTED_VALUE"""),"Not ranking")</f>
        <v>Not ranking</v>
      </c>
      <c r="H959" s="17" t="str">
        <f>IFERROR(__xludf.DUMMYFUNCTION("""COMPUTED_VALUE"""),"https://www.wideopenspaces.com/whitetail-deer-gestation-period/")</f>
        <v>https://www.wideopenspaces.com/whitetail-deer-gestation-period/</v>
      </c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5" t="str">
        <f>IFERROR(__xludf.DUMMYFUNCTION("""COMPUTED_VALUE"""),"illinois deer hunting season")</f>
        <v>illinois deer hunting season</v>
      </c>
      <c r="B960" s="15" t="str">
        <f>IFERROR(__xludf.DUMMYFUNCTION("""COMPUTED_VALUE"""),"880")</f>
        <v>880</v>
      </c>
      <c r="C960" s="15" t="str">
        <f>IFERROR(__xludf.DUMMYFUNCTION("""COMPUTED_VALUE"""),"Not ranking")</f>
        <v>Not ranking</v>
      </c>
      <c r="D960" s="15" t="str">
        <f>IFERROR(__xludf.DUMMYFUNCTION("""COMPUTED_VALUE"""),"Not ranking")</f>
        <v>Not ranking</v>
      </c>
      <c r="E960" s="15" t="str">
        <f>IFERROR(__xludf.DUMMYFUNCTION("""COMPUTED_VALUE"""),"75")</f>
        <v>75</v>
      </c>
      <c r="F960" s="18" t="str">
        <f>IFERROR(__xludf.DUMMYFUNCTION("""COMPUTED_VALUE"""),"Not ranking")</f>
        <v>Not ranking</v>
      </c>
      <c r="G960" s="18" t="str">
        <f>IFERROR(__xludf.DUMMYFUNCTION("""COMPUTED_VALUE"""),"Not ranking")</f>
        <v>Not ranking</v>
      </c>
      <c r="H960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5" t="str">
        <f>IFERROR(__xludf.DUMMYFUNCTION("""COMPUTED_VALUE"""),"images of deer")</f>
        <v>images of deer</v>
      </c>
      <c r="B961" s="15" t="str">
        <f>IFERROR(__xludf.DUMMYFUNCTION("""COMPUTED_VALUE"""),"880")</f>
        <v>880</v>
      </c>
      <c r="C961" s="15" t="str">
        <f>IFERROR(__xludf.DUMMYFUNCTION("""COMPUTED_VALUE"""),"Not ranking")</f>
        <v>Not ranking</v>
      </c>
      <c r="D961" s="15" t="str">
        <f>IFERROR(__xludf.DUMMYFUNCTION("""COMPUTED_VALUE"""),"32")</f>
        <v>32</v>
      </c>
      <c r="E961" s="15" t="str">
        <f>IFERROR(__xludf.DUMMYFUNCTION("""COMPUTED_VALUE"""),"Not ranking")</f>
        <v>Not ranking</v>
      </c>
      <c r="F961" s="18" t="str">
        <f>IFERROR(__xludf.DUMMYFUNCTION("""COMPUTED_VALUE"""),"Not ranking")</f>
        <v>Not ranking</v>
      </c>
      <c r="G961" s="17" t="str">
        <f>IFERROR(__xludf.DUMMYFUNCTION("""COMPUTED_VALUE"""),"https://realtree.com/deer-hunting/articles/10-tips-for-great-deer-pictures")</f>
        <v>https://realtree.com/deer-hunting/articles/10-tips-for-great-deer-pictures</v>
      </c>
      <c r="H961" s="18" t="str">
        <f>IFERROR(__xludf.DUMMYFUNCTION("""COMPUTED_VALUE"""),"Not ranking")</f>
        <v>Not ranking</v>
      </c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5" t="str">
        <f>IFERROR(__xludf.DUMMYFUNCTION("""COMPUTED_VALUE"""),"indiana deer hunting season")</f>
        <v>indiana deer hunting season</v>
      </c>
      <c r="B962" s="15" t="str">
        <f>IFERROR(__xludf.DUMMYFUNCTION("""COMPUTED_VALUE"""),"880")</f>
        <v>880</v>
      </c>
      <c r="C962" s="15" t="str">
        <f>IFERROR(__xludf.DUMMYFUNCTION("""COMPUTED_VALUE"""),"Not ranking")</f>
        <v>Not ranking</v>
      </c>
      <c r="D962" s="15" t="str">
        <f>IFERROR(__xludf.DUMMYFUNCTION("""COMPUTED_VALUE"""),"Not ranking")</f>
        <v>Not ranking</v>
      </c>
      <c r="E962" s="15" t="str">
        <f>IFERROR(__xludf.DUMMYFUNCTION("""COMPUTED_VALUE"""),"73")</f>
        <v>73</v>
      </c>
      <c r="F962" s="18" t="str">
        <f>IFERROR(__xludf.DUMMYFUNCTION("""COMPUTED_VALUE"""),"Not ranking")</f>
        <v>Not ranking</v>
      </c>
      <c r="G962" s="18" t="str">
        <f>IFERROR(__xludf.DUMMYFUNCTION("""COMPUTED_VALUE"""),"Not ranking")</f>
        <v>Not ranking</v>
      </c>
      <c r="H962" s="17" t="str">
        <f>IFERROR(__xludf.DUMMYFUNCTION("""COMPUTED_VALUE"""),"https://www.wideopenspaces.com/indiana-shotgun-deer-season/")</f>
        <v>https://www.wideopenspaces.com/indiana-shotgun-deer-season/</v>
      </c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5" t="str">
        <f>IFERROR(__xludf.DUMMYFUNCTION("""COMPUTED_VALUE"""),"indiana youth deer season 2022")</f>
        <v>indiana youth deer season 2022</v>
      </c>
      <c r="B963" s="15" t="str">
        <f>IFERROR(__xludf.DUMMYFUNCTION("""COMPUTED_VALUE"""),"880")</f>
        <v>880</v>
      </c>
      <c r="C963" s="15" t="str">
        <f>IFERROR(__xludf.DUMMYFUNCTION("""COMPUTED_VALUE"""),"Not ranking")</f>
        <v>Not ranking</v>
      </c>
      <c r="D963" s="15" t="str">
        <f>IFERROR(__xludf.DUMMYFUNCTION("""COMPUTED_VALUE"""),"Not ranking")</f>
        <v>Not ranking</v>
      </c>
      <c r="E963" s="15" t="str">
        <f>IFERROR(__xludf.DUMMYFUNCTION("""COMPUTED_VALUE"""),"31")</f>
        <v>31</v>
      </c>
      <c r="F963" s="18" t="str">
        <f>IFERROR(__xludf.DUMMYFUNCTION("""COMPUTED_VALUE"""),"Not ranking")</f>
        <v>Not ranking</v>
      </c>
      <c r="G963" s="18" t="str">
        <f>IFERROR(__xludf.DUMMYFUNCTION("""COMPUTED_VALUE"""),"Not ranking")</f>
        <v>Not ranking</v>
      </c>
      <c r="H963" s="17" t="str">
        <f>IFERROR(__xludf.DUMMYFUNCTION("""COMPUTED_VALUE"""),"https://www.wideopenspaces.com/indiana-hunting-license/")</f>
        <v>https://www.wideopenspaces.com/indiana-hunting-license/</v>
      </c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5" t="str">
        <f>IFERROR(__xludf.DUMMYFUNCTION("""COMPUTED_VALUE"""),"kentucky deer hunting")</f>
        <v>kentucky deer hunting</v>
      </c>
      <c r="B964" s="15" t="str">
        <f>IFERROR(__xludf.DUMMYFUNCTION("""COMPUTED_VALUE"""),"880")</f>
        <v>880</v>
      </c>
      <c r="C964" s="15" t="str">
        <f>IFERROR(__xludf.DUMMYFUNCTION("""COMPUTED_VALUE"""),"Not ranking")</f>
        <v>Not ranking</v>
      </c>
      <c r="D964" s="15" t="str">
        <f>IFERROR(__xludf.DUMMYFUNCTION("""COMPUTED_VALUE"""),"40")</f>
        <v>40</v>
      </c>
      <c r="E964" s="15" t="str">
        <f>IFERROR(__xludf.DUMMYFUNCTION("""COMPUTED_VALUE"""),"Not ranking")</f>
        <v>Not ranking</v>
      </c>
      <c r="F964" s="18" t="str">
        <f>IFERROR(__xludf.DUMMYFUNCTION("""COMPUTED_VALUE"""),"Not ranking")</f>
        <v>Not ranking</v>
      </c>
      <c r="G964" s="17" t="str">
        <f>IFERROR(__xludf.DUMMYFUNCTION("""COMPUTED_VALUE"""),"https://realtree.com/brow-tines-and-backstrap/kentucky-proposes-massive-changes-to-deer-hunting-seasons-and-regulations")</f>
        <v>https://realtree.com/brow-tines-and-backstrap/kentucky-proposes-massive-changes-to-deer-hunting-seasons-and-regulations</v>
      </c>
      <c r="H964" s="18" t="str">
        <f>IFERROR(__xludf.DUMMYFUNCTION("""COMPUTED_VALUE"""),"Not ranking")</f>
        <v>Not ranking</v>
      </c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5" t="str">
        <f>IFERROR(__xludf.DUMMYFUNCTION("""COMPUTED_VALUE"""),"komodo dragon eats deer")</f>
        <v>komodo dragon eats deer</v>
      </c>
      <c r="B965" s="15" t="str">
        <f>IFERROR(__xludf.DUMMYFUNCTION("""COMPUTED_VALUE"""),"880")</f>
        <v>880</v>
      </c>
      <c r="C965" s="15" t="str">
        <f>IFERROR(__xludf.DUMMYFUNCTION("""COMPUTED_VALUE"""),"Not ranking")</f>
        <v>Not ranking</v>
      </c>
      <c r="D965" s="15" t="str">
        <f>IFERROR(__xludf.DUMMYFUNCTION("""COMPUTED_VALUE"""),"Not ranking")</f>
        <v>Not ranking</v>
      </c>
      <c r="E965" s="15" t="str">
        <f>IFERROR(__xludf.DUMMYFUNCTION("""COMPUTED_VALUE"""),"36")</f>
        <v>36</v>
      </c>
      <c r="F965" s="18" t="str">
        <f>IFERROR(__xludf.DUMMYFUNCTION("""COMPUTED_VALUE"""),"Not ranking")</f>
        <v>Not ranking</v>
      </c>
      <c r="G965" s="18" t="str">
        <f>IFERROR(__xludf.DUMMYFUNCTION("""COMPUTED_VALUE"""),"Not ranking")</f>
        <v>Not ranking</v>
      </c>
      <c r="H965" s="17" t="str">
        <f>IFERROR(__xludf.DUMMYFUNCTION("""COMPUTED_VALUE"""),"https://www.wideopenspaces.com/komodo-dragon-hunts-kills-deer-brutal-footage/")</f>
        <v>https://www.wideopenspaces.com/komodo-dragon-hunts-kills-deer-brutal-footage/</v>
      </c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5" t="str">
        <f>IFERROR(__xludf.DUMMYFUNCTION("""COMPUTED_VALUE"""),"maryland deer season")</f>
        <v>maryland deer season</v>
      </c>
      <c r="B966" s="15" t="str">
        <f>IFERROR(__xludf.DUMMYFUNCTION("""COMPUTED_VALUE"""),"880")</f>
        <v>880</v>
      </c>
      <c r="C966" s="15" t="str">
        <f>IFERROR(__xludf.DUMMYFUNCTION("""COMPUTED_VALUE"""),"Not ranking")</f>
        <v>Not ranking</v>
      </c>
      <c r="D966" s="15" t="str">
        <f>IFERROR(__xludf.DUMMYFUNCTION("""COMPUTED_VALUE"""),"Not ranking")</f>
        <v>Not ranking</v>
      </c>
      <c r="E966" s="15" t="str">
        <f>IFERROR(__xludf.DUMMYFUNCTION("""COMPUTED_VALUE"""),"50")</f>
        <v>50</v>
      </c>
      <c r="F966" s="18" t="str">
        <f>IFERROR(__xludf.DUMMYFUNCTION("""COMPUTED_VALUE"""),"Not ranking")</f>
        <v>Not ranking</v>
      </c>
      <c r="G966" s="18" t="str">
        <f>IFERROR(__xludf.DUMMYFUNCTION("""COMPUTED_VALUE"""),"Not ranking")</f>
        <v>Not ranking</v>
      </c>
      <c r="H966" s="17" t="str">
        <f>IFERROR(__xludf.DUMMYFUNCTION("""COMPUTED_VALUE"""),"https://www.wideopenspaces.com/maryland-sika-deer-hunting/")</f>
        <v>https://www.wideopenspaces.com/maryland-sika-deer-hunting/</v>
      </c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5" t="str">
        <f>IFERROR(__xludf.DUMMYFUNCTION("""COMPUTED_VALUE"""),"michigan deer reporting")</f>
        <v>michigan deer reporting</v>
      </c>
      <c r="B967" s="15" t="str">
        <f>IFERROR(__xludf.DUMMYFUNCTION("""COMPUTED_VALUE"""),"880")</f>
        <v>880</v>
      </c>
      <c r="C967" s="15" t="str">
        <f>IFERROR(__xludf.DUMMYFUNCTION("""COMPUTED_VALUE"""),"Not ranking")</f>
        <v>Not ranking</v>
      </c>
      <c r="D967" s="15" t="str">
        <f>IFERROR(__xludf.DUMMYFUNCTION("""COMPUTED_VALUE"""),"Not ranking")</f>
        <v>Not ranking</v>
      </c>
      <c r="E967" s="15" t="str">
        <f>IFERROR(__xludf.DUMMYFUNCTION("""COMPUTED_VALUE"""),"20")</f>
        <v>20</v>
      </c>
      <c r="F967" s="18" t="str">
        <f>IFERROR(__xludf.DUMMYFUNCTION("""COMPUTED_VALUE"""),"Not ranking")</f>
        <v>Not ranking</v>
      </c>
      <c r="G967" s="18" t="str">
        <f>IFERROR(__xludf.DUMMYFUNCTION("""COMPUTED_VALUE"""),"Not ranking")</f>
        <v>Not ranking</v>
      </c>
      <c r="H967" s="17" t="str">
        <f>IFERROR(__xludf.DUMMYFUNCTION("""COMPUTED_VALUE"""),"https://www.wideopenspaces.com/michigan-deer-reporting/")</f>
        <v>https://www.wideopenspaces.com/michigan-deer-reporting/</v>
      </c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5" t="str">
        <f>IFERROR(__xludf.DUMMYFUNCTION("""COMPUTED_VALUE"""),"michigan hunting seasons deer")</f>
        <v>michigan hunting seasons deer</v>
      </c>
      <c r="B968" s="15" t="str">
        <f>IFERROR(__xludf.DUMMYFUNCTION("""COMPUTED_VALUE"""),"880")</f>
        <v>880</v>
      </c>
      <c r="C968" s="15" t="str">
        <f>IFERROR(__xludf.DUMMYFUNCTION("""COMPUTED_VALUE"""),"Not ranking")</f>
        <v>Not ranking</v>
      </c>
      <c r="D968" s="15" t="str">
        <f>IFERROR(__xludf.DUMMYFUNCTION("""COMPUTED_VALUE"""),"Not ranking")</f>
        <v>Not ranking</v>
      </c>
      <c r="E968" s="15" t="str">
        <f>IFERROR(__xludf.DUMMYFUNCTION("""COMPUTED_VALUE"""),"58")</f>
        <v>58</v>
      </c>
      <c r="F968" s="18" t="str">
        <f>IFERROR(__xludf.DUMMYFUNCTION("""COMPUTED_VALUE"""),"Not ranking")</f>
        <v>Not ranking</v>
      </c>
      <c r="G968" s="18" t="str">
        <f>IFERROR(__xludf.DUMMYFUNCTION("""COMPUTED_VALUE"""),"Not ranking")</f>
        <v>Not ranking</v>
      </c>
      <c r="H968" s="17" t="str">
        <f>IFERROR(__xludf.DUMMYFUNCTION("""COMPUTED_VALUE"""),"https://www.wideopenspaces.com/michigan-late-doe-season/")</f>
        <v>https://www.wideopenspaces.com/michigan-late-doe-season/</v>
      </c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5" t="str">
        <f>IFERROR(__xludf.DUMMYFUNCTION("""COMPUTED_VALUE"""),"mississippi deer season 2022")</f>
        <v>mississippi deer season 2022</v>
      </c>
      <c r="B969" s="15" t="str">
        <f>IFERROR(__xludf.DUMMYFUNCTION("""COMPUTED_VALUE"""),"880")</f>
        <v>880</v>
      </c>
      <c r="C969" s="15" t="str">
        <f>IFERROR(__xludf.DUMMYFUNCTION("""COMPUTED_VALUE"""),"Not ranking")</f>
        <v>Not ranking</v>
      </c>
      <c r="D969" s="15" t="str">
        <f>IFERROR(__xludf.DUMMYFUNCTION("""COMPUTED_VALUE"""),"41")</f>
        <v>41</v>
      </c>
      <c r="E969" s="15" t="str">
        <f>IFERROR(__xludf.DUMMYFUNCTION("""COMPUTED_VALUE"""),"Not ranking")</f>
        <v>Not ranking</v>
      </c>
      <c r="F969" s="18" t="str">
        <f>IFERROR(__xludf.DUMMYFUNCTION("""COMPUTED_VALUE"""),"Not ranking")</f>
        <v>Not ranking</v>
      </c>
      <c r="G969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969" s="18" t="str">
        <f>IFERROR(__xludf.DUMMYFUNCTION("""COMPUTED_VALUE"""),"Not ranking")</f>
        <v>Not ranking</v>
      </c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5" t="str">
        <f>IFERROR(__xludf.DUMMYFUNCTION("""COMPUTED_VALUE"""),"missouri deer tags")</f>
        <v>missouri deer tags</v>
      </c>
      <c r="B970" s="15" t="str">
        <f>IFERROR(__xludf.DUMMYFUNCTION("""COMPUTED_VALUE"""),"880")</f>
        <v>880</v>
      </c>
      <c r="C970" s="15" t="str">
        <f>IFERROR(__xludf.DUMMYFUNCTION("""COMPUTED_VALUE"""),"Not ranking")</f>
        <v>Not ranking</v>
      </c>
      <c r="D970" s="15" t="str">
        <f>IFERROR(__xludf.DUMMYFUNCTION("""COMPUTED_VALUE"""),"91")</f>
        <v>91</v>
      </c>
      <c r="E970" s="15" t="str">
        <f>IFERROR(__xludf.DUMMYFUNCTION("""COMPUTED_VALUE"""),"Not ranking")</f>
        <v>Not ranking</v>
      </c>
      <c r="F970" s="18" t="str">
        <f>IFERROR(__xludf.DUMMYFUNCTION("""COMPUTED_VALUE"""),"Not ranking")</f>
        <v>Not ranking</v>
      </c>
      <c r="G970" s="17" t="str">
        <f>IFERROR(__xludf.DUMMYFUNCTION("""COMPUTED_VALUE"""),"https://realtree.com/deer-hunting/articles/3-top-states-for-diy-big-buck-hunters")</f>
        <v>https://realtree.com/deer-hunting/articles/3-top-states-for-diy-big-buck-hunters</v>
      </c>
      <c r="H970" s="18" t="str">
        <f>IFERROR(__xludf.DUMMYFUNCTION("""COMPUTED_VALUE"""),"Not ranking")</f>
        <v>Not ranking</v>
      </c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5" t="str">
        <f>IFERROR(__xludf.DUMMYFUNCTION("""COMPUTED_VALUE"""),"mn deer registration")</f>
        <v>mn deer registration</v>
      </c>
      <c r="B971" s="15" t="str">
        <f>IFERROR(__xludf.DUMMYFUNCTION("""COMPUTED_VALUE"""),"880")</f>
        <v>880</v>
      </c>
      <c r="C971" s="15" t="str">
        <f>IFERROR(__xludf.DUMMYFUNCTION("""COMPUTED_VALUE"""),"Not ranking")</f>
        <v>Not ranking</v>
      </c>
      <c r="D971" s="15" t="str">
        <f>IFERROR(__xludf.DUMMYFUNCTION("""COMPUTED_VALUE"""),"Not ranking")</f>
        <v>Not ranking</v>
      </c>
      <c r="E971" s="15" t="str">
        <f>IFERROR(__xludf.DUMMYFUNCTION("""COMPUTED_VALUE"""),"58")</f>
        <v>58</v>
      </c>
      <c r="F971" s="18" t="str">
        <f>IFERROR(__xludf.DUMMYFUNCTION("""COMPUTED_VALUE"""),"Not ranking")</f>
        <v>Not ranking</v>
      </c>
      <c r="G971" s="18" t="str">
        <f>IFERROR(__xludf.DUMMYFUNCTION("""COMPUTED_VALUE"""),"Not ranking")</f>
        <v>Not ranking</v>
      </c>
      <c r="H971" s="17" t="str">
        <f>IFERROR(__xludf.DUMMYFUNCTION("""COMPUTED_VALUE"""),"https://www.wideopenspaces.com/minnesota-deer-hunting/")</f>
        <v>https://www.wideopenspaces.com/minnesota-deer-hunting/</v>
      </c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5" t="str">
        <f>IFERROR(__xludf.DUMMYFUNCTION("""COMPUTED_VALUE"""),"mn youth deer hunt 2022")</f>
        <v>mn youth deer hunt 2022</v>
      </c>
      <c r="B972" s="15" t="str">
        <f>IFERROR(__xludf.DUMMYFUNCTION("""COMPUTED_VALUE"""),"880")</f>
        <v>880</v>
      </c>
      <c r="C972" s="15" t="str">
        <f>IFERROR(__xludf.DUMMYFUNCTION("""COMPUTED_VALUE"""),"Not ranking")</f>
        <v>Not ranking</v>
      </c>
      <c r="D972" s="15" t="str">
        <f>IFERROR(__xludf.DUMMYFUNCTION("""COMPUTED_VALUE"""),"Not ranking")</f>
        <v>Not ranking</v>
      </c>
      <c r="E972" s="15" t="str">
        <f>IFERROR(__xludf.DUMMYFUNCTION("""COMPUTED_VALUE"""),"57")</f>
        <v>57</v>
      </c>
      <c r="F972" s="18" t="str">
        <f>IFERROR(__xludf.DUMMYFUNCTION("""COMPUTED_VALUE"""),"Not ranking")</f>
        <v>Not ranking</v>
      </c>
      <c r="G972" s="18" t="str">
        <f>IFERROR(__xludf.DUMMYFUNCTION("""COMPUTED_VALUE"""),"Not ranking")</f>
        <v>Not ranking</v>
      </c>
      <c r="H972" s="17" t="str">
        <f>IFERROR(__xludf.DUMMYFUNCTION("""COMPUTED_VALUE"""),"https://www.wideopenspaces.com/mn-deer-hunting-zones/")</f>
        <v>https://www.wideopenspaces.com/mn-deer-hunting-zones/</v>
      </c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5" t="str">
        <f>IFERROR(__xludf.DUMMYFUNCTION("""COMPUTED_VALUE"""),"muddy deer blinds")</f>
        <v>muddy deer blinds</v>
      </c>
      <c r="B973" s="15" t="str">
        <f>IFERROR(__xludf.DUMMYFUNCTION("""COMPUTED_VALUE"""),"880")</f>
        <v>880</v>
      </c>
      <c r="C973" s="15" t="str">
        <f>IFERROR(__xludf.DUMMYFUNCTION("""COMPUTED_VALUE"""),"Not ranking")</f>
        <v>Not ranking</v>
      </c>
      <c r="D973" s="15" t="str">
        <f>IFERROR(__xludf.DUMMYFUNCTION("""COMPUTED_VALUE"""),"Not ranking")</f>
        <v>Not ranking</v>
      </c>
      <c r="E973" s="15" t="str">
        <f>IFERROR(__xludf.DUMMYFUNCTION("""COMPUTED_VALUE"""),"69")</f>
        <v>69</v>
      </c>
      <c r="F973" s="18" t="str">
        <f>IFERROR(__xludf.DUMMYFUNCTION("""COMPUTED_VALUE"""),"Not ranking")</f>
        <v>Not ranking</v>
      </c>
      <c r="G973" s="18" t="str">
        <f>IFERROR(__xludf.DUMMYFUNCTION("""COMPUTED_VALUE"""),"Not ranking")</f>
        <v>Not ranking</v>
      </c>
      <c r="H973" s="17" t="str">
        <f>IFERROR(__xludf.DUMMYFUNCTION("""COMPUTED_VALUE"""),"https://www.wideopenspaces.com/5-luxury-hunting-blinds-you-might-be-able-to-afford/")</f>
        <v>https://www.wideopenspaces.com/5-luxury-hunting-blinds-you-might-be-able-to-afford/</v>
      </c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5" t="str">
        <f>IFERROR(__xludf.DUMMYFUNCTION("""COMPUTED_VALUE"""),"pvc deer feeder")</f>
        <v>pvc deer feeder</v>
      </c>
      <c r="B974" s="15" t="str">
        <f>IFERROR(__xludf.DUMMYFUNCTION("""COMPUTED_VALUE"""),"880")</f>
        <v>880</v>
      </c>
      <c r="C974" s="15" t="str">
        <f>IFERROR(__xludf.DUMMYFUNCTION("""COMPUTED_VALUE"""),"Not ranking")</f>
        <v>Not ranking</v>
      </c>
      <c r="D974" s="15" t="str">
        <f>IFERROR(__xludf.DUMMYFUNCTION("""COMPUTED_VALUE"""),"9")</f>
        <v>9</v>
      </c>
      <c r="E974" s="15" t="str">
        <f>IFERROR(__xludf.DUMMYFUNCTION("""COMPUTED_VALUE"""),"12")</f>
        <v>12</v>
      </c>
      <c r="F974" s="18" t="str">
        <f>IFERROR(__xludf.DUMMYFUNCTION("""COMPUTED_VALUE"""),"Not ranking")</f>
        <v>Not ranking</v>
      </c>
      <c r="G974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974" s="17" t="str">
        <f>IFERROR(__xludf.DUMMYFUNCTION("""COMPUTED_VALUE"""),"https://www.wideopenspaces.com/make-poor-mans-deer-feeder/")</f>
        <v>https://www.wideopenspaces.com/make-poor-mans-deer-feeder/</v>
      </c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5" t="str">
        <f>IFERROR(__xludf.DUMMYFUNCTION("""COMPUTED_VALUE"""),"seeing a deer meaning")</f>
        <v>seeing a deer meaning</v>
      </c>
      <c r="B975" s="15" t="str">
        <f>IFERROR(__xludf.DUMMYFUNCTION("""COMPUTED_VALUE"""),"880")</f>
        <v>880</v>
      </c>
      <c r="C975" s="15" t="str">
        <f>IFERROR(__xludf.DUMMYFUNCTION("""COMPUTED_VALUE"""),"Not ranking")</f>
        <v>Not ranking</v>
      </c>
      <c r="D975" s="15" t="str">
        <f>IFERROR(__xludf.DUMMYFUNCTION("""COMPUTED_VALUE"""),"97")</f>
        <v>97</v>
      </c>
      <c r="E975" s="15" t="str">
        <f>IFERROR(__xludf.DUMMYFUNCTION("""COMPUTED_VALUE"""),"Not ranking")</f>
        <v>Not ranking</v>
      </c>
      <c r="F975" s="18" t="str">
        <f>IFERROR(__xludf.DUMMYFUNCTION("""COMPUTED_VALUE"""),"Not ranking")</f>
        <v>Not ranking</v>
      </c>
      <c r="G975" s="17" t="str">
        <f>IFERROR(__xludf.DUMMYFUNCTION("""COMPUTED_VALUE"""),"https://realtree.com/deer-hunting/articles/the-meaning-of-deer-hunting-hunting-truth-in-life")</f>
        <v>https://realtree.com/deer-hunting/articles/the-meaning-of-deer-hunting-hunting-truth-in-life</v>
      </c>
      <c r="H975" s="18" t="str">
        <f>IFERROR(__xludf.DUMMYFUNCTION("""COMPUTED_VALUE"""),"Not ranking")</f>
        <v>Not ranking</v>
      </c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5" t="str">
        <f>IFERROR(__xludf.DUMMYFUNCTION("""COMPUTED_VALUE"""),"snake eating deer")</f>
        <v>snake eating deer</v>
      </c>
      <c r="B976" s="15" t="str">
        <f>IFERROR(__xludf.DUMMYFUNCTION("""COMPUTED_VALUE"""),"880")</f>
        <v>880</v>
      </c>
      <c r="C976" s="15" t="str">
        <f>IFERROR(__xludf.DUMMYFUNCTION("""COMPUTED_VALUE"""),"Not ranking")</f>
        <v>Not ranking</v>
      </c>
      <c r="D976" s="15" t="str">
        <f>IFERROR(__xludf.DUMMYFUNCTION("""COMPUTED_VALUE"""),"Not ranking")</f>
        <v>Not ranking</v>
      </c>
      <c r="E976" s="15" t="str">
        <f>IFERROR(__xludf.DUMMYFUNCTION("""COMPUTED_VALUE"""),"61")</f>
        <v>61</v>
      </c>
      <c r="F976" s="18" t="str">
        <f>IFERROR(__xludf.DUMMYFUNCTION("""COMPUTED_VALUE"""),"Not ranking")</f>
        <v>Not ranking</v>
      </c>
      <c r="G976" s="18" t="str">
        <f>IFERROR(__xludf.DUMMYFUNCTION("""COMPUTED_VALUE"""),"Not ranking")</f>
        <v>Not ranking</v>
      </c>
      <c r="H976" s="17" t="str">
        <f>IFERROR(__xludf.DUMMYFUNCTION("""COMPUTED_VALUE"""),"https://www.wideopenspaces.com/rare-video-shows-deer-eating-a-snake/")</f>
        <v>https://www.wideopenspaces.com/rare-video-shows-deer-eating-a-snake/</v>
      </c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5" t="str">
        <f>IFERROR(__xludf.DUMMYFUNCTION("""COMPUTED_VALUE"""),"tri pod deer stand")</f>
        <v>tri pod deer stand</v>
      </c>
      <c r="B977" s="15" t="str">
        <f>IFERROR(__xludf.DUMMYFUNCTION("""COMPUTED_VALUE"""),"880")</f>
        <v>880</v>
      </c>
      <c r="C977" s="15" t="str">
        <f>IFERROR(__xludf.DUMMYFUNCTION("""COMPUTED_VALUE"""),"Not ranking")</f>
        <v>Not ranking</v>
      </c>
      <c r="D977" s="15" t="str">
        <f>IFERROR(__xludf.DUMMYFUNCTION("""COMPUTED_VALUE"""),"Not ranking")</f>
        <v>Not ranking</v>
      </c>
      <c r="E977" s="15" t="str">
        <f>IFERROR(__xludf.DUMMYFUNCTION("""COMPUTED_VALUE"""),"17")</f>
        <v>17</v>
      </c>
      <c r="F977" s="18" t="str">
        <f>IFERROR(__xludf.DUMMYFUNCTION("""COMPUTED_VALUE"""),"Not ranking")</f>
        <v>Not ranking</v>
      </c>
      <c r="G977" s="18" t="str">
        <f>IFERROR(__xludf.DUMMYFUNCTION("""COMPUTED_VALUE"""),"Not ranking")</f>
        <v>Not ranking</v>
      </c>
      <c r="H977" s="17" t="str">
        <f>IFERROR(__xludf.DUMMYFUNCTION("""COMPUTED_VALUE"""),"https://www.wideopenspaces.com/tripod-treestand/")</f>
        <v>https://www.wideopenspaces.com/tripod-treestand/</v>
      </c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5" t="str">
        <f>IFERROR(__xludf.DUMMYFUNCTION("""COMPUTED_VALUE"""),"wall pedestal deer mount")</f>
        <v>wall pedestal deer mount</v>
      </c>
      <c r="B978" s="15" t="str">
        <f>IFERROR(__xludf.DUMMYFUNCTION("""COMPUTED_VALUE"""),"880")</f>
        <v>880</v>
      </c>
      <c r="C978" s="15" t="str">
        <f>IFERROR(__xludf.DUMMYFUNCTION("""COMPUTED_VALUE"""),"Not ranking")</f>
        <v>Not ranking</v>
      </c>
      <c r="D978" s="15" t="str">
        <f>IFERROR(__xludf.DUMMYFUNCTION("""COMPUTED_VALUE"""),"73")</f>
        <v>73</v>
      </c>
      <c r="E978" s="15" t="str">
        <f>IFERROR(__xludf.DUMMYFUNCTION("""COMPUTED_VALUE"""),"63")</f>
        <v>63</v>
      </c>
      <c r="F978" s="18" t="str">
        <f>IFERROR(__xludf.DUMMYFUNCTION("""COMPUTED_VALUE"""),"Not ranking")</f>
        <v>Not ranking</v>
      </c>
      <c r="G978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978" s="17" t="str">
        <f>IFERROR(__xludf.DUMMYFUNCTION("""COMPUTED_VALUE"""),"https://www.wideopenspaces.com/whitetailwednesday-25-unique-ideas-for-your-next-whitetail-mount/")</f>
        <v>https://www.wideopenspaces.com/whitetailwednesday-25-unique-ideas-for-your-next-whitetail-mount/</v>
      </c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5" t="str">
        <f>IFERROR(__xludf.DUMMYFUNCTION("""COMPUTED_VALUE"""),"what are deer antlers made of")</f>
        <v>what are deer antlers made of</v>
      </c>
      <c r="B979" s="15" t="str">
        <f>IFERROR(__xludf.DUMMYFUNCTION("""COMPUTED_VALUE"""),"880")</f>
        <v>880</v>
      </c>
      <c r="C979" s="15" t="str">
        <f>IFERROR(__xludf.DUMMYFUNCTION("""COMPUTED_VALUE"""),"Not ranking")</f>
        <v>Not ranking</v>
      </c>
      <c r="D979" s="15" t="str">
        <f>IFERROR(__xludf.DUMMYFUNCTION("""COMPUTED_VALUE"""),"73")</f>
        <v>73</v>
      </c>
      <c r="E979" s="15" t="str">
        <f>IFERROR(__xludf.DUMMYFUNCTION("""COMPUTED_VALUE"""),"37")</f>
        <v>37</v>
      </c>
      <c r="F979" s="18" t="str">
        <f>IFERROR(__xludf.DUMMYFUNCTION("""COMPUTED_VALUE"""),"Not ranking")</f>
        <v>Not ranking</v>
      </c>
      <c r="G979" s="17" t="str">
        <f>IFERROR(__xludf.DUMMYFUNCTION("""COMPUTED_VALUE"""),"https://realtree.com/all/articles/antler-trivia")</f>
        <v>https://realtree.com/all/articles/antler-trivia</v>
      </c>
      <c r="H979" s="17" t="str">
        <f>IFERROR(__xludf.DUMMYFUNCTION("""COMPUTED_VALUE"""),"https://www.wideopenspaces.com/what-are-antlers-made-from/")</f>
        <v>https://www.wideopenspaces.com/what-are-antlers-made-from/</v>
      </c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5" t="str">
        <f>IFERROR(__xludf.DUMMYFUNCTION("""COMPUTED_VALUE"""),"when does deer season end in texas")</f>
        <v>when does deer season end in texas</v>
      </c>
      <c r="B980" s="15" t="str">
        <f>IFERROR(__xludf.DUMMYFUNCTION("""COMPUTED_VALUE"""),"880")</f>
        <v>880</v>
      </c>
      <c r="C980" s="15" t="str">
        <f>IFERROR(__xludf.DUMMYFUNCTION("""COMPUTED_VALUE"""),"Not ranking")</f>
        <v>Not ranking</v>
      </c>
      <c r="D980" s="15" t="str">
        <f>IFERROR(__xludf.DUMMYFUNCTION("""COMPUTED_VALUE"""),"58")</f>
        <v>58</v>
      </c>
      <c r="E980" s="15" t="str">
        <f>IFERROR(__xludf.DUMMYFUNCTION("""COMPUTED_VALUE"""),"5")</f>
        <v>5</v>
      </c>
      <c r="F980" s="18" t="str">
        <f>IFERROR(__xludf.DUMMYFUNCTION("""COMPUTED_VALUE"""),"Not ranking")</f>
        <v>Not ranking</v>
      </c>
      <c r="G980" s="17" t="str">
        <f>IFERROR(__xludf.DUMMYFUNCTION("""COMPUTED_VALUE"""),"https://realtree.com/deer-hunting/articles/where-to-deer-hunt-in-february")</f>
        <v>https://realtree.com/deer-hunting/articles/where-to-deer-hunt-in-february</v>
      </c>
      <c r="H980" s="17" t="str">
        <f>IFERROR(__xludf.DUMMYFUNCTION("""COMPUTED_VALUE"""),"https://www.wideopenspaces.com/when-does-deer-season-end-in-texas/")</f>
        <v>https://www.wideopenspaces.com/when-does-deer-season-end-in-texas/</v>
      </c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5" t="str">
        <f>IFERROR(__xludf.DUMMYFUNCTION("""COMPUTED_VALUE"""),"when does deer season start in texas")</f>
        <v>when does deer season start in texas</v>
      </c>
      <c r="B981" s="15" t="str">
        <f>IFERROR(__xludf.DUMMYFUNCTION("""COMPUTED_VALUE"""),"880")</f>
        <v>880</v>
      </c>
      <c r="C981" s="15" t="str">
        <f>IFERROR(__xludf.DUMMYFUNCTION("""COMPUTED_VALUE"""),"Not ranking")</f>
        <v>Not ranking</v>
      </c>
      <c r="D981" s="15" t="str">
        <f>IFERROR(__xludf.DUMMYFUNCTION("""COMPUTED_VALUE"""),"Not ranking")</f>
        <v>Not ranking</v>
      </c>
      <c r="E981" s="15" t="str">
        <f>IFERROR(__xludf.DUMMYFUNCTION("""COMPUTED_VALUE"""),"8")</f>
        <v>8</v>
      </c>
      <c r="F981" s="18" t="str">
        <f>IFERROR(__xludf.DUMMYFUNCTION("""COMPUTED_VALUE"""),"Not ranking")</f>
        <v>Not ranking</v>
      </c>
      <c r="G981" s="18" t="str">
        <f>IFERROR(__xludf.DUMMYFUNCTION("""COMPUTED_VALUE"""),"Not ranking")</f>
        <v>Not ranking</v>
      </c>
      <c r="H981" s="17" t="str">
        <f>IFERROR(__xludf.DUMMYFUNCTION("""COMPUTED_VALUE"""),"https://www.wideopenspaces.com/when-does-deer-season-end-in-texas/")</f>
        <v>https://www.wideopenspaces.com/when-does-deer-season-end-in-texas/</v>
      </c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5" t="str">
        <f>IFERROR(__xludf.DUMMYFUNCTION("""COMPUTED_VALUE"""),"wi deer season")</f>
        <v>wi deer season</v>
      </c>
      <c r="B982" s="15" t="str">
        <f>IFERROR(__xludf.DUMMYFUNCTION("""COMPUTED_VALUE"""),"880")</f>
        <v>880</v>
      </c>
      <c r="C982" s="15" t="str">
        <f>IFERROR(__xludf.DUMMYFUNCTION("""COMPUTED_VALUE"""),"Not ranking")</f>
        <v>Not ranking</v>
      </c>
      <c r="D982" s="15" t="str">
        <f>IFERROR(__xludf.DUMMYFUNCTION("""COMPUTED_VALUE"""),"10")</f>
        <v>10</v>
      </c>
      <c r="E982" s="15" t="str">
        <f>IFERROR(__xludf.DUMMYFUNCTION("""COMPUTED_VALUE"""),"Not ranking")</f>
        <v>Not ranking</v>
      </c>
      <c r="F982" s="18" t="str">
        <f>IFERROR(__xludf.DUMMYFUNCTION("""COMPUTED_VALUE"""),"Not ranking")</f>
        <v>Not ranking</v>
      </c>
      <c r="G982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982" s="18" t="str">
        <f>IFERROR(__xludf.DUMMYFUNCTION("""COMPUTED_VALUE"""),"Not ranking")</f>
        <v>Not ranking</v>
      </c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5" t="str">
        <f>IFERROR(__xludf.DUMMYFUNCTION("""COMPUTED_VALUE"""),"wisconsin deer hunting regulations")</f>
        <v>wisconsin deer hunting regulations</v>
      </c>
      <c r="B983" s="15" t="str">
        <f>IFERROR(__xludf.DUMMYFUNCTION("""COMPUTED_VALUE"""),"880")</f>
        <v>880</v>
      </c>
      <c r="C983" s="15" t="str">
        <f>IFERROR(__xludf.DUMMYFUNCTION("""COMPUTED_VALUE"""),"Not ranking")</f>
        <v>Not ranking</v>
      </c>
      <c r="D983" s="15" t="str">
        <f>IFERROR(__xludf.DUMMYFUNCTION("""COMPUTED_VALUE"""),"23")</f>
        <v>23</v>
      </c>
      <c r="E983" s="15" t="str">
        <f>IFERROR(__xludf.DUMMYFUNCTION("""COMPUTED_VALUE"""),"68")</f>
        <v>68</v>
      </c>
      <c r="F983" s="18" t="str">
        <f>IFERROR(__xludf.DUMMYFUNCTION("""COMPUTED_VALUE"""),"Not ranking")</f>
        <v>Not ranking</v>
      </c>
      <c r="G983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983" s="17" t="str">
        <f>IFERROR(__xludf.DUMMYFUNCTION("""COMPUTED_VALUE"""),"https://www.wideopenspaces.com/wisconsin-deer-hunting-everything-hunters-need-to-know/")</f>
        <v>https://www.wideopenspaces.com/wisconsin-deer-hunting-everything-hunters-need-to-know/</v>
      </c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5" t="str">
        <f>IFERROR(__xludf.DUMMYFUNCTION("""COMPUTED_VALUE"""),"young deer")</f>
        <v>young deer</v>
      </c>
      <c r="B984" s="15" t="str">
        <f>IFERROR(__xludf.DUMMYFUNCTION("""COMPUTED_VALUE"""),"880")</f>
        <v>880</v>
      </c>
      <c r="C984" s="15" t="str">
        <f>IFERROR(__xludf.DUMMYFUNCTION("""COMPUTED_VALUE"""),"Not ranking")</f>
        <v>Not ranking</v>
      </c>
      <c r="D984" s="15" t="str">
        <f>IFERROR(__xludf.DUMMYFUNCTION("""COMPUTED_VALUE"""),"19")</f>
        <v>19</v>
      </c>
      <c r="E984" s="15" t="str">
        <f>IFERROR(__xludf.DUMMYFUNCTION("""COMPUTED_VALUE"""),"Not ranking")</f>
        <v>Not ranking</v>
      </c>
      <c r="F984" s="18" t="str">
        <f>IFERROR(__xludf.DUMMYFUNCTION("""COMPUTED_VALUE"""),"Not ranking")</f>
        <v>Not ranking</v>
      </c>
      <c r="G984" s="17" t="str">
        <f>IFERROR(__xludf.DUMMYFUNCTION("""COMPUTED_VALUE"""),"https://realtree.com/deer-hunting/articles/top-10-pope-young-deer-hunting-states")</f>
        <v>https://realtree.com/deer-hunting/articles/top-10-pope-young-deer-hunting-states</v>
      </c>
      <c r="H984" s="18" t="str">
        <f>IFERROR(__xludf.DUMMYFUNCTION("""COMPUTED_VALUE"""),"Not ranking")</f>
        <v>Not ranking</v>
      </c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5" t="str">
        <f>IFERROR(__xludf.DUMMYFUNCTION("""COMPUTED_VALUE"""),"120 class whitetail deer")</f>
        <v>120 class whitetail deer</v>
      </c>
      <c r="B985" s="15" t="str">
        <f>IFERROR(__xludf.DUMMYFUNCTION("""COMPUTED_VALUE"""),"720")</f>
        <v>720</v>
      </c>
      <c r="C985" s="15" t="str">
        <f>IFERROR(__xludf.DUMMYFUNCTION("""COMPUTED_VALUE"""),"Not ranking")</f>
        <v>Not ranking</v>
      </c>
      <c r="D985" s="15" t="str">
        <f>IFERROR(__xludf.DUMMYFUNCTION("""COMPUTED_VALUE"""),"21")</f>
        <v>21</v>
      </c>
      <c r="E985" s="15" t="str">
        <f>IFERROR(__xludf.DUMMYFUNCTION("""COMPUTED_VALUE"""),"2")</f>
        <v>2</v>
      </c>
      <c r="F985" s="18" t="str">
        <f>IFERROR(__xludf.DUMMYFUNCTION("""COMPUTED_VALUE"""),"Not ranking")</f>
        <v>Not ranking</v>
      </c>
      <c r="G985" s="17" t="str">
        <f>IFERROR(__xludf.DUMMYFUNCTION("""COMPUTED_VALUE"""),"https://realtree.com/brow-tines-and-backstrap/when-you-should-pass-a-buck-and-when-you-shouldn-t")</f>
        <v>https://realtree.com/brow-tines-and-backstrap/when-you-should-pass-a-buck-and-when-you-shouldn-t</v>
      </c>
      <c r="H985" s="17" t="str">
        <f>IFERROR(__xludf.DUMMYFUNCTION("""COMPUTED_VALUE"""),"https://www.wideopenspaces.com/120-class-whitetail-deer-id/")</f>
        <v>https://www.wideopenspaces.com/120-class-whitetail-deer-id/</v>
      </c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5" t="str">
        <f>IFERROR(__xludf.DUMMYFUNCTION("""COMPUTED_VALUE"""),"230 inch deer")</f>
        <v>230 inch deer</v>
      </c>
      <c r="B986" s="15" t="str">
        <f>IFERROR(__xludf.DUMMYFUNCTION("""COMPUTED_VALUE"""),"720")</f>
        <v>720</v>
      </c>
      <c r="C986" s="15" t="str">
        <f>IFERROR(__xludf.DUMMYFUNCTION("""COMPUTED_VALUE"""),"Not ranking")</f>
        <v>Not ranking</v>
      </c>
      <c r="D986" s="15" t="str">
        <f>IFERROR(__xludf.DUMMYFUNCTION("""COMPUTED_VALUE"""),"37")</f>
        <v>37</v>
      </c>
      <c r="E986" s="15" t="str">
        <f>IFERROR(__xludf.DUMMYFUNCTION("""COMPUTED_VALUE"""),"55")</f>
        <v>55</v>
      </c>
      <c r="F986" s="18" t="str">
        <f>IFERROR(__xludf.DUMMYFUNCTION("""COMPUTED_VALUE"""),"Not ranking")</f>
        <v>Not ranking</v>
      </c>
      <c r="G986" s="17" t="str">
        <f>IFERROR(__xludf.DUMMYFUNCTION("""COMPUTED_VALUE"""),"https://realtree.com/deer-hunting/articles/heads-of-state-all-about-state-record-bucks")</f>
        <v>https://realtree.com/deer-hunting/articles/heads-of-state-all-about-state-record-bucks</v>
      </c>
      <c r="H986" s="17" t="str">
        <f>IFERROR(__xludf.DUMMYFUNCTION("""COMPUTED_VALUE"""),"https://www.wideopenspaces.com/12-of-the-biggest-poached-deer-ever-stolen-from-law-abiding-hunters/")</f>
        <v>https://www.wideopenspaces.com/12-of-the-biggest-poached-deer-ever-stolen-from-law-abiding-hunters/</v>
      </c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5" t="str">
        <f>IFERROR(__xludf.DUMMYFUNCTION("""COMPUTED_VALUE"""),"410 slug for deer")</f>
        <v>410 slug for deer</v>
      </c>
      <c r="B987" s="15" t="str">
        <f>IFERROR(__xludf.DUMMYFUNCTION("""COMPUTED_VALUE"""),"720")</f>
        <v>720</v>
      </c>
      <c r="C987" s="15" t="str">
        <f>IFERROR(__xludf.DUMMYFUNCTION("""COMPUTED_VALUE"""),"Not ranking")</f>
        <v>Not ranking</v>
      </c>
      <c r="D987" s="15" t="str">
        <f>IFERROR(__xludf.DUMMYFUNCTION("""COMPUTED_VALUE"""),"Not ranking")</f>
        <v>Not ranking</v>
      </c>
      <c r="E987" s="15" t="str">
        <f>IFERROR(__xludf.DUMMYFUNCTION("""COMPUTED_VALUE"""),"3")</f>
        <v>3</v>
      </c>
      <c r="F987" s="18" t="str">
        <f>IFERROR(__xludf.DUMMYFUNCTION("""COMPUTED_VALUE"""),"Not ranking")</f>
        <v>Not ranking</v>
      </c>
      <c r="G987" s="18" t="str">
        <f>IFERROR(__xludf.DUMMYFUNCTION("""COMPUTED_VALUE"""),"Not ranking")</f>
        <v>Not ranking</v>
      </c>
      <c r="H987" s="17" t="str">
        <f>IFERROR(__xludf.DUMMYFUNCTION("""COMPUTED_VALUE"""),"https://www.wideopenspaces.com/can-410-shotgun-slug-take-deer-check-video/")</f>
        <v>https://www.wideopenspaces.com/can-410-shotgun-slug-take-deer-check-video/</v>
      </c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5" t="str">
        <f>IFERROR(__xludf.DUMMYFUNCTION("""COMPUTED_VALUE"""),"6 point deer")</f>
        <v>6 point deer</v>
      </c>
      <c r="B988" s="15" t="str">
        <f>IFERROR(__xludf.DUMMYFUNCTION("""COMPUTED_VALUE"""),"720")</f>
        <v>720</v>
      </c>
      <c r="C988" s="15" t="str">
        <f>IFERROR(__xludf.DUMMYFUNCTION("""COMPUTED_VALUE"""),"Not ranking")</f>
        <v>Not ranking</v>
      </c>
      <c r="D988" s="15" t="str">
        <f>IFERROR(__xludf.DUMMYFUNCTION("""COMPUTED_VALUE"""),"45")</f>
        <v>45</v>
      </c>
      <c r="E988" s="15" t="str">
        <f>IFERROR(__xludf.DUMMYFUNCTION("""COMPUTED_VALUE"""),"17")</f>
        <v>17</v>
      </c>
      <c r="F988" s="18" t="str">
        <f>IFERROR(__xludf.DUMMYFUNCTION("""COMPUTED_VALUE"""),"Not ranking")</f>
        <v>Not ranking</v>
      </c>
      <c r="G988" s="17" t="str">
        <f>IFERROR(__xludf.DUMMYFUNCTION("""COMPUTED_VALUE"""),"https://realtree.com/brow-tines-and-backstrap/when-you-should-pass-a-buck-and-when-you-shouldn-t")</f>
        <v>https://realtree.com/brow-tines-and-backstrap/when-you-should-pass-a-buck-and-when-you-shouldn-t</v>
      </c>
      <c r="H988" s="17" t="str">
        <f>IFERROR(__xludf.DUMMYFUNCTION("""COMPUTED_VALUE"""),"https://www.wideopenspaces.com/less-10-awesome-bucks-6-fewer-points-whitetailwednesday/")</f>
        <v>https://www.wideopenspaces.com/less-10-awesome-bucks-6-fewer-points-whitetailwednesday/</v>
      </c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5" t="str">
        <f>IFERROR(__xludf.DUMMYFUNCTION("""COMPUTED_VALUE"""),"alabama deer hunting season")</f>
        <v>alabama deer hunting season</v>
      </c>
      <c r="B989" s="15" t="str">
        <f>IFERROR(__xludf.DUMMYFUNCTION("""COMPUTED_VALUE"""),"720")</f>
        <v>720</v>
      </c>
      <c r="C989" s="15" t="str">
        <f>IFERROR(__xludf.DUMMYFUNCTION("""COMPUTED_VALUE"""),"Not ranking")</f>
        <v>Not ranking</v>
      </c>
      <c r="D989" s="15" t="str">
        <f>IFERROR(__xludf.DUMMYFUNCTION("""COMPUTED_VALUE"""),"34")</f>
        <v>34</v>
      </c>
      <c r="E989" s="15" t="str">
        <f>IFERROR(__xludf.DUMMYFUNCTION("""COMPUTED_VALUE"""),"68")</f>
        <v>68</v>
      </c>
      <c r="F989" s="18" t="str">
        <f>IFERROR(__xludf.DUMMYFUNCTION("""COMPUTED_VALUE"""),"Not ranking")</f>
        <v>Not ranking</v>
      </c>
      <c r="G989" s="17" t="str">
        <f>IFERROR(__xludf.DUMMYFUNCTION("""COMPUTED_VALUE"""),"https://realtree.com/brow-tines-and-backstrap/debate-settled-deep-south-deer-are-the-toughest-to-hunt")</f>
        <v>https://realtree.com/brow-tines-and-backstrap/debate-settled-deep-south-deer-are-the-toughest-to-hunt</v>
      </c>
      <c r="H989" s="17" t="str">
        <f>IFERROR(__xludf.DUMMYFUNCTION("""COMPUTED_VALUE"""),"https://www.wideopenspaces.com/alabama-hunting-license/")</f>
        <v>https://www.wideopenspaces.com/alabama-hunting-license/</v>
      </c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5" t="str">
        <f>IFERROR(__xludf.DUMMYFUNCTION("""COMPUTED_VALUE"""),"are deer omnivores")</f>
        <v>are deer omnivores</v>
      </c>
      <c r="B990" s="15" t="str">
        <f>IFERROR(__xludf.DUMMYFUNCTION("""COMPUTED_VALUE"""),"720")</f>
        <v>720</v>
      </c>
      <c r="C990" s="15" t="str">
        <f>IFERROR(__xludf.DUMMYFUNCTION("""COMPUTED_VALUE"""),"Not ranking")</f>
        <v>Not ranking</v>
      </c>
      <c r="D990" s="15" t="str">
        <f>IFERROR(__xludf.DUMMYFUNCTION("""COMPUTED_VALUE"""),"Not ranking")</f>
        <v>Not ranking</v>
      </c>
      <c r="E990" s="15" t="str">
        <f>IFERROR(__xludf.DUMMYFUNCTION("""COMPUTED_VALUE"""),"38")</f>
        <v>38</v>
      </c>
      <c r="F990" s="18" t="str">
        <f>IFERROR(__xludf.DUMMYFUNCTION("""COMPUTED_VALUE"""),"Not ranking")</f>
        <v>Not ranking</v>
      </c>
      <c r="G990" s="18" t="str">
        <f>IFERROR(__xludf.DUMMYFUNCTION("""COMPUTED_VALUE"""),"Not ranking")</f>
        <v>Not ranking</v>
      </c>
      <c r="H990" s="17" t="str">
        <f>IFERROR(__xludf.DUMMYFUNCTION("""COMPUTED_VALUE"""),"https://www.wideopenspaces.com/do-deer-eat-meat/")</f>
        <v>https://www.wideopenspaces.com/do-deer-eat-meat/</v>
      </c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5" t="str">
        <f>IFERROR(__xludf.DUMMYFUNCTION("""COMPUTED_VALUE"""),"black piebald deer")</f>
        <v>black piebald deer</v>
      </c>
      <c r="B991" s="15" t="str">
        <f>IFERROR(__xludf.DUMMYFUNCTION("""COMPUTED_VALUE"""),"720")</f>
        <v>720</v>
      </c>
      <c r="C991" s="15" t="str">
        <f>IFERROR(__xludf.DUMMYFUNCTION("""COMPUTED_VALUE"""),"Not ranking")</f>
        <v>Not ranking</v>
      </c>
      <c r="D991" s="15" t="str">
        <f>IFERROR(__xludf.DUMMYFUNCTION("""COMPUTED_VALUE"""),"4")</f>
        <v>4</v>
      </c>
      <c r="E991" s="15" t="str">
        <f>IFERROR(__xludf.DUMMYFUNCTION("""COMPUTED_VALUE"""),"7")</f>
        <v>7</v>
      </c>
      <c r="F991" s="18" t="str">
        <f>IFERROR(__xludf.DUMMYFUNCTION("""COMPUTED_VALUE"""),"Not ranking")</f>
        <v>Not ranking</v>
      </c>
      <c r="G991" s="17" t="str">
        <f>IFERROR(__xludf.DUMMYFUNCTION("""COMPUTED_VALUE"""),"https://realtree.com/brow-tines-and-backstrap/have-you-ever-seen-a-melanistic-whitetail")</f>
        <v>https://realtree.com/brow-tines-and-backstrap/have-you-ever-seen-a-melanistic-whitetail</v>
      </c>
      <c r="H991" s="17" t="str">
        <f>IFERROR(__xludf.DUMMYFUNCTION("""COMPUTED_VALUE"""),"https://www.wideopenspaces.com/black-deer-in-backyard-how-rare-is-this-color-variation/")</f>
        <v>https://www.wideopenspaces.com/black-deer-in-backyard-how-rare-is-this-color-variation/</v>
      </c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5" t="str">
        <f>IFERROR(__xludf.DUMMYFUNCTION("""COMPUTED_VALUE"""),"boone and crockett deer")</f>
        <v>boone and crockett deer</v>
      </c>
      <c r="B992" s="15" t="str">
        <f>IFERROR(__xludf.DUMMYFUNCTION("""COMPUTED_VALUE"""),"720")</f>
        <v>720</v>
      </c>
      <c r="C992" s="15" t="str">
        <f>IFERROR(__xludf.DUMMYFUNCTION("""COMPUTED_VALUE"""),"Not ranking")</f>
        <v>Not ranking</v>
      </c>
      <c r="D992" s="15" t="str">
        <f>IFERROR(__xludf.DUMMYFUNCTION("""COMPUTED_VALUE"""),"10")</f>
        <v>10</v>
      </c>
      <c r="E992" s="15" t="str">
        <f>IFERROR(__xludf.DUMMYFUNCTION("""COMPUTED_VALUE"""),"28")</f>
        <v>28</v>
      </c>
      <c r="F992" s="18" t="str">
        <f>IFERROR(__xludf.DUMMYFUNCTION("""COMPUTED_VALUE"""),"Not ranking")</f>
        <v>Not ranking</v>
      </c>
      <c r="G992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992" s="17" t="str">
        <f>IFERROR(__xludf.DUMMYFUNCTION("""COMPUTED_VALUE"""),"https://www.wideopenspaces.com/boone-and-crockett-top-whitetail-states/")</f>
        <v>https://www.wideopenspaces.com/boone-and-crockett-top-whitetail-states/</v>
      </c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5" t="str">
        <f>IFERROR(__xludf.DUMMYFUNCTION("""COMPUTED_VALUE"""),"deer antler decor")</f>
        <v>deer antler decor</v>
      </c>
      <c r="B993" s="15" t="str">
        <f>IFERROR(__xludf.DUMMYFUNCTION("""COMPUTED_VALUE"""),"720")</f>
        <v>720</v>
      </c>
      <c r="C993" s="15" t="str">
        <f>IFERROR(__xludf.DUMMYFUNCTION("""COMPUTED_VALUE"""),"Not ranking")</f>
        <v>Not ranking</v>
      </c>
      <c r="D993" s="15" t="str">
        <f>IFERROR(__xludf.DUMMYFUNCTION("""COMPUTED_VALUE"""),"Not ranking")</f>
        <v>Not ranking</v>
      </c>
      <c r="E993" s="15" t="str">
        <f>IFERROR(__xludf.DUMMYFUNCTION("""COMPUTED_VALUE"""),"65")</f>
        <v>65</v>
      </c>
      <c r="F993" s="18" t="str">
        <f>IFERROR(__xludf.DUMMYFUNCTION("""COMPUTED_VALUE"""),"Not ranking")</f>
        <v>Not ranking</v>
      </c>
      <c r="G993" s="18" t="str">
        <f>IFERROR(__xludf.DUMMYFUNCTION("""COMPUTED_VALUE"""),"Not ranking")</f>
        <v>Not ranking</v>
      </c>
      <c r="H993" s="17" t="str">
        <f>IFERROR(__xludf.DUMMYFUNCTION("""COMPUTED_VALUE"""),"https://www.wideopenspaces.com/12-amazing-shed-antler-decorations-ladies/")</f>
        <v>https://www.wideopenspaces.com/12-amazing-shed-antler-decorations-ladies/</v>
      </c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5" t="str">
        <f>IFERROR(__xludf.DUMMYFUNCTION("""COMPUTED_VALUE"""),"deer antlers shedding")</f>
        <v>deer antlers shedding</v>
      </c>
      <c r="B994" s="15" t="str">
        <f>IFERROR(__xludf.DUMMYFUNCTION("""COMPUTED_VALUE"""),"720")</f>
        <v>720</v>
      </c>
      <c r="C994" s="15" t="str">
        <f>IFERROR(__xludf.DUMMYFUNCTION("""COMPUTED_VALUE"""),"Not ranking")</f>
        <v>Not ranking</v>
      </c>
      <c r="D994" s="15" t="str">
        <f>IFERROR(__xludf.DUMMYFUNCTION("""COMPUTED_VALUE"""),"8")</f>
        <v>8</v>
      </c>
      <c r="E994" s="15" t="str">
        <f>IFERROR(__xludf.DUMMYFUNCTION("""COMPUTED_VALUE"""),"2")</f>
        <v>2</v>
      </c>
      <c r="F994" s="18" t="str">
        <f>IFERROR(__xludf.DUMMYFUNCTION("""COMPUTED_VALUE"""),"Not ranking")</f>
        <v>Not ranking</v>
      </c>
      <c r="G994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994" s="17" t="str">
        <f>IFERROR(__xludf.DUMMYFUNCTION("""COMPUTED_VALUE"""),"https://www.wideopenspaces.com/deer-shed-antlers-pics/")</f>
        <v>https://www.wideopenspaces.com/deer-shed-antlers-pics/</v>
      </c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5" t="str">
        <f>IFERROR(__xludf.DUMMYFUNCTION("""COMPUTED_VALUE"""),"deer attacked")</f>
        <v>deer attacked</v>
      </c>
      <c r="B995" s="15" t="str">
        <f>IFERROR(__xludf.DUMMYFUNCTION("""COMPUTED_VALUE"""),"720")</f>
        <v>720</v>
      </c>
      <c r="C995" s="15" t="str">
        <f>IFERROR(__xludf.DUMMYFUNCTION("""COMPUTED_VALUE"""),"Not ranking")</f>
        <v>Not ranking</v>
      </c>
      <c r="D995" s="15" t="str">
        <f>IFERROR(__xludf.DUMMYFUNCTION("""COMPUTED_VALUE"""),"28")</f>
        <v>28</v>
      </c>
      <c r="E995" s="15" t="str">
        <f>IFERROR(__xludf.DUMMYFUNCTION("""COMPUTED_VALUE"""),"Not ranking")</f>
        <v>Not ranking</v>
      </c>
      <c r="F995" s="18" t="str">
        <f>IFERROR(__xludf.DUMMYFUNCTION("""COMPUTED_VALUE"""),"Not ranking")</f>
        <v>Not ranking</v>
      </c>
      <c r="G995" s="17" t="str">
        <f>IFERROR(__xludf.DUMMYFUNCTION("""COMPUTED_VALUE"""),"https://realtree.com/turkey-blog-with-steve-hickoff/video-territorial-deer-attack-on-backyard-turkey-flock")</f>
        <v>https://realtree.com/turkey-blog-with-steve-hickoff/video-territorial-deer-attack-on-backyard-turkey-flock</v>
      </c>
      <c r="H995" s="18" t="str">
        <f>IFERROR(__xludf.DUMMYFUNCTION("""COMPUTED_VALUE"""),"Not ranking")</f>
        <v>Not ranking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5" t="str">
        <f>IFERROR(__xludf.DUMMYFUNCTION("""COMPUTED_VALUE"""),"deer bait")</f>
        <v>deer bait</v>
      </c>
      <c r="B996" s="15" t="str">
        <f>IFERROR(__xludf.DUMMYFUNCTION("""COMPUTED_VALUE"""),"720")</f>
        <v>720</v>
      </c>
      <c r="C996" s="15" t="str">
        <f>IFERROR(__xludf.DUMMYFUNCTION("""COMPUTED_VALUE"""),"Not ranking")</f>
        <v>Not ranking</v>
      </c>
      <c r="D996" s="15" t="str">
        <f>IFERROR(__xludf.DUMMYFUNCTION("""COMPUTED_VALUE"""),"1")</f>
        <v>1</v>
      </c>
      <c r="E996" s="15" t="str">
        <f>IFERROR(__xludf.DUMMYFUNCTION("""COMPUTED_VALUE"""),"51")</f>
        <v>51</v>
      </c>
      <c r="F996" s="18" t="str">
        <f>IFERROR(__xludf.DUMMYFUNCTION("""COMPUTED_VALUE"""),"Not ranking")</f>
        <v>Not ranking</v>
      </c>
      <c r="G996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996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5" t="str">
        <f>IFERROR(__xludf.DUMMYFUNCTION("""COMPUTED_VALUE"""),"deer blind chairs")</f>
        <v>deer blind chairs</v>
      </c>
      <c r="B997" s="15" t="str">
        <f>IFERROR(__xludf.DUMMYFUNCTION("""COMPUTED_VALUE"""),"720")</f>
        <v>720</v>
      </c>
      <c r="C997" s="15" t="str">
        <f>IFERROR(__xludf.DUMMYFUNCTION("""COMPUTED_VALUE"""),"Not ranking")</f>
        <v>Not ranking</v>
      </c>
      <c r="D997" s="15" t="str">
        <f>IFERROR(__xludf.DUMMYFUNCTION("""COMPUTED_VALUE"""),"Not ranking")</f>
        <v>Not ranking</v>
      </c>
      <c r="E997" s="15" t="str">
        <f>IFERROR(__xludf.DUMMYFUNCTION("""COMPUTED_VALUE"""),"38")</f>
        <v>38</v>
      </c>
      <c r="F997" s="18" t="str">
        <f>IFERROR(__xludf.DUMMYFUNCTION("""COMPUTED_VALUE"""),"Not ranking")</f>
        <v>Not ranking</v>
      </c>
      <c r="G997" s="18" t="str">
        <f>IFERROR(__xludf.DUMMYFUNCTION("""COMPUTED_VALUE"""),"Not ranking")</f>
        <v>Not ranking</v>
      </c>
      <c r="H997" s="17" t="str">
        <f>IFERROR(__xludf.DUMMYFUNCTION("""COMPUTED_VALUE"""),"https://www.wideopenspaces.com/take-a-load-off-with-these-10-hunting-blind-chairs/")</f>
        <v>https://www.wideopenspaces.com/take-a-load-off-with-these-10-hunting-blind-chairs/</v>
      </c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5" t="str">
        <f>IFERROR(__xludf.DUMMYFUNCTION("""COMPUTED_VALUE"""),"deer bologna")</f>
        <v>deer bologna</v>
      </c>
      <c r="B998" s="15" t="str">
        <f>IFERROR(__xludf.DUMMYFUNCTION("""COMPUTED_VALUE"""),"720")</f>
        <v>720</v>
      </c>
      <c r="C998" s="15" t="str">
        <f>IFERROR(__xludf.DUMMYFUNCTION("""COMPUTED_VALUE"""),"Not ranking")</f>
        <v>Not ranking</v>
      </c>
      <c r="D998" s="15" t="str">
        <f>IFERROR(__xludf.DUMMYFUNCTION("""COMPUTED_VALUE"""),"66")</f>
        <v>66</v>
      </c>
      <c r="E998" s="15" t="str">
        <f>IFERROR(__xludf.DUMMYFUNCTION("""COMPUTED_VALUE"""),"Not ranking")</f>
        <v>Not ranking</v>
      </c>
      <c r="F998" s="18" t="str">
        <f>IFERROR(__xludf.DUMMYFUNCTION("""COMPUTED_VALUE"""),"Not ranking")</f>
        <v>Not ranking</v>
      </c>
      <c r="G998" s="17" t="str">
        <f>IFERROR(__xludf.DUMMYFUNCTION("""COMPUTED_VALUE"""),"https://realtree.com/timber-2-table-wild-game-recipes/deer-camp-stuffed-bologna-chub-recipe")</f>
        <v>https://realtree.com/timber-2-table-wild-game-recipes/deer-camp-stuffed-bologna-chub-recipe</v>
      </c>
      <c r="H998" s="18" t="str">
        <f>IFERROR(__xludf.DUMMYFUNCTION("""COMPUTED_VALUE"""),"Not ranking")</f>
        <v>Not ranking</v>
      </c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5" t="str">
        <f>IFERROR(__xludf.DUMMYFUNCTION("""COMPUTED_VALUE"""),"deer camera walmart")</f>
        <v>deer camera walmart</v>
      </c>
      <c r="B999" s="15" t="str">
        <f>IFERROR(__xludf.DUMMYFUNCTION("""COMPUTED_VALUE"""),"720")</f>
        <v>720</v>
      </c>
      <c r="C999" s="15" t="str">
        <f>IFERROR(__xludf.DUMMYFUNCTION("""COMPUTED_VALUE"""),"Not ranking")</f>
        <v>Not ranking</v>
      </c>
      <c r="D999" s="15" t="str">
        <f>IFERROR(__xludf.DUMMYFUNCTION("""COMPUTED_VALUE"""),"40")</f>
        <v>40</v>
      </c>
      <c r="E999" s="15" t="str">
        <f>IFERROR(__xludf.DUMMYFUNCTION("""COMPUTED_VALUE"""),"Not ranking")</f>
        <v>Not ranking</v>
      </c>
      <c r="F999" s="18" t="str">
        <f>IFERROR(__xludf.DUMMYFUNCTION("""COMPUTED_VALUE"""),"Not ranking")</f>
        <v>Not ranking</v>
      </c>
      <c r="G999" s="17" t="str">
        <f>IFERROR(__xludf.DUMMYFUNCTION("""COMPUTED_VALUE"""),"https://realtree.com/brow-tines-and-backstrap/is-a-trail-camera-ban-coming-to-a-state-near-you")</f>
        <v>https://realtree.com/brow-tines-and-backstrap/is-a-trail-camera-ban-coming-to-a-state-near-you</v>
      </c>
      <c r="H999" s="18" t="str">
        <f>IFERROR(__xludf.DUMMYFUNCTION("""COMPUTED_VALUE"""),"Not ranking")</f>
        <v>Not ranking</v>
      </c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5" t="str">
        <f>IFERROR(__xludf.DUMMYFUNCTION("""COMPUTED_VALUE"""),"deer corn for sale")</f>
        <v>deer corn for sale</v>
      </c>
      <c r="B1000" s="15" t="str">
        <f>IFERROR(__xludf.DUMMYFUNCTION("""COMPUTED_VALUE"""),"720")</f>
        <v>720</v>
      </c>
      <c r="C1000" s="15" t="str">
        <f>IFERROR(__xludf.DUMMYFUNCTION("""COMPUTED_VALUE"""),"Not ranking")</f>
        <v>Not ranking</v>
      </c>
      <c r="D1000" s="15" t="str">
        <f>IFERROR(__xludf.DUMMYFUNCTION("""COMPUTED_VALUE"""),"22")</f>
        <v>22</v>
      </c>
      <c r="E1000" s="15" t="str">
        <f>IFERROR(__xludf.DUMMYFUNCTION("""COMPUTED_VALUE"""),"Not ranking")</f>
        <v>Not ranking</v>
      </c>
      <c r="F1000" s="18" t="str">
        <f>IFERROR(__xludf.DUMMYFUNCTION("""COMPUTED_VALUE"""),"Not ranking")</f>
        <v>Not ranking</v>
      </c>
      <c r="G1000" s="17" t="str">
        <f>IFERROR(__xludf.DUMMYFUNCTION("""COMPUTED_VALUE"""),"https://realtree.com/brow-tines-and-backstrap/will-skyrocketing-corn-prices-affect-your-deer-season")</f>
        <v>https://realtree.com/brow-tines-and-backstrap/will-skyrocketing-corn-prices-affect-your-deer-season</v>
      </c>
      <c r="H1000" s="18" t="str">
        <f>IFERROR(__xludf.DUMMYFUNCTION("""COMPUTED_VALUE"""),"Not ranking")</f>
        <v>Not ranking</v>
      </c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5" t="str">
        <f>IFERROR(__xludf.DUMMYFUNCTION("""COMPUTED_VALUE"""),"deer feed near me")</f>
        <v>deer feed near me</v>
      </c>
      <c r="B1001" s="15" t="str">
        <f>IFERROR(__xludf.DUMMYFUNCTION("""COMPUTED_VALUE"""),"720")</f>
        <v>720</v>
      </c>
      <c r="C1001" s="15" t="str">
        <f>IFERROR(__xludf.DUMMYFUNCTION("""COMPUTED_VALUE"""),"Not ranking")</f>
        <v>Not ranking</v>
      </c>
      <c r="D1001" s="15" t="str">
        <f>IFERROR(__xludf.DUMMYFUNCTION("""COMPUTED_VALUE"""),"80")</f>
        <v>80</v>
      </c>
      <c r="E1001" s="15" t="str">
        <f>IFERROR(__xludf.DUMMYFUNCTION("""COMPUTED_VALUE"""),"Not ranking")</f>
        <v>Not ranking</v>
      </c>
      <c r="F1001" s="18" t="str">
        <f>IFERROR(__xludf.DUMMYFUNCTION("""COMPUTED_VALUE"""),"Not ranking")</f>
        <v>Not ranking</v>
      </c>
      <c r="G1001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1001" s="18" t="str">
        <f>IFERROR(__xludf.DUMMYFUNCTION("""COMPUTED_VALUE"""),"Not ranking")</f>
        <v>Not ranking</v>
      </c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15" t="str">
        <f>IFERROR(__xludf.DUMMYFUNCTION("""COMPUTED_VALUE"""),"deer feeding times today")</f>
        <v>deer feeding times today</v>
      </c>
      <c r="B1002" s="15" t="str">
        <f>IFERROR(__xludf.DUMMYFUNCTION("""COMPUTED_VALUE"""),"720")</f>
        <v>720</v>
      </c>
      <c r="C1002" s="15" t="str">
        <f>IFERROR(__xludf.DUMMYFUNCTION("""COMPUTED_VALUE"""),"Not ranking")</f>
        <v>Not ranking</v>
      </c>
      <c r="D1002" s="15" t="str">
        <f>IFERROR(__xludf.DUMMYFUNCTION("""COMPUTED_VALUE"""),"Not ranking")</f>
        <v>Not ranking</v>
      </c>
      <c r="E1002" s="15" t="str">
        <f>IFERROR(__xludf.DUMMYFUNCTION("""COMPUTED_VALUE"""),"19")</f>
        <v>19</v>
      </c>
      <c r="F1002" s="18" t="str">
        <f>IFERROR(__xludf.DUMMYFUNCTION("""COMPUTED_VALUE"""),"Not ranking")</f>
        <v>Not ranking</v>
      </c>
      <c r="G1002" s="18" t="str">
        <f>IFERROR(__xludf.DUMMYFUNCTION("""COMPUTED_VALUE"""),"Not ranking")</f>
        <v>Not ranking</v>
      </c>
      <c r="H1002" s="17" t="str">
        <f>IFERROR(__xludf.DUMMYFUNCTION("""COMPUTED_VALUE"""),"https://www.wideopenspaces.com/deer-feeding-times/")</f>
        <v>https://www.wideopenspaces.com/deer-feeding-times/</v>
      </c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15" t="str">
        <f>IFERROR(__xludf.DUMMYFUNCTION("""COMPUTED_VALUE"""),"deer gambrel")</f>
        <v>deer gambrel</v>
      </c>
      <c r="B1003" s="15" t="str">
        <f>IFERROR(__xludf.DUMMYFUNCTION("""COMPUTED_VALUE"""),"720")</f>
        <v>720</v>
      </c>
      <c r="C1003" s="15" t="str">
        <f>IFERROR(__xludf.DUMMYFUNCTION("""COMPUTED_VALUE"""),"Not ranking")</f>
        <v>Not ranking</v>
      </c>
      <c r="D1003" s="15" t="str">
        <f>IFERROR(__xludf.DUMMYFUNCTION("""COMPUTED_VALUE"""),"84")</f>
        <v>84</v>
      </c>
      <c r="E1003" s="15" t="str">
        <f>IFERROR(__xludf.DUMMYFUNCTION("""COMPUTED_VALUE"""),"Not ranking")</f>
        <v>Not ranking</v>
      </c>
      <c r="F1003" s="18" t="str">
        <f>IFERROR(__xludf.DUMMYFUNCTION("""COMPUTED_VALUE"""),"Not ranking")</f>
        <v>Not ranking</v>
      </c>
      <c r="G1003" s="17" t="str">
        <f>IFERROR(__xludf.DUMMYFUNCTION("""COMPUTED_VALUE"""),"https://realtree.com/timber-2-table-wild-game-recipes/how-to-skin-a-deer-in-6-steps")</f>
        <v>https://realtree.com/timber-2-table-wild-game-recipes/how-to-skin-a-deer-in-6-steps</v>
      </c>
      <c r="H1003" s="18" t="str">
        <f>IFERROR(__xludf.DUMMYFUNCTION("""COMPUTED_VALUE"""),"Not ranking")</f>
        <v>Not ranking</v>
      </c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15" t="str">
        <f>IFERROR(__xludf.DUMMYFUNCTION("""COMPUTED_VALUE"""),"deer gestation")</f>
        <v>deer gestation</v>
      </c>
      <c r="B1004" s="15" t="str">
        <f>IFERROR(__xludf.DUMMYFUNCTION("""COMPUTED_VALUE"""),"720")</f>
        <v>720</v>
      </c>
      <c r="C1004" s="15" t="str">
        <f>IFERROR(__xludf.DUMMYFUNCTION("""COMPUTED_VALUE"""),"Not ranking")</f>
        <v>Not ranking</v>
      </c>
      <c r="D1004" s="15" t="str">
        <f>IFERROR(__xludf.DUMMYFUNCTION("""COMPUTED_VALUE"""),"Not ranking")</f>
        <v>Not ranking</v>
      </c>
      <c r="E1004" s="15" t="str">
        <f>IFERROR(__xludf.DUMMYFUNCTION("""COMPUTED_VALUE"""),"6")</f>
        <v>6</v>
      </c>
      <c r="F1004" s="18" t="str">
        <f>IFERROR(__xludf.DUMMYFUNCTION("""COMPUTED_VALUE"""),"Not ranking")</f>
        <v>Not ranking</v>
      </c>
      <c r="G1004" s="18" t="str">
        <f>IFERROR(__xludf.DUMMYFUNCTION("""COMPUTED_VALUE"""),"Not ranking")</f>
        <v>Not ranking</v>
      </c>
      <c r="H1004" s="17" t="str">
        <f>IFERROR(__xludf.DUMMYFUNCTION("""COMPUTED_VALUE"""),"https://www.wideopenspaces.com/whitetail-deer-gestation-period/")</f>
        <v>https://www.wideopenspaces.com/whitetail-deer-gestation-period/</v>
      </c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15" t="str">
        <f>IFERROR(__xludf.DUMMYFUNCTION("""COMPUTED_VALUE"""),"deer hunting in georgia")</f>
        <v>deer hunting in georgia</v>
      </c>
      <c r="B1005" s="15" t="str">
        <f>IFERROR(__xludf.DUMMYFUNCTION("""COMPUTED_VALUE"""),"720")</f>
        <v>720</v>
      </c>
      <c r="C1005" s="15" t="str">
        <f>IFERROR(__xludf.DUMMYFUNCTION("""COMPUTED_VALUE"""),"Not ranking")</f>
        <v>Not ranking</v>
      </c>
      <c r="D1005" s="15" t="str">
        <f>IFERROR(__xludf.DUMMYFUNCTION("""COMPUTED_VALUE"""),"83")</f>
        <v>83</v>
      </c>
      <c r="E1005" s="15" t="str">
        <f>IFERROR(__xludf.DUMMYFUNCTION("""COMPUTED_VALUE"""),"46")</f>
        <v>46</v>
      </c>
      <c r="F1005" s="18" t="str">
        <f>IFERROR(__xludf.DUMMYFUNCTION("""COMPUTED_VALUE"""),"Not ranking")</f>
        <v>Not ranking</v>
      </c>
      <c r="G1005" s="17" t="str">
        <f>IFERROR(__xludf.DUMMYFUNCTION("""COMPUTED_VALUE"""),"https://realtree.com/deer-hunting/articles/10-tips-for-deer-hunting-in-the-south")</f>
        <v>https://realtree.com/deer-hunting/articles/10-tips-for-deer-hunting-in-the-south</v>
      </c>
      <c r="H1005" s="17" t="str">
        <f>IFERROR(__xludf.DUMMYFUNCTION("""COMPUTED_VALUE"""),"https://www.wideopenspaces.com/georgia-deer-hunting/")</f>
        <v>https://www.wideopenspaces.com/georgia-deer-hunting/</v>
      </c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15" t="str">
        <f>IFERROR(__xludf.DUMMYFUNCTION("""COMPUTED_VALUE"""),"deer hunting season georgia")</f>
        <v>deer hunting season georgia</v>
      </c>
      <c r="B1006" s="15" t="str">
        <f>IFERROR(__xludf.DUMMYFUNCTION("""COMPUTED_VALUE"""),"720")</f>
        <v>720</v>
      </c>
      <c r="C1006" s="15" t="str">
        <f>IFERROR(__xludf.DUMMYFUNCTION("""COMPUTED_VALUE"""),"Not ranking")</f>
        <v>Not ranking</v>
      </c>
      <c r="D1006" s="15" t="str">
        <f>IFERROR(__xludf.DUMMYFUNCTION("""COMPUTED_VALUE"""),"Not ranking")</f>
        <v>Not ranking</v>
      </c>
      <c r="E1006" s="15" t="str">
        <f>IFERROR(__xludf.DUMMYFUNCTION("""COMPUTED_VALUE"""),"30")</f>
        <v>30</v>
      </c>
      <c r="F1006" s="18" t="str">
        <f>IFERROR(__xludf.DUMMYFUNCTION("""COMPUTED_VALUE"""),"Not ranking")</f>
        <v>Not ranking</v>
      </c>
      <c r="G1006" s="18" t="str">
        <f>IFERROR(__xludf.DUMMYFUNCTION("""COMPUTED_VALUE"""),"Not ranking")</f>
        <v>Not ranking</v>
      </c>
      <c r="H1006" s="17" t="str">
        <f>IFERROR(__xludf.DUMMYFUNCTION("""COMPUTED_VALUE"""),"https://www.wideopenspaces.com/when-does-deer-season-end-in-georgia/")</f>
        <v>https://www.wideopenspaces.com/when-does-deer-season-end-in-georgia/</v>
      </c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15" t="str">
        <f>IFERROR(__xludf.DUMMYFUNCTION("""COMPUTED_VALUE"""),"deer hunting season pa")</f>
        <v>deer hunting season pa</v>
      </c>
      <c r="B1007" s="15" t="str">
        <f>IFERROR(__xludf.DUMMYFUNCTION("""COMPUTED_VALUE"""),"720")</f>
        <v>720</v>
      </c>
      <c r="C1007" s="15" t="str">
        <f>IFERROR(__xludf.DUMMYFUNCTION("""COMPUTED_VALUE"""),"Not ranking")</f>
        <v>Not ranking</v>
      </c>
      <c r="D1007" s="15" t="str">
        <f>IFERROR(__xludf.DUMMYFUNCTION("""COMPUTED_VALUE"""),"Not ranking")</f>
        <v>Not ranking</v>
      </c>
      <c r="E1007" s="15" t="str">
        <f>IFERROR(__xludf.DUMMYFUNCTION("""COMPUTED_VALUE"""),"60")</f>
        <v>60</v>
      </c>
      <c r="F1007" s="18" t="str">
        <f>IFERROR(__xludf.DUMMYFUNCTION("""COMPUTED_VALUE"""),"Not ranking")</f>
        <v>Not ranking</v>
      </c>
      <c r="G1007" s="18" t="str">
        <f>IFERROR(__xludf.DUMMYFUNCTION("""COMPUTED_VALUE"""),"Not ranking")</f>
        <v>Not ranking</v>
      </c>
      <c r="H1007" s="17" t="str">
        <f>IFERROR(__xludf.DUMMYFUNCTION("""COMPUTED_VALUE"""),"https://www.wideopenspaces.com/pennsylvania-deer-hunting/")</f>
        <v>https://www.wideopenspaces.com/pennsylvania-deer-hunting/</v>
      </c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15" t="str">
        <f>IFERROR(__xludf.DUMMYFUNCTION("""COMPUTED_VALUE"""),"deer hunting season texas")</f>
        <v>deer hunting season texas</v>
      </c>
      <c r="B1008" s="15" t="str">
        <f>IFERROR(__xludf.DUMMYFUNCTION("""COMPUTED_VALUE"""),"720")</f>
        <v>720</v>
      </c>
      <c r="C1008" s="15" t="str">
        <f>IFERROR(__xludf.DUMMYFUNCTION("""COMPUTED_VALUE"""),"Not ranking")</f>
        <v>Not ranking</v>
      </c>
      <c r="D1008" s="15" t="str">
        <f>IFERROR(__xludf.DUMMYFUNCTION("""COMPUTED_VALUE"""),"73")</f>
        <v>73</v>
      </c>
      <c r="E1008" s="15" t="str">
        <f>IFERROR(__xludf.DUMMYFUNCTION("""COMPUTED_VALUE"""),"17")</f>
        <v>17</v>
      </c>
      <c r="F1008" s="18" t="str">
        <f>IFERROR(__xludf.DUMMYFUNCTION("""COMPUTED_VALUE"""),"Not ranking")</f>
        <v>Not ranking</v>
      </c>
      <c r="G1008" s="17" t="str">
        <f>IFERROR(__xludf.DUMMYFUNCTION("""COMPUTED_VALUE"""),"https://realtree.com/deer-hunting/articles/where-to-deer-hunt-in-february")</f>
        <v>https://realtree.com/deer-hunting/articles/where-to-deer-hunt-in-february</v>
      </c>
      <c r="H1008" s="17" t="str">
        <f>IFERROR(__xludf.DUMMYFUNCTION("""COMPUTED_VALUE"""),"https://www.wideopenspaces.com/when-does-deer-season-end-in-texas/")</f>
        <v>https://www.wideopenspaces.com/when-does-deer-season-end-in-texas/</v>
      </c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15" t="str">
        <f>IFERROR(__xludf.DUMMYFUNCTION("""COMPUTED_VALUE"""),"deer hunting wisconsin regulations")</f>
        <v>deer hunting wisconsin regulations</v>
      </c>
      <c r="B1009" s="15" t="str">
        <f>IFERROR(__xludf.DUMMYFUNCTION("""COMPUTED_VALUE"""),"720")</f>
        <v>720</v>
      </c>
      <c r="C1009" s="15" t="str">
        <f>IFERROR(__xludf.DUMMYFUNCTION("""COMPUTED_VALUE"""),"Not ranking")</f>
        <v>Not ranking</v>
      </c>
      <c r="D1009" s="15" t="str">
        <f>IFERROR(__xludf.DUMMYFUNCTION("""COMPUTED_VALUE"""),"69")</f>
        <v>69</v>
      </c>
      <c r="E1009" s="15" t="str">
        <f>IFERROR(__xludf.DUMMYFUNCTION("""COMPUTED_VALUE"""),"Not ranking")</f>
        <v>Not ranking</v>
      </c>
      <c r="F1009" s="18" t="str">
        <f>IFERROR(__xludf.DUMMYFUNCTION("""COMPUTED_VALUE"""),"Not ranking")</f>
        <v>Not ranking</v>
      </c>
      <c r="G1009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1009" s="18" t="str">
        <f>IFERROR(__xludf.DUMMYFUNCTION("""COMPUTED_VALUE"""),"Not ranking")</f>
        <v>Not ranking</v>
      </c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15" t="str">
        <f>IFERROR(__xludf.DUMMYFUNCTION("""COMPUTED_VALUE"""),"deer license wisconsin")</f>
        <v>deer license wisconsin</v>
      </c>
      <c r="B1010" s="15" t="str">
        <f>IFERROR(__xludf.DUMMYFUNCTION("""COMPUTED_VALUE"""),"720")</f>
        <v>720</v>
      </c>
      <c r="C1010" s="15" t="str">
        <f>IFERROR(__xludf.DUMMYFUNCTION("""COMPUTED_VALUE"""),"Not ranking")</f>
        <v>Not ranking</v>
      </c>
      <c r="D1010" s="15" t="str">
        <f>IFERROR(__xludf.DUMMYFUNCTION("""COMPUTED_VALUE"""),"74")</f>
        <v>74</v>
      </c>
      <c r="E1010" s="15" t="str">
        <f>IFERROR(__xludf.DUMMYFUNCTION("""COMPUTED_VALUE"""),"Not ranking")</f>
        <v>Not ranking</v>
      </c>
      <c r="F1010" s="18" t="str">
        <f>IFERROR(__xludf.DUMMYFUNCTION("""COMPUTED_VALUE"""),"Not ranking")</f>
        <v>Not ranking</v>
      </c>
      <c r="G1010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1010" s="18" t="str">
        <f>IFERROR(__xludf.DUMMYFUNCTION("""COMPUTED_VALUE"""),"Not ranking")</f>
        <v>Not ranking</v>
      </c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15" t="str">
        <f>IFERROR(__xludf.DUMMYFUNCTION("""COMPUTED_VALUE"""),"deer scent")</f>
        <v>deer scent</v>
      </c>
      <c r="B1011" s="15" t="str">
        <f>IFERROR(__xludf.DUMMYFUNCTION("""COMPUTED_VALUE"""),"720")</f>
        <v>720</v>
      </c>
      <c r="C1011" s="15" t="str">
        <f>IFERROR(__xludf.DUMMYFUNCTION("""COMPUTED_VALUE"""),"Not ranking")</f>
        <v>Not ranking</v>
      </c>
      <c r="D1011" s="15" t="str">
        <f>IFERROR(__xludf.DUMMYFUNCTION("""COMPUTED_VALUE"""),"30")</f>
        <v>30</v>
      </c>
      <c r="E1011" s="15" t="str">
        <f>IFERROR(__xludf.DUMMYFUNCTION("""COMPUTED_VALUE"""),"Not ranking")</f>
        <v>Not ranking</v>
      </c>
      <c r="F1011" s="18" t="str">
        <f>IFERROR(__xludf.DUMMYFUNCTION("""COMPUTED_VALUE"""),"Not ranking")</f>
        <v>Not ranking</v>
      </c>
      <c r="G1011" s="17" t="str">
        <f>IFERROR(__xludf.DUMMYFUNCTION("""COMPUTED_VALUE"""),"https://realtree.com/brow-tines-and-backstrap/why-buck-tarsal-is-the-deadliest-scent-in-the-deer-woods")</f>
        <v>https://realtree.com/brow-tines-and-backstrap/why-buck-tarsal-is-the-deadliest-scent-in-the-deer-woods</v>
      </c>
      <c r="H1011" s="18" t="str">
        <f>IFERROR(__xludf.DUMMYFUNCTION("""COMPUTED_VALUE"""),"Not ranking")</f>
        <v>Not ranking</v>
      </c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15" t="str">
        <f>IFERROR(__xludf.DUMMYFUNCTION("""COMPUTED_VALUE"""),"deer season fl")</f>
        <v>deer season fl</v>
      </c>
      <c r="B1012" s="15" t="str">
        <f>IFERROR(__xludf.DUMMYFUNCTION("""COMPUTED_VALUE"""),"720")</f>
        <v>720</v>
      </c>
      <c r="C1012" s="15" t="str">
        <f>IFERROR(__xludf.DUMMYFUNCTION("""COMPUTED_VALUE"""),"Not ranking")</f>
        <v>Not ranking</v>
      </c>
      <c r="D1012" s="15" t="str">
        <f>IFERROR(__xludf.DUMMYFUNCTION("""COMPUTED_VALUE"""),"44")</f>
        <v>44</v>
      </c>
      <c r="E1012" s="15" t="str">
        <f>IFERROR(__xludf.DUMMYFUNCTION("""COMPUTED_VALUE"""),"Not ranking")</f>
        <v>Not ranking</v>
      </c>
      <c r="F1012" s="18" t="str">
        <f>IFERROR(__xludf.DUMMYFUNCTION("""COMPUTED_VALUE"""),"Not ranking")</f>
        <v>Not ranking</v>
      </c>
      <c r="G1012" s="17" t="str">
        <f>IFERROR(__xludf.DUMMYFUNCTION("""COMPUTED_VALUE"""),"https://realtree.com/deer-hunting/articles/where-to-deer-hunt-in-february")</f>
        <v>https://realtree.com/deer-hunting/articles/where-to-deer-hunt-in-february</v>
      </c>
      <c r="H1012" s="18" t="str">
        <f>IFERROR(__xludf.DUMMYFUNCTION("""COMPUTED_VALUE"""),"Not ranking")</f>
        <v>Not ranking</v>
      </c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15" t="str">
        <f>IFERROR(__xludf.DUMMYFUNCTION("""COMPUTED_VALUE"""),"deer season for ohio")</f>
        <v>deer season for ohio</v>
      </c>
      <c r="B1013" s="15" t="str">
        <f>IFERROR(__xludf.DUMMYFUNCTION("""COMPUTED_VALUE"""),"720")</f>
        <v>720</v>
      </c>
      <c r="C1013" s="15" t="str">
        <f>IFERROR(__xludf.DUMMYFUNCTION("""COMPUTED_VALUE"""),"Not ranking")</f>
        <v>Not ranking</v>
      </c>
      <c r="D1013" s="15" t="str">
        <f>IFERROR(__xludf.DUMMYFUNCTION("""COMPUTED_VALUE"""),"Not ranking")</f>
        <v>Not ranking</v>
      </c>
      <c r="E1013" s="15" t="str">
        <f>IFERROR(__xludf.DUMMYFUNCTION("""COMPUTED_VALUE"""),"53")</f>
        <v>53</v>
      </c>
      <c r="F1013" s="18" t="str">
        <f>IFERROR(__xludf.DUMMYFUNCTION("""COMPUTED_VALUE"""),"Not ranking")</f>
        <v>Not ranking</v>
      </c>
      <c r="G1013" s="18" t="str">
        <f>IFERROR(__xludf.DUMMYFUNCTION("""COMPUTED_VALUE"""),"Not ranking")</f>
        <v>Not ranking</v>
      </c>
      <c r="H1013" s="17" t="str">
        <f>IFERROR(__xludf.DUMMYFUNCTION("""COMPUTED_VALUE"""),"https://www.wideopenspaces.com/deer-hunting-in-ohio-what-you-should-know/")</f>
        <v>https://www.wideopenspaces.com/deer-hunting-in-ohio-what-you-should-know/</v>
      </c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15" t="str">
        <f>IFERROR(__xludf.DUMMYFUNCTION("""COMPUTED_VALUE"""),"deer season illinois 2022")</f>
        <v>deer season illinois 2022</v>
      </c>
      <c r="B1014" s="15" t="str">
        <f>IFERROR(__xludf.DUMMYFUNCTION("""COMPUTED_VALUE"""),"720")</f>
        <v>720</v>
      </c>
      <c r="C1014" s="15" t="str">
        <f>IFERROR(__xludf.DUMMYFUNCTION("""COMPUTED_VALUE"""),"Not ranking")</f>
        <v>Not ranking</v>
      </c>
      <c r="D1014" s="15" t="str">
        <f>IFERROR(__xludf.DUMMYFUNCTION("""COMPUTED_VALUE"""),"93")</f>
        <v>93</v>
      </c>
      <c r="E1014" s="15" t="str">
        <f>IFERROR(__xludf.DUMMYFUNCTION("""COMPUTED_VALUE"""),"40")</f>
        <v>40</v>
      </c>
      <c r="F1014" s="18" t="str">
        <f>IFERROR(__xludf.DUMMYFUNCTION("""COMPUTED_VALUE"""),"Not ranking")</f>
        <v>Not ranking</v>
      </c>
      <c r="G1014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1014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15" t="str">
        <f>IFERROR(__xludf.DUMMYFUNCTION("""COMPUTED_VALUE"""),"deer season in ga")</f>
        <v>deer season in ga</v>
      </c>
      <c r="B1015" s="15" t="str">
        <f>IFERROR(__xludf.DUMMYFUNCTION("""COMPUTED_VALUE"""),"720")</f>
        <v>720</v>
      </c>
      <c r="C1015" s="15" t="str">
        <f>IFERROR(__xludf.DUMMYFUNCTION("""COMPUTED_VALUE"""),"Not ranking")</f>
        <v>Not ranking</v>
      </c>
      <c r="D1015" s="15" t="str">
        <f>IFERROR(__xludf.DUMMYFUNCTION("""COMPUTED_VALUE"""),"Not ranking")</f>
        <v>Not ranking</v>
      </c>
      <c r="E1015" s="15" t="str">
        <f>IFERROR(__xludf.DUMMYFUNCTION("""COMPUTED_VALUE"""),"16")</f>
        <v>16</v>
      </c>
      <c r="F1015" s="18" t="str">
        <f>IFERROR(__xludf.DUMMYFUNCTION("""COMPUTED_VALUE"""),"Not ranking")</f>
        <v>Not ranking</v>
      </c>
      <c r="G1015" s="18" t="str">
        <f>IFERROR(__xludf.DUMMYFUNCTION("""COMPUTED_VALUE"""),"Not ranking")</f>
        <v>Not ranking</v>
      </c>
      <c r="H1015" s="17" t="str">
        <f>IFERROR(__xludf.DUMMYFUNCTION("""COMPUTED_VALUE"""),"https://www.wideopenspaces.com/when-does-deer-season-end-in-georgia/")</f>
        <v>https://www.wideopenspaces.com/when-does-deer-season-end-in-georgia/</v>
      </c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15" t="str">
        <f>IFERROR(__xludf.DUMMYFUNCTION("""COMPUTED_VALUE"""),"deer season in tn")</f>
        <v>deer season in tn</v>
      </c>
      <c r="B1016" s="15" t="str">
        <f>IFERROR(__xludf.DUMMYFUNCTION("""COMPUTED_VALUE"""),"720")</f>
        <v>720</v>
      </c>
      <c r="C1016" s="15" t="str">
        <f>IFERROR(__xludf.DUMMYFUNCTION("""COMPUTED_VALUE"""),"Not ranking")</f>
        <v>Not ranking</v>
      </c>
      <c r="D1016" s="15" t="str">
        <f>IFERROR(__xludf.DUMMYFUNCTION("""COMPUTED_VALUE"""),"86")</f>
        <v>86</v>
      </c>
      <c r="E1016" s="15" t="str">
        <f>IFERROR(__xludf.DUMMYFUNCTION("""COMPUTED_VALUE"""),"61")</f>
        <v>61</v>
      </c>
      <c r="F1016" s="18" t="str">
        <f>IFERROR(__xludf.DUMMYFUNCTION("""COMPUTED_VALUE"""),"Not ranking")</f>
        <v>Not ranking</v>
      </c>
      <c r="G1016" s="17" t="str">
        <f>IFERROR(__xludf.DUMMYFUNCTION("""COMPUTED_VALUE"""),"https://realtree.com/deer-hunting/articles/deer-hunting-the-late-season")</f>
        <v>https://realtree.com/deer-hunting/articles/deer-hunting-the-late-season</v>
      </c>
      <c r="H1016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15" t="str">
        <f>IFERROR(__xludf.DUMMYFUNCTION("""COMPUTED_VALUE"""),"deer season iowa")</f>
        <v>deer season iowa</v>
      </c>
      <c r="B1017" s="15" t="str">
        <f>IFERROR(__xludf.DUMMYFUNCTION("""COMPUTED_VALUE"""),"720")</f>
        <v>720</v>
      </c>
      <c r="C1017" s="15" t="str">
        <f>IFERROR(__xludf.DUMMYFUNCTION("""COMPUTED_VALUE"""),"Not ranking")</f>
        <v>Not ranking</v>
      </c>
      <c r="D1017" s="15" t="str">
        <f>IFERROR(__xludf.DUMMYFUNCTION("""COMPUTED_VALUE"""),"26")</f>
        <v>26</v>
      </c>
      <c r="E1017" s="15" t="str">
        <f>IFERROR(__xludf.DUMMYFUNCTION("""COMPUTED_VALUE"""),"Not ranking")</f>
        <v>Not ranking</v>
      </c>
      <c r="F1017" s="18" t="str">
        <f>IFERROR(__xludf.DUMMYFUNCTION("""COMPUTED_VALUE"""),"Not ranking")</f>
        <v>Not ranking</v>
      </c>
      <c r="G1017" s="17" t="str">
        <f>IFERROR(__xludf.DUMMYFUNCTION("""COMPUTED_VALUE"""),"https://realtree.com/brow-tines-and-backstrap/iowa-law-expands-rifle-options-for-late-season-antlerless-hunts")</f>
        <v>https://realtree.com/brow-tines-and-backstrap/iowa-law-expands-rifle-options-for-late-season-antlerless-hunts</v>
      </c>
      <c r="H1017" s="18" t="str">
        <f>IFERROR(__xludf.DUMMYFUNCTION("""COMPUTED_VALUE"""),"Not ranking")</f>
        <v>Not ranking</v>
      </c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15" t="str">
        <f>IFERROR(__xludf.DUMMYFUNCTION("""COMPUTED_VALUE"""),"deer season maryland")</f>
        <v>deer season maryland</v>
      </c>
      <c r="B1018" s="15" t="str">
        <f>IFERROR(__xludf.DUMMYFUNCTION("""COMPUTED_VALUE"""),"720")</f>
        <v>720</v>
      </c>
      <c r="C1018" s="15" t="str">
        <f>IFERROR(__xludf.DUMMYFUNCTION("""COMPUTED_VALUE"""),"Not ranking")</f>
        <v>Not ranking</v>
      </c>
      <c r="D1018" s="15" t="str">
        <f>IFERROR(__xludf.DUMMYFUNCTION("""COMPUTED_VALUE"""),"Not ranking")</f>
        <v>Not ranking</v>
      </c>
      <c r="E1018" s="15" t="str">
        <f>IFERROR(__xludf.DUMMYFUNCTION("""COMPUTED_VALUE"""),"57")</f>
        <v>57</v>
      </c>
      <c r="F1018" s="18" t="str">
        <f>IFERROR(__xludf.DUMMYFUNCTION("""COMPUTED_VALUE"""),"Not ranking")</f>
        <v>Not ranking</v>
      </c>
      <c r="G1018" s="18" t="str">
        <f>IFERROR(__xludf.DUMMYFUNCTION("""COMPUTED_VALUE"""),"Not ranking")</f>
        <v>Not ranking</v>
      </c>
      <c r="H1018" s="17" t="str">
        <f>IFERROR(__xludf.DUMMYFUNCTION("""COMPUTED_VALUE"""),"https://www.wideopenspaces.com/maryland-sika-deer-hunting/")</f>
        <v>https://www.wideopenspaces.com/maryland-sika-deer-hunting/</v>
      </c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15" t="str">
        <f>IFERROR(__xludf.DUMMYFUNCTION("""COMPUTED_VALUE"""),"deer season pa 2022")</f>
        <v>deer season pa 2022</v>
      </c>
      <c r="B1019" s="15" t="str">
        <f>IFERROR(__xludf.DUMMYFUNCTION("""COMPUTED_VALUE"""),"720")</f>
        <v>720</v>
      </c>
      <c r="C1019" s="15" t="str">
        <f>IFERROR(__xludf.DUMMYFUNCTION("""COMPUTED_VALUE"""),"Not ranking")</f>
        <v>Not ranking</v>
      </c>
      <c r="D1019" s="15" t="str">
        <f>IFERROR(__xludf.DUMMYFUNCTION("""COMPUTED_VALUE"""),"73")</f>
        <v>73</v>
      </c>
      <c r="E1019" s="15" t="str">
        <f>IFERROR(__xludf.DUMMYFUNCTION("""COMPUTED_VALUE"""),"Not ranking")</f>
        <v>Not ranking</v>
      </c>
      <c r="F1019" s="18" t="str">
        <f>IFERROR(__xludf.DUMMYFUNCTION("""COMPUTED_VALUE"""),"Not ranking")</f>
        <v>Not ranking</v>
      </c>
      <c r="G1019" s="17" t="str">
        <f>IFERROR(__xludf.DUMMYFUNCTION("""COMPUTED_VALUE"""),"https://realtree.com/brow-tines-and-backstrap/2022-northeast-deer-hunting-forecast")</f>
        <v>https://realtree.com/brow-tines-and-backstrap/2022-northeast-deer-hunting-forecast</v>
      </c>
      <c r="H1019" s="18" t="str">
        <f>IFERROR(__xludf.DUMMYFUNCTION("""COMPUTED_VALUE"""),"Not ranking")</f>
        <v>Not ranking</v>
      </c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15" t="str">
        <f>IFERROR(__xludf.DUMMYFUNCTION("""COMPUTED_VALUE"""),"deer season wisconsin")</f>
        <v>deer season wisconsin</v>
      </c>
      <c r="B1020" s="15" t="str">
        <f>IFERROR(__xludf.DUMMYFUNCTION("""COMPUTED_VALUE"""),"720")</f>
        <v>720</v>
      </c>
      <c r="C1020" s="15" t="str">
        <f>IFERROR(__xludf.DUMMYFUNCTION("""COMPUTED_VALUE"""),"Not ranking")</f>
        <v>Not ranking</v>
      </c>
      <c r="D1020" s="15" t="str">
        <f>IFERROR(__xludf.DUMMYFUNCTION("""COMPUTED_VALUE"""),"11")</f>
        <v>11</v>
      </c>
      <c r="E1020" s="15" t="str">
        <f>IFERROR(__xludf.DUMMYFUNCTION("""COMPUTED_VALUE"""),"57")</f>
        <v>57</v>
      </c>
      <c r="F1020" s="18" t="str">
        <f>IFERROR(__xludf.DUMMYFUNCTION("""COMPUTED_VALUE"""),"Not ranking")</f>
        <v>Not ranking</v>
      </c>
      <c r="G1020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1020" s="17" t="str">
        <f>IFERROR(__xludf.DUMMYFUNCTION("""COMPUTED_VALUE"""),"https://www.wideopenspaces.com/wisconsin-deer-hunting-everything-hunters-need-to-know/")</f>
        <v>https://www.wideopenspaces.com/wisconsin-deer-hunting-everything-hunters-need-to-know/</v>
      </c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15" t="str">
        <f>IFERROR(__xludf.DUMMYFUNCTION("""COMPUTED_VALUE"""),"deer season wv 2022")</f>
        <v>deer season wv 2022</v>
      </c>
      <c r="B1021" s="15" t="str">
        <f>IFERROR(__xludf.DUMMYFUNCTION("""COMPUTED_VALUE"""),"720")</f>
        <v>720</v>
      </c>
      <c r="C1021" s="15" t="str">
        <f>IFERROR(__xludf.DUMMYFUNCTION("""COMPUTED_VALUE"""),"Not ranking")</f>
        <v>Not ranking</v>
      </c>
      <c r="D1021" s="15" t="str">
        <f>IFERROR(__xludf.DUMMYFUNCTION("""COMPUTED_VALUE"""),"70")</f>
        <v>70</v>
      </c>
      <c r="E1021" s="15" t="str">
        <f>IFERROR(__xludf.DUMMYFUNCTION("""COMPUTED_VALUE"""),"Not ranking")</f>
        <v>Not ranking</v>
      </c>
      <c r="F1021" s="18" t="str">
        <f>IFERROR(__xludf.DUMMYFUNCTION("""COMPUTED_VALUE"""),"Not ranking")</f>
        <v>Not ranking</v>
      </c>
      <c r="G1021" s="17" t="str">
        <f>IFERROR(__xludf.DUMMYFUNCTION("""COMPUTED_VALUE"""),"https://realtree.com/deer-hunting/articles/10-best-times-to-deer-hunt")</f>
        <v>https://realtree.com/deer-hunting/articles/10-best-times-to-deer-hunt</v>
      </c>
      <c r="H1021" s="18" t="str">
        <f>IFERROR(__xludf.DUMMYFUNCTION("""COMPUTED_VALUE"""),"Not ranking")</f>
        <v>Not ranking</v>
      </c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15" t="str">
        <f>IFERROR(__xludf.DUMMYFUNCTION("""COMPUTED_VALUE"""),"deer tags mo")</f>
        <v>deer tags mo</v>
      </c>
      <c r="B1022" s="15" t="str">
        <f>IFERROR(__xludf.DUMMYFUNCTION("""COMPUTED_VALUE"""),"720")</f>
        <v>720</v>
      </c>
      <c r="C1022" s="15" t="str">
        <f>IFERROR(__xludf.DUMMYFUNCTION("""COMPUTED_VALUE"""),"Not ranking")</f>
        <v>Not ranking</v>
      </c>
      <c r="D1022" s="15" t="str">
        <f>IFERROR(__xludf.DUMMYFUNCTION("""COMPUTED_VALUE"""),"Not ranking")</f>
        <v>Not ranking</v>
      </c>
      <c r="E1022" s="15" t="str">
        <f>IFERROR(__xludf.DUMMYFUNCTION("""COMPUTED_VALUE"""),"95")</f>
        <v>95</v>
      </c>
      <c r="F1022" s="18" t="str">
        <f>IFERROR(__xludf.DUMMYFUNCTION("""COMPUTED_VALUE"""),"Not ranking")</f>
        <v>Not ranking</v>
      </c>
      <c r="G1022" s="18" t="str">
        <f>IFERROR(__xludf.DUMMYFUNCTION("""COMPUTED_VALUE"""),"Not ranking")</f>
        <v>Not ranking</v>
      </c>
      <c r="H1022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15" t="str">
        <f>IFERROR(__xludf.DUMMYFUNCTION("""COMPUTED_VALUE"""),"deer target archery")</f>
        <v>deer target archery</v>
      </c>
      <c r="B1023" s="15" t="str">
        <f>IFERROR(__xludf.DUMMYFUNCTION("""COMPUTED_VALUE"""),"720")</f>
        <v>720</v>
      </c>
      <c r="C1023" s="15" t="str">
        <f>IFERROR(__xludf.DUMMYFUNCTION("""COMPUTED_VALUE"""),"Not ranking")</f>
        <v>Not ranking</v>
      </c>
      <c r="D1023" s="15" t="str">
        <f>IFERROR(__xludf.DUMMYFUNCTION("""COMPUTED_VALUE"""),"Not ranking")</f>
        <v>Not ranking</v>
      </c>
      <c r="E1023" s="15" t="str">
        <f>IFERROR(__xludf.DUMMYFUNCTION("""COMPUTED_VALUE"""),"77")</f>
        <v>77</v>
      </c>
      <c r="F1023" s="18" t="str">
        <f>IFERROR(__xludf.DUMMYFUNCTION("""COMPUTED_VALUE"""),"Not ranking")</f>
        <v>Not ranking</v>
      </c>
      <c r="G1023" s="18" t="str">
        <f>IFERROR(__xludf.DUMMYFUNCTION("""COMPUTED_VALUE"""),"Not ranking")</f>
        <v>Not ranking</v>
      </c>
      <c r="H1023" s="17" t="str">
        <f>IFERROR(__xludf.DUMMYFUNCTION("""COMPUTED_VALUE"""),"https://www.wideopenspaces.com/the-best-3d-archery-targets/")</f>
        <v>https://www.wideopenspaces.com/the-best-3d-archery-targets/</v>
      </c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15" t="str">
        <f>IFERROR(__xludf.DUMMYFUNCTION("""COMPUTED_VALUE"""),"deer with drop tines")</f>
        <v>deer with drop tines</v>
      </c>
      <c r="B1024" s="15" t="str">
        <f>IFERROR(__xludf.DUMMYFUNCTION("""COMPUTED_VALUE"""),"720")</f>
        <v>720</v>
      </c>
      <c r="C1024" s="15" t="str">
        <f>IFERROR(__xludf.DUMMYFUNCTION("""COMPUTED_VALUE"""),"Not ranking")</f>
        <v>Not ranking</v>
      </c>
      <c r="D1024" s="15" t="str">
        <f>IFERROR(__xludf.DUMMYFUNCTION("""COMPUTED_VALUE"""),"1")</f>
        <v>1</v>
      </c>
      <c r="E1024" s="15" t="str">
        <f>IFERROR(__xludf.DUMMYFUNCTION("""COMPUTED_VALUE"""),"6")</f>
        <v>6</v>
      </c>
      <c r="F1024" s="18" t="str">
        <f>IFERROR(__xludf.DUMMYFUNCTION("""COMPUTED_VALUE"""),"Not ranking")</f>
        <v>Not ranking</v>
      </c>
      <c r="G1024" s="17" t="str">
        <f>IFERROR(__xludf.DUMMYFUNCTION("""COMPUTED_VALUE"""),"https://realtree.com/deer-hunting/articles/deer-hunting-a-quest-for-a-drop-tine-buck")</f>
        <v>https://realtree.com/deer-hunting/articles/deer-hunting-a-quest-for-a-drop-tine-buck</v>
      </c>
      <c r="H1024" s="17" t="str">
        <f>IFERROR(__xludf.DUMMYFUNCTION("""COMPUTED_VALUE"""),"https://www.wideopenspaces.com/whitetailwednesday-check-out-8-of-the-coolest-drop-tine-bucks-ever/")</f>
        <v>https://www.wideopenspaces.com/whitetailwednesday-check-out-8-of-the-coolest-drop-tine-bucks-ever/</v>
      </c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15" t="str">
        <f>IFERROR(__xludf.DUMMYFUNCTION("""COMPUTED_VALUE"""),"deer with warts")</f>
        <v>deer with warts</v>
      </c>
      <c r="B1025" s="15" t="str">
        <f>IFERROR(__xludf.DUMMYFUNCTION("""COMPUTED_VALUE"""),"720")</f>
        <v>720</v>
      </c>
      <c r="C1025" s="15" t="str">
        <f>IFERROR(__xludf.DUMMYFUNCTION("""COMPUTED_VALUE"""),"Not ranking")</f>
        <v>Not ranking</v>
      </c>
      <c r="D1025" s="15" t="str">
        <f>IFERROR(__xludf.DUMMYFUNCTION("""COMPUTED_VALUE"""),"Not ranking")</f>
        <v>Not ranking</v>
      </c>
      <c r="E1025" s="15" t="str">
        <f>IFERROR(__xludf.DUMMYFUNCTION("""COMPUTED_VALUE"""),"20")</f>
        <v>20</v>
      </c>
      <c r="F1025" s="18" t="str">
        <f>IFERROR(__xludf.DUMMYFUNCTION("""COMPUTED_VALUE"""),"Not ranking")</f>
        <v>Not ranking</v>
      </c>
      <c r="G1025" s="18" t="str">
        <f>IFERROR(__xludf.DUMMYFUNCTION("""COMPUTED_VALUE"""),"Not ranking")</f>
        <v>Not ranking</v>
      </c>
      <c r="H1025" s="17" t="str">
        <f>IFERROR(__xludf.DUMMYFUNCTION("""COMPUTED_VALUE"""),"https://www.wideopenspaces.com/deer-warts/")</f>
        <v>https://www.wideopenspaces.com/deer-warts/</v>
      </c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15" t="str">
        <f>IFERROR(__xludf.DUMMYFUNCTION("""COMPUTED_VALUE"""),"deer with white spots")</f>
        <v>deer with white spots</v>
      </c>
      <c r="B1026" s="15" t="str">
        <f>IFERROR(__xludf.DUMMYFUNCTION("""COMPUTED_VALUE"""),"720")</f>
        <v>720</v>
      </c>
      <c r="C1026" s="15" t="str">
        <f>IFERROR(__xludf.DUMMYFUNCTION("""COMPUTED_VALUE"""),"Not ranking")</f>
        <v>Not ranking</v>
      </c>
      <c r="D1026" s="15" t="str">
        <f>IFERROR(__xludf.DUMMYFUNCTION("""COMPUTED_VALUE"""),"Not ranking")</f>
        <v>Not ranking</v>
      </c>
      <c r="E1026" s="15" t="str">
        <f>IFERROR(__xludf.DUMMYFUNCTION("""COMPUTED_VALUE"""),"17")</f>
        <v>17</v>
      </c>
      <c r="F1026" s="18" t="str">
        <f>IFERROR(__xludf.DUMMYFUNCTION("""COMPUTED_VALUE"""),"Not ranking")</f>
        <v>Not ranking</v>
      </c>
      <c r="G1026" s="18" t="str">
        <f>IFERROR(__xludf.DUMMYFUNCTION("""COMPUTED_VALUE"""),"Not ranking")</f>
        <v>Not ranking</v>
      </c>
      <c r="H1026" s="17" t="str">
        <f>IFERROR(__xludf.DUMMYFUNCTION("""COMPUTED_VALUE"""),"https://www.wideopenspaces.com/invasion-axis-deer/")</f>
        <v>https://www.wideopenspaces.com/invasion-axis-deer/</v>
      </c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15" t="str">
        <f>IFERROR(__xludf.DUMMYFUNCTION("""COMPUTED_VALUE"""),"deerhunting")</f>
        <v>deerhunting</v>
      </c>
      <c r="B1027" s="15" t="str">
        <f>IFERROR(__xludf.DUMMYFUNCTION("""COMPUTED_VALUE"""),"720")</f>
        <v>720</v>
      </c>
      <c r="C1027" s="15" t="str">
        <f>IFERROR(__xludf.DUMMYFUNCTION("""COMPUTED_VALUE"""),"Not ranking")</f>
        <v>Not ranking</v>
      </c>
      <c r="D1027" s="15" t="str">
        <f>IFERROR(__xludf.DUMMYFUNCTION("""COMPUTED_VALUE"""),"36")</f>
        <v>36</v>
      </c>
      <c r="E1027" s="15" t="str">
        <f>IFERROR(__xludf.DUMMYFUNCTION("""COMPUTED_VALUE"""),"Not ranking")</f>
        <v>Not ranking</v>
      </c>
      <c r="F1027" s="18" t="str">
        <f>IFERROR(__xludf.DUMMYFUNCTION("""COMPUTED_VALUE"""),"Not ranking")</f>
        <v>Not ranking</v>
      </c>
      <c r="G1027" s="17" t="str">
        <f>IFERROR(__xludf.DUMMYFUNCTION("""COMPUTED_VALUE"""),"https://realtree.com/deer-hunting")</f>
        <v>https://realtree.com/deer-hunting</v>
      </c>
      <c r="H1027" s="18" t="str">
        <f>IFERROR(__xludf.DUMMYFUNCTION("""COMPUTED_VALUE"""),"Not ranking")</f>
        <v>Not ranking</v>
      </c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15" t="str">
        <f>IFERROR(__xludf.DUMMYFUNCTION("""COMPUTED_VALUE"""),"do foxes eat deer")</f>
        <v>do foxes eat deer</v>
      </c>
      <c r="B1028" s="15" t="str">
        <f>IFERROR(__xludf.DUMMYFUNCTION("""COMPUTED_VALUE"""),"720")</f>
        <v>720</v>
      </c>
      <c r="C1028" s="15" t="str">
        <f>IFERROR(__xludf.DUMMYFUNCTION("""COMPUTED_VALUE"""),"Not ranking")</f>
        <v>Not ranking</v>
      </c>
      <c r="D1028" s="15" t="str">
        <f>IFERROR(__xludf.DUMMYFUNCTION("""COMPUTED_VALUE"""),"Not ranking")</f>
        <v>Not ranking</v>
      </c>
      <c r="E1028" s="15" t="str">
        <f>IFERROR(__xludf.DUMMYFUNCTION("""COMPUTED_VALUE"""),"32")</f>
        <v>32</v>
      </c>
      <c r="F1028" s="18" t="str">
        <f>IFERROR(__xludf.DUMMYFUNCTION("""COMPUTED_VALUE"""),"Not ranking")</f>
        <v>Not ranking</v>
      </c>
      <c r="G1028" s="18" t="str">
        <f>IFERROR(__xludf.DUMMYFUNCTION("""COMPUTED_VALUE"""),"Not ranking")</f>
        <v>Not ranking</v>
      </c>
      <c r="H1028" s="17" t="str">
        <f>IFERROR(__xludf.DUMMYFUNCTION("""COMPUTED_VALUE"""),"https://www.wideopenspaces.com/what-do-foxes-eat/")</f>
        <v>https://www.wideopenspaces.com/what-do-foxes-eat/</v>
      </c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15" t="str">
        <f>IFERROR(__xludf.DUMMYFUNCTION("""COMPUTED_VALUE"""),"female mule deer")</f>
        <v>female mule deer</v>
      </c>
      <c r="B1029" s="15" t="str">
        <f>IFERROR(__xludf.DUMMYFUNCTION("""COMPUTED_VALUE"""),"720")</f>
        <v>720</v>
      </c>
      <c r="C1029" s="15" t="str">
        <f>IFERROR(__xludf.DUMMYFUNCTION("""COMPUTED_VALUE"""),"Not ranking")</f>
        <v>Not ranking</v>
      </c>
      <c r="D1029" s="15" t="str">
        <f>IFERROR(__xludf.DUMMYFUNCTION("""COMPUTED_VALUE"""),"99")</f>
        <v>99</v>
      </c>
      <c r="E1029" s="15" t="str">
        <f>IFERROR(__xludf.DUMMYFUNCTION("""COMPUTED_VALUE"""),"Not ranking")</f>
        <v>Not ranking</v>
      </c>
      <c r="F1029" s="18" t="str">
        <f>IFERROR(__xludf.DUMMYFUNCTION("""COMPUTED_VALUE"""),"Not ranking")</f>
        <v>Not ranking</v>
      </c>
      <c r="G1029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1029" s="18" t="str">
        <f>IFERROR(__xludf.DUMMYFUNCTION("""COMPUTED_VALUE"""),"Not ranking")</f>
        <v>Not ranking</v>
      </c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15" t="str">
        <f>IFERROR(__xludf.DUMMYFUNCTION("""COMPUTED_VALUE"""),"funny deer")</f>
        <v>funny deer</v>
      </c>
      <c r="B1030" s="15" t="str">
        <f>IFERROR(__xludf.DUMMYFUNCTION("""COMPUTED_VALUE"""),"720")</f>
        <v>720</v>
      </c>
      <c r="C1030" s="15" t="str">
        <f>IFERROR(__xludf.DUMMYFUNCTION("""COMPUTED_VALUE"""),"Not ranking")</f>
        <v>Not ranking</v>
      </c>
      <c r="D1030" s="15" t="str">
        <f>IFERROR(__xludf.DUMMYFUNCTION("""COMPUTED_VALUE"""),"17")</f>
        <v>17</v>
      </c>
      <c r="E1030" s="15" t="str">
        <f>IFERROR(__xludf.DUMMYFUNCTION("""COMPUTED_VALUE"""),"49")</f>
        <v>49</v>
      </c>
      <c r="F1030" s="18" t="str">
        <f>IFERROR(__xludf.DUMMYFUNCTION("""COMPUTED_VALUE"""),"Not ranking")</f>
        <v>Not ranking</v>
      </c>
      <c r="G1030" s="17" t="str">
        <f>IFERROR(__xludf.DUMMYFUNCTION("""COMPUTED_VALUE"""),"https://realtree.com/deer-hunting/articles/blunders-afield-funny-and-weird-mistakes-that-cost-me-deer")</f>
        <v>https://realtree.com/deer-hunting/articles/blunders-afield-funny-and-weird-mistakes-that-cost-me-deer</v>
      </c>
      <c r="H1030" s="17" t="str">
        <f>IFERROR(__xludf.DUMMYFUNCTION("""COMPUTED_VALUE"""),"https://www.wideopenspaces.com/whitetailwednesday-15-hilarious-deer-hunting-memes-true/")</f>
        <v>https://www.wideopenspaces.com/whitetailwednesday-15-hilarious-deer-hunting-memes-true/</v>
      </c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15" t="str">
        <f>IFERROR(__xludf.DUMMYFUNCTION("""COMPUTED_VALUE"""),"georgia hunting seasons deer")</f>
        <v>georgia hunting seasons deer</v>
      </c>
      <c r="B1031" s="15" t="str">
        <f>IFERROR(__xludf.DUMMYFUNCTION("""COMPUTED_VALUE"""),"720")</f>
        <v>720</v>
      </c>
      <c r="C1031" s="15" t="str">
        <f>IFERROR(__xludf.DUMMYFUNCTION("""COMPUTED_VALUE"""),"Not ranking")</f>
        <v>Not ranking</v>
      </c>
      <c r="D1031" s="15" t="str">
        <f>IFERROR(__xludf.DUMMYFUNCTION("""COMPUTED_VALUE"""),"Not ranking")</f>
        <v>Not ranking</v>
      </c>
      <c r="E1031" s="15" t="str">
        <f>IFERROR(__xludf.DUMMYFUNCTION("""COMPUTED_VALUE"""),"38")</f>
        <v>38</v>
      </c>
      <c r="F1031" s="18" t="str">
        <f>IFERROR(__xludf.DUMMYFUNCTION("""COMPUTED_VALUE"""),"Not ranking")</f>
        <v>Not ranking</v>
      </c>
      <c r="G1031" s="18" t="str">
        <f>IFERROR(__xludf.DUMMYFUNCTION("""COMPUTED_VALUE"""),"Not ranking")</f>
        <v>Not ranking</v>
      </c>
      <c r="H1031" s="17" t="str">
        <f>IFERROR(__xludf.DUMMYFUNCTION("""COMPUTED_VALUE"""),"https://www.wideopenspaces.com/georgia-deer-hunting/")</f>
        <v>https://www.wideopenspaces.com/georgia-deer-hunting/</v>
      </c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15" t="str">
        <f>IFERROR(__xludf.DUMMYFUNCTION("""COMPUTED_VALUE"""),"gifts for deer hunters")</f>
        <v>gifts for deer hunters</v>
      </c>
      <c r="B1032" s="15" t="str">
        <f>IFERROR(__xludf.DUMMYFUNCTION("""COMPUTED_VALUE"""),"720")</f>
        <v>720</v>
      </c>
      <c r="C1032" s="15" t="str">
        <f>IFERROR(__xludf.DUMMYFUNCTION("""COMPUTED_VALUE"""),"Not ranking")</f>
        <v>Not ranking</v>
      </c>
      <c r="D1032" s="15" t="str">
        <f>IFERROR(__xludf.DUMMYFUNCTION("""COMPUTED_VALUE"""),"Not ranking")</f>
        <v>Not ranking</v>
      </c>
      <c r="E1032" s="15" t="str">
        <f>IFERROR(__xludf.DUMMYFUNCTION("""COMPUTED_VALUE"""),"88")</f>
        <v>88</v>
      </c>
      <c r="F1032" s="18" t="str">
        <f>IFERROR(__xludf.DUMMYFUNCTION("""COMPUTED_VALUE"""),"Not ranking")</f>
        <v>Not ranking</v>
      </c>
      <c r="G1032" s="18" t="str">
        <f>IFERROR(__xludf.DUMMYFUNCTION("""COMPUTED_VALUE"""),"Not ranking")</f>
        <v>Not ranking</v>
      </c>
      <c r="H1032" s="17" t="str">
        <f>IFERROR(__xludf.DUMMYFUNCTION("""COMPUTED_VALUE"""),"https://www.wideopenspaces.com/10-best-valentines-day-gifts-hunter/")</f>
        <v>https://www.wideopenspaces.com/10-best-valentines-day-gifts-hunter/</v>
      </c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15" t="str">
        <f>IFERROR(__xludf.DUMMYFUNCTION("""COMPUTED_VALUE"""),"homemade deer attractant")</f>
        <v>homemade deer attractant</v>
      </c>
      <c r="B1033" s="15" t="str">
        <f>IFERROR(__xludf.DUMMYFUNCTION("""COMPUTED_VALUE"""),"720")</f>
        <v>720</v>
      </c>
      <c r="C1033" s="15" t="str">
        <f>IFERROR(__xludf.DUMMYFUNCTION("""COMPUTED_VALUE"""),"Not ranking")</f>
        <v>Not ranking</v>
      </c>
      <c r="D1033" s="15" t="str">
        <f>IFERROR(__xludf.DUMMYFUNCTION("""COMPUTED_VALUE"""),"56")</f>
        <v>56</v>
      </c>
      <c r="E1033" s="15" t="str">
        <f>IFERROR(__xludf.DUMMYFUNCTION("""COMPUTED_VALUE"""),"Not ranking")</f>
        <v>Not ranking</v>
      </c>
      <c r="F1033" s="18" t="str">
        <f>IFERROR(__xludf.DUMMYFUNCTION("""COMPUTED_VALUE"""),"Not ranking")</f>
        <v>Not ranking</v>
      </c>
      <c r="G1033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1033" s="18" t="str">
        <f>IFERROR(__xludf.DUMMYFUNCTION("""COMPUTED_VALUE"""),"Not ranking")</f>
        <v>Not ranking</v>
      </c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15" t="str">
        <f>IFERROR(__xludf.DUMMYFUNCTION("""COMPUTED_VALUE"""),"how long do whitetail deer live")</f>
        <v>how long do whitetail deer live</v>
      </c>
      <c r="B1034" s="15" t="str">
        <f>IFERROR(__xludf.DUMMYFUNCTION("""COMPUTED_VALUE"""),"720")</f>
        <v>720</v>
      </c>
      <c r="C1034" s="15" t="str">
        <f>IFERROR(__xludf.DUMMYFUNCTION("""COMPUTED_VALUE"""),"Not ranking")</f>
        <v>Not ranking</v>
      </c>
      <c r="D1034" s="15" t="str">
        <f>IFERROR(__xludf.DUMMYFUNCTION("""COMPUTED_VALUE"""),"2")</f>
        <v>2</v>
      </c>
      <c r="E1034" s="15" t="str">
        <f>IFERROR(__xludf.DUMMYFUNCTION("""COMPUTED_VALUE"""),"Not ranking")</f>
        <v>Not ranking</v>
      </c>
      <c r="F1034" s="18" t="str">
        <f>IFERROR(__xludf.DUMMYFUNCTION("""COMPUTED_VALUE"""),"Not ranking")</f>
        <v>Not ranking</v>
      </c>
      <c r="G1034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1034" s="18" t="str">
        <f>IFERROR(__xludf.DUMMYFUNCTION("""COMPUTED_VALUE"""),"Not ranking")</f>
        <v>Not ranking</v>
      </c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15" t="str">
        <f>IFERROR(__xludf.DUMMYFUNCTION("""COMPUTED_VALUE"""),"how often do deer shed their antlers")</f>
        <v>how often do deer shed their antlers</v>
      </c>
      <c r="B1035" s="15" t="str">
        <f>IFERROR(__xludf.DUMMYFUNCTION("""COMPUTED_VALUE"""),"720")</f>
        <v>720</v>
      </c>
      <c r="C1035" s="15" t="str">
        <f>IFERROR(__xludf.DUMMYFUNCTION("""COMPUTED_VALUE"""),"Not ranking")</f>
        <v>Not ranking</v>
      </c>
      <c r="D1035" s="15" t="str">
        <f>IFERROR(__xludf.DUMMYFUNCTION("""COMPUTED_VALUE"""),"41")</f>
        <v>41</v>
      </c>
      <c r="E1035" s="15" t="str">
        <f>IFERROR(__xludf.DUMMYFUNCTION("""COMPUTED_VALUE"""),"6")</f>
        <v>6</v>
      </c>
      <c r="F1035" s="18" t="str">
        <f>IFERROR(__xludf.DUMMYFUNCTION("""COMPUTED_VALUE"""),"Not ranking")</f>
        <v>Not ranking</v>
      </c>
      <c r="G1035" s="17" t="str">
        <f>IFERROR(__xludf.DUMMYFUNCTION("""COMPUTED_VALUE"""),"https://realtree.com/brow-tines-and-backstrap/why-are-some-bucks-shedding-antlers-early")</f>
        <v>https://realtree.com/brow-tines-and-backstrap/why-are-some-bucks-shedding-antlers-early</v>
      </c>
      <c r="H1035" s="17" t="str">
        <f>IFERROR(__xludf.DUMMYFUNCTION("""COMPUTED_VALUE"""),"https://www.wideopenspaces.com/deer-shed-antlers-pics/")</f>
        <v>https://www.wideopenspaces.com/deer-shed-antlers-pics/</v>
      </c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15" t="str">
        <f>IFERROR(__xludf.DUMMYFUNCTION("""COMPUTED_VALUE"""),"michigan deer hunting season 2022")</f>
        <v>michigan deer hunting season 2022</v>
      </c>
      <c r="B1036" s="15" t="str">
        <f>IFERROR(__xludf.DUMMYFUNCTION("""COMPUTED_VALUE"""),"720")</f>
        <v>720</v>
      </c>
      <c r="C1036" s="15" t="str">
        <f>IFERROR(__xludf.DUMMYFUNCTION("""COMPUTED_VALUE"""),"Not ranking")</f>
        <v>Not ranking</v>
      </c>
      <c r="D1036" s="15" t="str">
        <f>IFERROR(__xludf.DUMMYFUNCTION("""COMPUTED_VALUE"""),"Not ranking")</f>
        <v>Not ranking</v>
      </c>
      <c r="E1036" s="15" t="str">
        <f>IFERROR(__xludf.DUMMYFUNCTION("""COMPUTED_VALUE"""),"42")</f>
        <v>42</v>
      </c>
      <c r="F1036" s="18" t="str">
        <f>IFERROR(__xludf.DUMMYFUNCTION("""COMPUTED_VALUE"""),"Not ranking")</f>
        <v>Not ranking</v>
      </c>
      <c r="G1036" s="18" t="str">
        <f>IFERROR(__xludf.DUMMYFUNCTION("""COMPUTED_VALUE"""),"Not ranking")</f>
        <v>Not ranking</v>
      </c>
      <c r="H1036" s="17" t="str">
        <f>IFERROR(__xludf.DUMMYFUNCTION("""COMPUTED_VALUE"""),"https://www.wideopenspaces.com/michigan-muzzleloader-season/")</f>
        <v>https://www.wideopenspaces.com/michigan-muzzleloader-season/</v>
      </c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15" t="str">
        <f>IFERROR(__xludf.DUMMYFUNCTION("""COMPUTED_VALUE"""),"michigan deer license")</f>
        <v>michigan deer license</v>
      </c>
      <c r="B1037" s="15" t="str">
        <f>IFERROR(__xludf.DUMMYFUNCTION("""COMPUTED_VALUE"""),"720")</f>
        <v>720</v>
      </c>
      <c r="C1037" s="15" t="str">
        <f>IFERROR(__xludf.DUMMYFUNCTION("""COMPUTED_VALUE"""),"Not ranking")</f>
        <v>Not ranking</v>
      </c>
      <c r="D1037" s="15" t="str">
        <f>IFERROR(__xludf.DUMMYFUNCTION("""COMPUTED_VALUE"""),"Not ranking")</f>
        <v>Not ranking</v>
      </c>
      <c r="E1037" s="15" t="str">
        <f>IFERROR(__xludf.DUMMYFUNCTION("""COMPUTED_VALUE"""),"18")</f>
        <v>18</v>
      </c>
      <c r="F1037" s="18" t="str">
        <f>IFERROR(__xludf.DUMMYFUNCTION("""COMPUTED_VALUE"""),"Not ranking")</f>
        <v>Not ranking</v>
      </c>
      <c r="G1037" s="18" t="str">
        <f>IFERROR(__xludf.DUMMYFUNCTION("""COMPUTED_VALUE"""),"Not ranking")</f>
        <v>Not ranking</v>
      </c>
      <c r="H1037" s="17" t="str">
        <f>IFERROR(__xludf.DUMMYFUNCTION("""COMPUTED_VALUE"""),"https://www.wideopenspaces.com/michigan-deer-combo-license-explained/")</f>
        <v>https://www.wideopenspaces.com/michigan-deer-combo-license-explained/</v>
      </c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15" t="str">
        <f>IFERROR(__xludf.DUMMYFUNCTION("""COMPUTED_VALUE"""),"minnesota deer hunting season")</f>
        <v>minnesota deer hunting season</v>
      </c>
      <c r="B1038" s="15" t="str">
        <f>IFERROR(__xludf.DUMMYFUNCTION("""COMPUTED_VALUE"""),"720")</f>
        <v>720</v>
      </c>
      <c r="C1038" s="15" t="str">
        <f>IFERROR(__xludf.DUMMYFUNCTION("""COMPUTED_VALUE"""),"Not ranking")</f>
        <v>Not ranking</v>
      </c>
      <c r="D1038" s="15" t="str">
        <f>IFERROR(__xludf.DUMMYFUNCTION("""COMPUTED_VALUE"""),"Not ranking")</f>
        <v>Not ranking</v>
      </c>
      <c r="E1038" s="15" t="str">
        <f>IFERROR(__xludf.DUMMYFUNCTION("""COMPUTED_VALUE"""),"41")</f>
        <v>41</v>
      </c>
      <c r="F1038" s="18" t="str">
        <f>IFERROR(__xludf.DUMMYFUNCTION("""COMPUTED_VALUE"""),"Not ranking")</f>
        <v>Not ranking</v>
      </c>
      <c r="G1038" s="18" t="str">
        <f>IFERROR(__xludf.DUMMYFUNCTION("""COMPUTED_VALUE"""),"Not ranking")</f>
        <v>Not ranking</v>
      </c>
      <c r="H1038" s="17" t="str">
        <f>IFERROR(__xludf.DUMMYFUNCTION("""COMPUTED_VALUE"""),"https://www.wideopenspaces.com/mn-deer-hunting-zones/")</f>
        <v>https://www.wideopenspaces.com/mn-deer-hunting-zones/</v>
      </c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15" t="str">
        <f>IFERROR(__xludf.DUMMYFUNCTION("""COMPUTED_VALUE"""),"minnesota deer season 2022")</f>
        <v>minnesota deer season 2022</v>
      </c>
      <c r="B1039" s="15" t="str">
        <f>IFERROR(__xludf.DUMMYFUNCTION("""COMPUTED_VALUE"""),"720")</f>
        <v>720</v>
      </c>
      <c r="C1039" s="15" t="str">
        <f>IFERROR(__xludf.DUMMYFUNCTION("""COMPUTED_VALUE"""),"Not ranking")</f>
        <v>Not ranking</v>
      </c>
      <c r="D1039" s="15" t="str">
        <f>IFERROR(__xludf.DUMMYFUNCTION("""COMPUTED_VALUE"""),"98")</f>
        <v>98</v>
      </c>
      <c r="E1039" s="15" t="str">
        <f>IFERROR(__xludf.DUMMYFUNCTION("""COMPUTED_VALUE"""),"37")</f>
        <v>37</v>
      </c>
      <c r="F1039" s="18" t="str">
        <f>IFERROR(__xludf.DUMMYFUNCTION("""COMPUTED_VALUE"""),"Not ranking")</f>
        <v>Not ranking</v>
      </c>
      <c r="G1039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1039" s="17" t="str">
        <f>IFERROR(__xludf.DUMMYFUNCTION("""COMPUTED_VALUE"""),"https://www.wideopenspaces.com/mn-deer-hunting-zones/")</f>
        <v>https://www.wideopenspaces.com/mn-deer-hunting-zones/</v>
      </c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15" t="str">
        <f>IFERROR(__xludf.DUMMYFUNCTION("""COMPUTED_VALUE"""),"missouri deer season 2022-2023")</f>
        <v>missouri deer season 2022-2023</v>
      </c>
      <c r="B1040" s="15" t="str">
        <f>IFERROR(__xludf.DUMMYFUNCTION("""COMPUTED_VALUE"""),"720")</f>
        <v>720</v>
      </c>
      <c r="C1040" s="15" t="str">
        <f>IFERROR(__xludf.DUMMYFUNCTION("""COMPUTED_VALUE"""),"Not ranking")</f>
        <v>Not ranking</v>
      </c>
      <c r="D1040" s="15" t="str">
        <f>IFERROR(__xludf.DUMMYFUNCTION("""COMPUTED_VALUE"""),"94")</f>
        <v>94</v>
      </c>
      <c r="E1040" s="15" t="str">
        <f>IFERROR(__xludf.DUMMYFUNCTION("""COMPUTED_VALUE"""),"Not ranking")</f>
        <v>Not ranking</v>
      </c>
      <c r="F1040" s="18" t="str">
        <f>IFERROR(__xludf.DUMMYFUNCTION("""COMPUTED_VALUE"""),"Not ranking")</f>
        <v>Not ranking</v>
      </c>
      <c r="G1040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1040" s="18" t="str">
        <f>IFERROR(__xludf.DUMMYFUNCTION("""COMPUTED_VALUE"""),"Not ranking")</f>
        <v>Not ranking</v>
      </c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15" t="str">
        <f>IFERROR(__xludf.DUMMYFUNCTION("""COMPUTED_VALUE"""),"missouri deer youth season")</f>
        <v>missouri deer youth season</v>
      </c>
      <c r="B1041" s="15" t="str">
        <f>IFERROR(__xludf.DUMMYFUNCTION("""COMPUTED_VALUE"""),"720")</f>
        <v>720</v>
      </c>
      <c r="C1041" s="15" t="str">
        <f>IFERROR(__xludf.DUMMYFUNCTION("""COMPUTED_VALUE"""),"Not ranking")</f>
        <v>Not ranking</v>
      </c>
      <c r="D1041" s="15" t="str">
        <f>IFERROR(__xludf.DUMMYFUNCTION("""COMPUTED_VALUE"""),"Not ranking")</f>
        <v>Not ranking</v>
      </c>
      <c r="E1041" s="15" t="str">
        <f>IFERROR(__xludf.DUMMYFUNCTION("""COMPUTED_VALUE"""),"72")</f>
        <v>72</v>
      </c>
      <c r="F1041" s="18" t="str">
        <f>IFERROR(__xludf.DUMMYFUNCTION("""COMPUTED_VALUE"""),"Not ranking")</f>
        <v>Not ranking</v>
      </c>
      <c r="G1041" s="18" t="str">
        <f>IFERROR(__xludf.DUMMYFUNCTION("""COMPUTED_VALUE"""),"Not ranking")</f>
        <v>Not ranking</v>
      </c>
      <c r="H1041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15" t="str">
        <f>IFERROR(__xludf.DUMMYFUNCTION("""COMPUTED_VALUE"""),"missouri youth deer season")</f>
        <v>missouri youth deer season</v>
      </c>
      <c r="B1042" s="15" t="str">
        <f>IFERROR(__xludf.DUMMYFUNCTION("""COMPUTED_VALUE"""),"720")</f>
        <v>720</v>
      </c>
      <c r="C1042" s="15" t="str">
        <f>IFERROR(__xludf.DUMMYFUNCTION("""COMPUTED_VALUE"""),"Not ranking")</f>
        <v>Not ranking</v>
      </c>
      <c r="D1042" s="15" t="str">
        <f>IFERROR(__xludf.DUMMYFUNCTION("""COMPUTED_VALUE"""),"Not ranking")</f>
        <v>Not ranking</v>
      </c>
      <c r="E1042" s="15" t="str">
        <f>IFERROR(__xludf.DUMMYFUNCTION("""COMPUTED_VALUE"""),"78")</f>
        <v>78</v>
      </c>
      <c r="F1042" s="18" t="str">
        <f>IFERROR(__xludf.DUMMYFUNCTION("""COMPUTED_VALUE"""),"Not ranking")</f>
        <v>Not ranking</v>
      </c>
      <c r="G1042" s="18" t="str">
        <f>IFERROR(__xludf.DUMMYFUNCTION("""COMPUTED_VALUE"""),"Not ranking")</f>
        <v>Not ranking</v>
      </c>
      <c r="H1042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15" t="str">
        <f>IFERROR(__xludf.DUMMYFUNCTION("""COMPUTED_VALUE"""),"mn deer hunting zones 2022")</f>
        <v>mn deer hunting zones 2022</v>
      </c>
      <c r="B1043" s="15" t="str">
        <f>IFERROR(__xludf.DUMMYFUNCTION("""COMPUTED_VALUE"""),"720")</f>
        <v>720</v>
      </c>
      <c r="C1043" s="15" t="str">
        <f>IFERROR(__xludf.DUMMYFUNCTION("""COMPUTED_VALUE"""),"Not ranking")</f>
        <v>Not ranking</v>
      </c>
      <c r="D1043" s="15" t="str">
        <f>IFERROR(__xludf.DUMMYFUNCTION("""COMPUTED_VALUE"""),"Not ranking")</f>
        <v>Not ranking</v>
      </c>
      <c r="E1043" s="15" t="str">
        <f>IFERROR(__xludf.DUMMYFUNCTION("""COMPUTED_VALUE"""),"6")</f>
        <v>6</v>
      </c>
      <c r="F1043" s="18" t="str">
        <f>IFERROR(__xludf.DUMMYFUNCTION("""COMPUTED_VALUE"""),"Not ranking")</f>
        <v>Not ranking</v>
      </c>
      <c r="G1043" s="18" t="str">
        <f>IFERROR(__xludf.DUMMYFUNCTION("""COMPUTED_VALUE"""),"Not ranking")</f>
        <v>Not ranking</v>
      </c>
      <c r="H1043" s="17" t="str">
        <f>IFERROR(__xludf.DUMMYFUNCTION("""COMPUTED_VALUE"""),"https://www.wideopenspaces.com/mn-deer-hunting-zones/")</f>
        <v>https://www.wideopenspaces.com/mn-deer-hunting-zones/</v>
      </c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15" t="str">
        <f>IFERROR(__xludf.DUMMYFUNCTION("""COMPUTED_VALUE"""),"mn dnr deer registration")</f>
        <v>mn dnr deer registration</v>
      </c>
      <c r="B1044" s="15" t="str">
        <f>IFERROR(__xludf.DUMMYFUNCTION("""COMPUTED_VALUE"""),"720")</f>
        <v>720</v>
      </c>
      <c r="C1044" s="15" t="str">
        <f>IFERROR(__xludf.DUMMYFUNCTION("""COMPUTED_VALUE"""),"Not ranking")</f>
        <v>Not ranking</v>
      </c>
      <c r="D1044" s="15" t="str">
        <f>IFERROR(__xludf.DUMMYFUNCTION("""COMPUTED_VALUE"""),"Not ranking")</f>
        <v>Not ranking</v>
      </c>
      <c r="E1044" s="15" t="str">
        <f>IFERROR(__xludf.DUMMYFUNCTION("""COMPUTED_VALUE"""),"88")</f>
        <v>88</v>
      </c>
      <c r="F1044" s="18" t="str">
        <f>IFERROR(__xludf.DUMMYFUNCTION("""COMPUTED_VALUE"""),"Not ranking")</f>
        <v>Not ranking</v>
      </c>
      <c r="G1044" s="18" t="str">
        <f>IFERROR(__xludf.DUMMYFUNCTION("""COMPUTED_VALUE"""),"Not ranking")</f>
        <v>Not ranking</v>
      </c>
      <c r="H1044" s="17" t="str">
        <f>IFERROR(__xludf.DUMMYFUNCTION("""COMPUTED_VALUE"""),"https://www.wideopenspaces.com/minnesota-deer-hunting/")</f>
        <v>https://www.wideopenspaces.com/minnesota-deer-hunting/</v>
      </c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15" t="str">
        <f>IFERROR(__xludf.DUMMYFUNCTION("""COMPUTED_VALUE"""),"mo deer season")</f>
        <v>mo deer season</v>
      </c>
      <c r="B1045" s="15" t="str">
        <f>IFERROR(__xludf.DUMMYFUNCTION("""COMPUTED_VALUE"""),"720")</f>
        <v>720</v>
      </c>
      <c r="C1045" s="15" t="str">
        <f>IFERROR(__xludf.DUMMYFUNCTION("""COMPUTED_VALUE"""),"Not ranking")</f>
        <v>Not ranking</v>
      </c>
      <c r="D1045" s="15" t="str">
        <f>IFERROR(__xludf.DUMMYFUNCTION("""COMPUTED_VALUE"""),"Not ranking")</f>
        <v>Not ranking</v>
      </c>
      <c r="E1045" s="15" t="str">
        <f>IFERROR(__xludf.DUMMYFUNCTION("""COMPUTED_VALUE"""),"45")</f>
        <v>45</v>
      </c>
      <c r="F1045" s="18" t="str">
        <f>IFERROR(__xludf.DUMMYFUNCTION("""COMPUTED_VALUE"""),"Not ranking")</f>
        <v>Not ranking</v>
      </c>
      <c r="G1045" s="18" t="str">
        <f>IFERROR(__xludf.DUMMYFUNCTION("""COMPUTED_VALUE"""),"Not ranking")</f>
        <v>Not ranking</v>
      </c>
      <c r="H1045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15" t="str">
        <f>IFERROR(__xludf.DUMMYFUNCTION("""COMPUTED_VALUE"""),"ms deer season 2023")</f>
        <v>ms deer season 2023</v>
      </c>
      <c r="B1046" s="15" t="str">
        <f>IFERROR(__xludf.DUMMYFUNCTION("""COMPUTED_VALUE"""),"720")</f>
        <v>720</v>
      </c>
      <c r="C1046" s="15" t="str">
        <f>IFERROR(__xludf.DUMMYFUNCTION("""COMPUTED_VALUE"""),"Not ranking")</f>
        <v>Not ranking</v>
      </c>
      <c r="D1046" s="15" t="str">
        <f>IFERROR(__xludf.DUMMYFUNCTION("""COMPUTED_VALUE"""),"90")</f>
        <v>90</v>
      </c>
      <c r="E1046" s="15" t="str">
        <f>IFERROR(__xludf.DUMMYFUNCTION("""COMPUTED_VALUE"""),"Not ranking")</f>
        <v>Not ranking</v>
      </c>
      <c r="F1046" s="18" t="str">
        <f>IFERROR(__xludf.DUMMYFUNCTION("""COMPUTED_VALUE"""),"Not ranking")</f>
        <v>Not ranking</v>
      </c>
      <c r="G1046" s="17" t="str">
        <f>IFERROR(__xludf.DUMMYFUNCTION("""COMPUTED_VALUE"""),"https://realtree.com/deer-hunting/articles/where-to-deer-hunt-in-february")</f>
        <v>https://realtree.com/deer-hunting/articles/where-to-deer-hunt-in-february</v>
      </c>
      <c r="H1046" s="18" t="str">
        <f>IFERROR(__xludf.DUMMYFUNCTION("""COMPUTED_VALUE"""),"Not ranking")</f>
        <v>Not ranking</v>
      </c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15" t="str">
        <f>IFERROR(__xludf.DUMMYFUNCTION("""COMPUTED_VALUE"""),"mule deer mounts")</f>
        <v>mule deer mounts</v>
      </c>
      <c r="B1047" s="15" t="str">
        <f>IFERROR(__xludf.DUMMYFUNCTION("""COMPUTED_VALUE"""),"720")</f>
        <v>720</v>
      </c>
      <c r="C1047" s="15" t="str">
        <f>IFERROR(__xludf.DUMMYFUNCTION("""COMPUTED_VALUE"""),"Not ranking")</f>
        <v>Not ranking</v>
      </c>
      <c r="D1047" s="15" t="str">
        <f>IFERROR(__xludf.DUMMYFUNCTION("""COMPUTED_VALUE"""),"Not ranking")</f>
        <v>Not ranking</v>
      </c>
      <c r="E1047" s="15" t="str">
        <f>IFERROR(__xludf.DUMMYFUNCTION("""COMPUTED_VALUE"""),"52")</f>
        <v>52</v>
      </c>
      <c r="F1047" s="18" t="str">
        <f>IFERROR(__xludf.DUMMYFUNCTION("""COMPUTED_VALUE"""),"Not ranking")</f>
        <v>Not ranking</v>
      </c>
      <c r="G1047" s="18" t="str">
        <f>IFERROR(__xludf.DUMMYFUNCTION("""COMPUTED_VALUE"""),"Not ranking")</f>
        <v>Not ranking</v>
      </c>
      <c r="H1047" s="17" t="str">
        <f>IFERROR(__xludf.DUMMYFUNCTION("""COMPUTED_VALUE"""),"https://www.wideopenspaces.com/mule-deer-taxidermy/")</f>
        <v>https://www.wideopenspaces.com/mule-deer-taxidermy/</v>
      </c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15" t="str">
        <f>IFERROR(__xludf.DUMMYFUNCTION("""COMPUTED_VALUE"""),"north carolina deer season")</f>
        <v>north carolina deer season</v>
      </c>
      <c r="B1048" s="15" t="str">
        <f>IFERROR(__xludf.DUMMYFUNCTION("""COMPUTED_VALUE"""),"720")</f>
        <v>720</v>
      </c>
      <c r="C1048" s="15" t="str">
        <f>IFERROR(__xludf.DUMMYFUNCTION("""COMPUTED_VALUE"""),"Not ranking")</f>
        <v>Not ranking</v>
      </c>
      <c r="D1048" s="15" t="str">
        <f>IFERROR(__xludf.DUMMYFUNCTION("""COMPUTED_VALUE"""),"63")</f>
        <v>63</v>
      </c>
      <c r="E1048" s="15" t="str">
        <f>IFERROR(__xludf.DUMMYFUNCTION("""COMPUTED_VALUE"""),"Not ranking")</f>
        <v>Not ranking</v>
      </c>
      <c r="F1048" s="18" t="str">
        <f>IFERROR(__xludf.DUMMYFUNCTION("""COMPUTED_VALUE"""),"Not ranking")</f>
        <v>Not ranking</v>
      </c>
      <c r="G1048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1048" s="18" t="str">
        <f>IFERROR(__xludf.DUMMYFUNCTION("""COMPUTED_VALUE"""),"Not ranking")</f>
        <v>Not ranking</v>
      </c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15" t="str">
        <f>IFERROR(__xludf.DUMMYFUNCTION("""COMPUTED_VALUE"""),"oh deer season")</f>
        <v>oh deer season</v>
      </c>
      <c r="B1049" s="15" t="str">
        <f>IFERROR(__xludf.DUMMYFUNCTION("""COMPUTED_VALUE"""),"720")</f>
        <v>720</v>
      </c>
      <c r="C1049" s="15" t="str">
        <f>IFERROR(__xludf.DUMMYFUNCTION("""COMPUTED_VALUE"""),"Not ranking")</f>
        <v>Not ranking</v>
      </c>
      <c r="D1049" s="15" t="str">
        <f>IFERROR(__xludf.DUMMYFUNCTION("""COMPUTED_VALUE"""),"Not ranking")</f>
        <v>Not ranking</v>
      </c>
      <c r="E1049" s="15" t="str">
        <f>IFERROR(__xludf.DUMMYFUNCTION("""COMPUTED_VALUE"""),"79")</f>
        <v>79</v>
      </c>
      <c r="F1049" s="18" t="str">
        <f>IFERROR(__xludf.DUMMYFUNCTION("""COMPUTED_VALUE"""),"Not ranking")</f>
        <v>Not ranking</v>
      </c>
      <c r="G1049" s="18" t="str">
        <f>IFERROR(__xludf.DUMMYFUNCTION("""COMPUTED_VALUE"""),"Not ranking")</f>
        <v>Not ranking</v>
      </c>
      <c r="H1049" s="17" t="str">
        <f>IFERROR(__xludf.DUMMYFUNCTION("""COMPUTED_VALUE"""),"https://www.wideopenspaces.com/deer-hunting-in-ohio-what-you-should-know/")</f>
        <v>https://www.wideopenspaces.com/deer-hunting-in-ohio-what-you-should-know/</v>
      </c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15" t="str">
        <f>IFERROR(__xludf.DUMMYFUNCTION("""COMPUTED_VALUE"""),"pa deer hunting")</f>
        <v>pa deer hunting</v>
      </c>
      <c r="B1050" s="15" t="str">
        <f>IFERROR(__xludf.DUMMYFUNCTION("""COMPUTED_VALUE"""),"720")</f>
        <v>720</v>
      </c>
      <c r="C1050" s="15" t="str">
        <f>IFERROR(__xludf.DUMMYFUNCTION("""COMPUTED_VALUE"""),"Not ranking")</f>
        <v>Not ranking</v>
      </c>
      <c r="D1050" s="15" t="str">
        <f>IFERROR(__xludf.DUMMYFUNCTION("""COMPUTED_VALUE"""),"Not ranking")</f>
        <v>Not ranking</v>
      </c>
      <c r="E1050" s="15" t="str">
        <f>IFERROR(__xludf.DUMMYFUNCTION("""COMPUTED_VALUE"""),"50")</f>
        <v>50</v>
      </c>
      <c r="F1050" s="18" t="str">
        <f>IFERROR(__xludf.DUMMYFUNCTION("""COMPUTED_VALUE"""),"Not ranking")</f>
        <v>Not ranking</v>
      </c>
      <c r="G1050" s="18" t="str">
        <f>IFERROR(__xludf.DUMMYFUNCTION("""COMPUTED_VALUE"""),"Not ranking")</f>
        <v>Not ranking</v>
      </c>
      <c r="H1050" s="17" t="str">
        <f>IFERROR(__xludf.DUMMYFUNCTION("""COMPUTED_VALUE"""),"https://www.wideopenspaces.com/pennsylvania-deer-hunting/")</f>
        <v>https://www.wideopenspaces.com/pennsylvania-deer-hunting/</v>
      </c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15" t="str">
        <f>IFERROR(__xludf.DUMMYFUNCTION("""COMPUTED_VALUE"""),"pic of deer")</f>
        <v>pic of deer</v>
      </c>
      <c r="B1051" s="15" t="str">
        <f>IFERROR(__xludf.DUMMYFUNCTION("""COMPUTED_VALUE"""),"720")</f>
        <v>720</v>
      </c>
      <c r="C1051" s="15" t="str">
        <f>IFERROR(__xludf.DUMMYFUNCTION("""COMPUTED_VALUE"""),"Not ranking")</f>
        <v>Not ranking</v>
      </c>
      <c r="D1051" s="15" t="str">
        <f>IFERROR(__xludf.DUMMYFUNCTION("""COMPUTED_VALUE"""),"66")</f>
        <v>66</v>
      </c>
      <c r="E1051" s="15" t="str">
        <f>IFERROR(__xludf.DUMMYFUNCTION("""COMPUTED_VALUE"""),"Not ranking")</f>
        <v>Not ranking</v>
      </c>
      <c r="F1051" s="18" t="str">
        <f>IFERROR(__xludf.DUMMYFUNCTION("""COMPUTED_VALUE"""),"Not ranking")</f>
        <v>Not ranking</v>
      </c>
      <c r="G1051" s="17" t="str">
        <f>IFERROR(__xludf.DUMMYFUNCTION("""COMPUTED_VALUE"""),"https://realtree.com/deer-hunting/articles/10-tips-for-great-deer-pictures")</f>
        <v>https://realtree.com/deer-hunting/articles/10-tips-for-great-deer-pictures</v>
      </c>
      <c r="H1051" s="18" t="str">
        <f>IFERROR(__xludf.DUMMYFUNCTION("""COMPUTED_VALUE"""),"Not ranking")</f>
        <v>Not ranking</v>
      </c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15" t="str">
        <f>IFERROR(__xludf.DUMMYFUNCTION("""COMPUTED_VALUE"""),"pie bald deer")</f>
        <v>pie bald deer</v>
      </c>
      <c r="B1052" s="15" t="str">
        <f>IFERROR(__xludf.DUMMYFUNCTION("""COMPUTED_VALUE"""),"720")</f>
        <v>720</v>
      </c>
      <c r="C1052" s="15" t="str">
        <f>IFERROR(__xludf.DUMMYFUNCTION("""COMPUTED_VALUE"""),"Not ranking")</f>
        <v>Not ranking</v>
      </c>
      <c r="D1052" s="15" t="str">
        <f>IFERROR(__xludf.DUMMYFUNCTION("""COMPUTED_VALUE"""),"Not ranking")</f>
        <v>Not ranking</v>
      </c>
      <c r="E1052" s="15" t="str">
        <f>IFERROR(__xludf.DUMMYFUNCTION("""COMPUTED_VALUE"""),"26")</f>
        <v>26</v>
      </c>
      <c r="F1052" s="18" t="str">
        <f>IFERROR(__xludf.DUMMYFUNCTION("""COMPUTED_VALUE"""),"Not ranking")</f>
        <v>Not ranking</v>
      </c>
      <c r="G1052" s="18" t="str">
        <f>IFERROR(__xludf.DUMMYFUNCTION("""COMPUTED_VALUE"""),"Not ranking")</f>
        <v>Not ranking</v>
      </c>
      <c r="H1052" s="17" t="str">
        <f>IFERROR(__xludf.DUMMYFUNCTION("""COMPUTED_VALUE"""),"https://www.wideopenspaces.com/whitetailwednesday-should-we-shoot-albino-and-piebald-deer/")</f>
        <v>https://www.wideopenspaces.com/whitetailwednesday-should-we-shoot-albino-and-piebald-deer/</v>
      </c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15" t="str">
        <f>IFERROR(__xludf.DUMMYFUNCTION("""COMPUTED_VALUE"""),"piebald whitetail deer")</f>
        <v>piebald whitetail deer</v>
      </c>
      <c r="B1053" s="15" t="str">
        <f>IFERROR(__xludf.DUMMYFUNCTION("""COMPUTED_VALUE"""),"720")</f>
        <v>720</v>
      </c>
      <c r="C1053" s="15" t="str">
        <f>IFERROR(__xludf.DUMMYFUNCTION("""COMPUTED_VALUE"""),"Not ranking")</f>
        <v>Not ranking</v>
      </c>
      <c r="D1053" s="15" t="str">
        <f>IFERROR(__xludf.DUMMYFUNCTION("""COMPUTED_VALUE"""),"Not ranking")</f>
        <v>Not ranking</v>
      </c>
      <c r="E1053" s="15" t="str">
        <f>IFERROR(__xludf.DUMMYFUNCTION("""COMPUTED_VALUE"""),"27")</f>
        <v>27</v>
      </c>
      <c r="F1053" s="18" t="str">
        <f>IFERROR(__xludf.DUMMYFUNCTION("""COMPUTED_VALUE"""),"Not ranking")</f>
        <v>Not ranking</v>
      </c>
      <c r="G1053" s="18" t="str">
        <f>IFERROR(__xludf.DUMMYFUNCTION("""COMPUTED_VALUE"""),"Not ranking")</f>
        <v>Not ranking</v>
      </c>
      <c r="H1053" s="17" t="str">
        <f>IFERROR(__xludf.DUMMYFUNCTION("""COMPUTED_VALUE"""),"https://www.wideopenspaces.com/rare-piebald-deer-herd/")</f>
        <v>https://www.wideopenspaces.com/rare-piebald-deer-herd/</v>
      </c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15" t="str">
        <f>IFERROR(__xludf.DUMMYFUNCTION("""COMPUTED_VALUE"""),"red deer stag")</f>
        <v>red deer stag</v>
      </c>
      <c r="B1054" s="15" t="str">
        <f>IFERROR(__xludf.DUMMYFUNCTION("""COMPUTED_VALUE"""),"720")</f>
        <v>720</v>
      </c>
      <c r="C1054" s="15" t="str">
        <f>IFERROR(__xludf.DUMMYFUNCTION("""COMPUTED_VALUE"""),"Not ranking")</f>
        <v>Not ranking</v>
      </c>
      <c r="D1054" s="15" t="str">
        <f>IFERROR(__xludf.DUMMYFUNCTION("""COMPUTED_VALUE"""),"Not ranking")</f>
        <v>Not ranking</v>
      </c>
      <c r="E1054" s="15" t="str">
        <f>IFERROR(__xludf.DUMMYFUNCTION("""COMPUTED_VALUE"""),"33")</f>
        <v>33</v>
      </c>
      <c r="F1054" s="18" t="str">
        <f>IFERROR(__xludf.DUMMYFUNCTION("""COMPUTED_VALUE"""),"Not ranking")</f>
        <v>Not ranking</v>
      </c>
      <c r="G1054" s="18" t="str">
        <f>IFERROR(__xludf.DUMMYFUNCTION("""COMPUTED_VALUE"""),"Not ranking")</f>
        <v>Not ranking</v>
      </c>
      <c r="H1054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15" t="str">
        <f>IFERROR(__xludf.DUMMYFUNCTION("""COMPUTED_VALUE"""),"redneck deer blinds")</f>
        <v>redneck deer blinds</v>
      </c>
      <c r="B1055" s="15" t="str">
        <f>IFERROR(__xludf.DUMMYFUNCTION("""COMPUTED_VALUE"""),"720")</f>
        <v>720</v>
      </c>
      <c r="C1055" s="15" t="str">
        <f>IFERROR(__xludf.DUMMYFUNCTION("""COMPUTED_VALUE"""),"Not ranking")</f>
        <v>Not ranking</v>
      </c>
      <c r="D1055" s="15" t="str">
        <f>IFERROR(__xludf.DUMMYFUNCTION("""COMPUTED_VALUE"""),"Not ranking")</f>
        <v>Not ranking</v>
      </c>
      <c r="E1055" s="15" t="str">
        <f>IFERROR(__xludf.DUMMYFUNCTION("""COMPUTED_VALUE"""),"73")</f>
        <v>73</v>
      </c>
      <c r="F1055" s="18" t="str">
        <f>IFERROR(__xludf.DUMMYFUNCTION("""COMPUTED_VALUE"""),"Not ranking")</f>
        <v>Not ranking</v>
      </c>
      <c r="G1055" s="18" t="str">
        <f>IFERROR(__xludf.DUMMYFUNCTION("""COMPUTED_VALUE"""),"Not ranking")</f>
        <v>Not ranking</v>
      </c>
      <c r="H1055" s="17" t="str">
        <f>IFERROR(__xludf.DUMMYFUNCTION("""COMPUTED_VALUE"""),"https://www.wideopenspaces.com/12-high-end-high-tech-super-redneck-deer-stands/")</f>
        <v>https://www.wideopenspaces.com/12-high-end-high-tech-super-redneck-deer-stands/</v>
      </c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15" t="str">
        <f>IFERROR(__xludf.DUMMYFUNCTION("""COMPUTED_VALUE"""),"reindeer eyeballs")</f>
        <v>reindeer eyeballs</v>
      </c>
      <c r="B1056" s="15" t="str">
        <f>IFERROR(__xludf.DUMMYFUNCTION("""COMPUTED_VALUE"""),"720")</f>
        <v>720</v>
      </c>
      <c r="C1056" s="15" t="str">
        <f>IFERROR(__xludf.DUMMYFUNCTION("""COMPUTED_VALUE"""),"Not ranking")</f>
        <v>Not ranking</v>
      </c>
      <c r="D1056" s="15" t="str">
        <f>IFERROR(__xludf.DUMMYFUNCTION("""COMPUTED_VALUE"""),"45")</f>
        <v>45</v>
      </c>
      <c r="E1056" s="15" t="str">
        <f>IFERROR(__xludf.DUMMYFUNCTION("""COMPUTED_VALUE"""),"Not ranking")</f>
        <v>Not ranking</v>
      </c>
      <c r="F1056" s="18" t="str">
        <f>IFERROR(__xludf.DUMMYFUNCTION("""COMPUTED_VALUE"""),"Not ranking")</f>
        <v>Not ranking</v>
      </c>
      <c r="G1056" s="17" t="str">
        <f>IFERROR(__xludf.DUMMYFUNCTION("""COMPUTED_VALUE"""),"https://realtree.com/the-realblog-with-stephanie-mallory/taxidermist-discovers-third-eye-when-preparing-deer-for-european")</f>
        <v>https://realtree.com/the-realblog-with-stephanie-mallory/taxidermist-discovers-third-eye-when-preparing-deer-for-european</v>
      </c>
      <c r="H1056" s="18" t="str">
        <f>IFERROR(__xludf.DUMMYFUNCTION("""COMPUTED_VALUE"""),"Not ranking")</f>
        <v>Not ranking</v>
      </c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15" t="str">
        <f>IFERROR(__xludf.DUMMYFUNCTION("""COMPUTED_VALUE"""),"scary deer")</f>
        <v>scary deer</v>
      </c>
      <c r="B1057" s="15" t="str">
        <f>IFERROR(__xludf.DUMMYFUNCTION("""COMPUTED_VALUE"""),"720")</f>
        <v>720</v>
      </c>
      <c r="C1057" s="15" t="str">
        <f>IFERROR(__xludf.DUMMYFUNCTION("""COMPUTED_VALUE"""),"Not ranking")</f>
        <v>Not ranking</v>
      </c>
      <c r="D1057" s="15" t="str">
        <f>IFERROR(__xludf.DUMMYFUNCTION("""COMPUTED_VALUE"""),"29")</f>
        <v>29</v>
      </c>
      <c r="E1057" s="15" t="str">
        <f>IFERROR(__xludf.DUMMYFUNCTION("""COMPUTED_VALUE"""),"Not ranking")</f>
        <v>Not ranking</v>
      </c>
      <c r="F1057" s="18" t="str">
        <f>IFERROR(__xludf.DUMMYFUNCTION("""COMPUTED_VALUE"""),"Not ranking")</f>
        <v>Not ranking</v>
      </c>
      <c r="G1057" s="17" t="str">
        <f>IFERROR(__xludf.DUMMYFUNCTION("""COMPUTED_VALUE"""),"https://realtree.com/deer-hunting/articles/why-deer-hunting-on-halloween-is-scary-good")</f>
        <v>https://realtree.com/deer-hunting/articles/why-deer-hunting-on-halloween-is-scary-good</v>
      </c>
      <c r="H1057" s="18" t="str">
        <f>IFERROR(__xludf.DUMMYFUNCTION("""COMPUTED_VALUE"""),"Not ranking")</f>
        <v>Not ranking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15" t="str">
        <f>IFERROR(__xludf.DUMMYFUNCTION("""COMPUTED_VALUE"""),"see deer meaning")</f>
        <v>see deer meaning</v>
      </c>
      <c r="B1058" s="15" t="str">
        <f>IFERROR(__xludf.DUMMYFUNCTION("""COMPUTED_VALUE"""),"720")</f>
        <v>720</v>
      </c>
      <c r="C1058" s="15" t="str">
        <f>IFERROR(__xludf.DUMMYFUNCTION("""COMPUTED_VALUE"""),"Not ranking")</f>
        <v>Not ranking</v>
      </c>
      <c r="D1058" s="15" t="str">
        <f>IFERROR(__xludf.DUMMYFUNCTION("""COMPUTED_VALUE"""),"90")</f>
        <v>90</v>
      </c>
      <c r="E1058" s="15" t="str">
        <f>IFERROR(__xludf.DUMMYFUNCTION("""COMPUTED_VALUE"""),"Not ranking")</f>
        <v>Not ranking</v>
      </c>
      <c r="F1058" s="18" t="str">
        <f>IFERROR(__xludf.DUMMYFUNCTION("""COMPUTED_VALUE"""),"Not ranking")</f>
        <v>Not ranking</v>
      </c>
      <c r="G1058" s="17" t="str">
        <f>IFERROR(__xludf.DUMMYFUNCTION("""COMPUTED_VALUE"""),"https://realtree.com/deer-hunting/articles/the-meaning-of-deer-hunting-hunting-truth-in-life")</f>
        <v>https://realtree.com/deer-hunting/articles/the-meaning-of-deer-hunting-hunting-truth-in-life</v>
      </c>
      <c r="H1058" s="18" t="str">
        <f>IFERROR(__xludf.DUMMYFUNCTION("""COMPUTED_VALUE"""),"Not ranking")</f>
        <v>Not ranking</v>
      </c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15" t="str">
        <f>IFERROR(__xludf.DUMMYFUNCTION("""COMPUTED_VALUE"""),"south dakota mule deer hunting")</f>
        <v>south dakota mule deer hunting</v>
      </c>
      <c r="B1059" s="15" t="str">
        <f>IFERROR(__xludf.DUMMYFUNCTION("""COMPUTED_VALUE"""),"720")</f>
        <v>720</v>
      </c>
      <c r="C1059" s="15" t="str">
        <f>IFERROR(__xludf.DUMMYFUNCTION("""COMPUTED_VALUE"""),"Not ranking")</f>
        <v>Not ranking</v>
      </c>
      <c r="D1059" s="15" t="str">
        <f>IFERROR(__xludf.DUMMYFUNCTION("""COMPUTED_VALUE"""),"85")</f>
        <v>85</v>
      </c>
      <c r="E1059" s="15" t="str">
        <f>IFERROR(__xludf.DUMMYFUNCTION("""COMPUTED_VALUE"""),"Not ranking")</f>
        <v>Not ranking</v>
      </c>
      <c r="F1059" s="18" t="str">
        <f>IFERROR(__xludf.DUMMYFUNCTION("""COMPUTED_VALUE"""),"Not ranking")</f>
        <v>Not ranking</v>
      </c>
      <c r="G1059" s="17" t="str">
        <f>IFERROR(__xludf.DUMMYFUNCTION("""COMPUTED_VALUE"""),"https://realtree.com/big-game-hunting/articles/7-tips-for-over-the-counter-mule-deer-hunting")</f>
        <v>https://realtree.com/big-game-hunting/articles/7-tips-for-over-the-counter-mule-deer-hunting</v>
      </c>
      <c r="H1059" s="18" t="str">
        <f>IFERROR(__xludf.DUMMYFUNCTION("""COMPUTED_VALUE"""),"Not ranking")</f>
        <v>Not ranking</v>
      </c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15" t="str">
        <f>IFERROR(__xludf.DUMMYFUNCTION("""COMPUTED_VALUE"""),"tennessee deer hunting season")</f>
        <v>tennessee deer hunting season</v>
      </c>
      <c r="B1060" s="15" t="str">
        <f>IFERROR(__xludf.DUMMYFUNCTION("""COMPUTED_VALUE"""),"720")</f>
        <v>720</v>
      </c>
      <c r="C1060" s="15" t="str">
        <f>IFERROR(__xludf.DUMMYFUNCTION("""COMPUTED_VALUE"""),"Not ranking")</f>
        <v>Not ranking</v>
      </c>
      <c r="D1060" s="15" t="str">
        <f>IFERROR(__xludf.DUMMYFUNCTION("""COMPUTED_VALUE"""),"80")</f>
        <v>80</v>
      </c>
      <c r="E1060" s="15" t="str">
        <f>IFERROR(__xludf.DUMMYFUNCTION("""COMPUTED_VALUE"""),"64")</f>
        <v>64</v>
      </c>
      <c r="F1060" s="18" t="str">
        <f>IFERROR(__xludf.DUMMYFUNCTION("""COMPUTED_VALUE"""),"Not ranking")</f>
        <v>Not ranking</v>
      </c>
      <c r="G1060" s="17" t="str">
        <f>IFERROR(__xludf.DUMMYFUNCTION("""COMPUTED_VALUE"""),"https://realtree.com/deer-hunting/articles/deer-hunting-the-late-season")</f>
        <v>https://realtree.com/deer-hunting/articles/deer-hunting-the-late-season</v>
      </c>
      <c r="H1060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15" t="str">
        <f>IFERROR(__xludf.DUMMYFUNCTION("""COMPUTED_VALUE"""),"what can you feed deer")</f>
        <v>what can you feed deer</v>
      </c>
      <c r="B1061" s="15" t="str">
        <f>IFERROR(__xludf.DUMMYFUNCTION("""COMPUTED_VALUE"""),"720")</f>
        <v>720</v>
      </c>
      <c r="C1061" s="15" t="str">
        <f>IFERROR(__xludf.DUMMYFUNCTION("""COMPUTED_VALUE"""),"Not ranking")</f>
        <v>Not ranking</v>
      </c>
      <c r="D1061" s="15" t="str">
        <f>IFERROR(__xludf.DUMMYFUNCTION("""COMPUTED_VALUE"""),"96")</f>
        <v>96</v>
      </c>
      <c r="E1061" s="15" t="str">
        <f>IFERROR(__xludf.DUMMYFUNCTION("""COMPUTED_VALUE"""),"Not ranking")</f>
        <v>Not ranking</v>
      </c>
      <c r="F1061" s="18" t="str">
        <f>IFERROR(__xludf.DUMMYFUNCTION("""COMPUTED_VALUE"""),"Not ranking")</f>
        <v>Not ranking</v>
      </c>
      <c r="G1061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1061" s="18" t="str">
        <f>IFERROR(__xludf.DUMMYFUNCTION("""COMPUTED_VALUE"""),"Not ranking")</f>
        <v>Not ranking</v>
      </c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15" t="str">
        <f>IFERROR(__xludf.DUMMYFUNCTION("""COMPUTED_VALUE"""),"what do deer eat in winter")</f>
        <v>what do deer eat in winter</v>
      </c>
      <c r="B1062" s="15" t="str">
        <f>IFERROR(__xludf.DUMMYFUNCTION("""COMPUTED_VALUE"""),"720")</f>
        <v>720</v>
      </c>
      <c r="C1062" s="15" t="str">
        <f>IFERROR(__xludf.DUMMYFUNCTION("""COMPUTED_VALUE"""),"Not ranking")</f>
        <v>Not ranking</v>
      </c>
      <c r="D1062" s="15" t="str">
        <f>IFERROR(__xludf.DUMMYFUNCTION("""COMPUTED_VALUE"""),"Not ranking")</f>
        <v>Not ranking</v>
      </c>
      <c r="E1062" s="15" t="str">
        <f>IFERROR(__xludf.DUMMYFUNCTION("""COMPUTED_VALUE"""),"71")</f>
        <v>71</v>
      </c>
      <c r="F1062" s="18" t="str">
        <f>IFERROR(__xludf.DUMMYFUNCTION("""COMPUTED_VALUE"""),"Not ranking")</f>
        <v>Not ranking</v>
      </c>
      <c r="G1062" s="18" t="str">
        <f>IFERROR(__xludf.DUMMYFUNCTION("""COMPUTED_VALUE"""),"Not ranking")</f>
        <v>Not ranking</v>
      </c>
      <c r="H1062" s="17" t="str">
        <f>IFERROR(__xludf.DUMMYFUNCTION("""COMPUTED_VALUE"""),"https://www.wideopenspaces.com/what-do-deer-elk-and-moose-do-in-the-winter/")</f>
        <v>https://www.wideopenspaces.com/what-do-deer-elk-and-moose-do-in-the-winter/</v>
      </c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15" t="str">
        <f>IFERROR(__xludf.DUMMYFUNCTION("""COMPUTED_VALUE"""),"what does it mean when a deer crosses your path")</f>
        <v>what does it mean when a deer crosses your path</v>
      </c>
      <c r="B1063" s="15" t="str">
        <f>IFERROR(__xludf.DUMMYFUNCTION("""COMPUTED_VALUE"""),"720")</f>
        <v>720</v>
      </c>
      <c r="C1063" s="15" t="str">
        <f>IFERROR(__xludf.DUMMYFUNCTION("""COMPUTED_VALUE"""),"Not ranking")</f>
        <v>Not ranking</v>
      </c>
      <c r="D1063" s="15" t="str">
        <f>IFERROR(__xludf.DUMMYFUNCTION("""COMPUTED_VALUE"""),"97")</f>
        <v>97</v>
      </c>
      <c r="E1063" s="15" t="str">
        <f>IFERROR(__xludf.DUMMYFUNCTION("""COMPUTED_VALUE"""),"Not ranking")</f>
        <v>Not ranking</v>
      </c>
      <c r="F1063" s="18" t="str">
        <f>IFERROR(__xludf.DUMMYFUNCTION("""COMPUTED_VALUE"""),"Not ranking")</f>
        <v>Not ranking</v>
      </c>
      <c r="G1063" s="17" t="str">
        <f>IFERROR(__xludf.DUMMYFUNCTION("""COMPUTED_VALUE"""),"https://realtree.com/deer-hunting/articles/how-mature-bucks-use-the-wind")</f>
        <v>https://realtree.com/deer-hunting/articles/how-mature-bucks-use-the-wind</v>
      </c>
      <c r="H1063" s="18" t="str">
        <f>IFERROR(__xludf.DUMMYFUNCTION("""COMPUTED_VALUE"""),"Not ranking")</f>
        <v>Not ranking</v>
      </c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15" t="str">
        <f>IFERROR(__xludf.DUMMYFUNCTION("""COMPUTED_VALUE"""),"when does deer season end in alabama")</f>
        <v>when does deer season end in alabama</v>
      </c>
      <c r="B1064" s="15" t="str">
        <f>IFERROR(__xludf.DUMMYFUNCTION("""COMPUTED_VALUE"""),"720")</f>
        <v>720</v>
      </c>
      <c r="C1064" s="15" t="str">
        <f>IFERROR(__xludf.DUMMYFUNCTION("""COMPUTED_VALUE"""),"Not ranking")</f>
        <v>Not ranking</v>
      </c>
      <c r="D1064" s="15" t="str">
        <f>IFERROR(__xludf.DUMMYFUNCTION("""COMPUTED_VALUE"""),"41")</f>
        <v>41</v>
      </c>
      <c r="E1064" s="15" t="str">
        <f>IFERROR(__xludf.DUMMYFUNCTION("""COMPUTED_VALUE"""),"Not ranking")</f>
        <v>Not ranking</v>
      </c>
      <c r="F1064" s="18" t="str">
        <f>IFERROR(__xludf.DUMMYFUNCTION("""COMPUTED_VALUE"""),"Not ranking")</f>
        <v>Not ranking</v>
      </c>
      <c r="G1064" s="17" t="str">
        <f>IFERROR(__xludf.DUMMYFUNCTION("""COMPUTED_VALUE"""),"https://realtree.com/brow-tines-and-backstrap/alabama-rut-kicking-police-dog-saves-deer-hunter-from-icy-river-and-more")</f>
        <v>https://realtree.com/brow-tines-and-backstrap/alabama-rut-kicking-police-dog-saves-deer-hunter-from-icy-river-and-more</v>
      </c>
      <c r="H1064" s="18" t="str">
        <f>IFERROR(__xludf.DUMMYFUNCTION("""COMPUTED_VALUE"""),"Not ranking")</f>
        <v>Not ranking</v>
      </c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15" t="str">
        <f>IFERROR(__xludf.DUMMYFUNCTION("""COMPUTED_VALUE"""),"when does deer season end in georgia")</f>
        <v>when does deer season end in georgia</v>
      </c>
      <c r="B1065" s="15" t="str">
        <f>IFERROR(__xludf.DUMMYFUNCTION("""COMPUTED_VALUE"""),"720")</f>
        <v>720</v>
      </c>
      <c r="C1065" s="15" t="str">
        <f>IFERROR(__xludf.DUMMYFUNCTION("""COMPUTED_VALUE"""),"Not ranking")</f>
        <v>Not ranking</v>
      </c>
      <c r="D1065" s="15" t="str">
        <f>IFERROR(__xludf.DUMMYFUNCTION("""COMPUTED_VALUE"""),"85")</f>
        <v>85</v>
      </c>
      <c r="E1065" s="15" t="str">
        <f>IFERROR(__xludf.DUMMYFUNCTION("""COMPUTED_VALUE"""),"15")</f>
        <v>15</v>
      </c>
      <c r="F1065" s="18" t="str">
        <f>IFERROR(__xludf.DUMMYFUNCTION("""COMPUTED_VALUE"""),"Not ranking")</f>
        <v>Not ranking</v>
      </c>
      <c r="G1065" s="17" t="str">
        <f>IFERROR(__xludf.DUMMYFUNCTION("""COMPUTED_VALUE"""),"https://realtree.com/deer-hunting/articles/how-to-deer-hunt-in-december")</f>
        <v>https://realtree.com/deer-hunting/articles/how-to-deer-hunt-in-december</v>
      </c>
      <c r="H1065" s="17" t="str">
        <f>IFERROR(__xludf.DUMMYFUNCTION("""COMPUTED_VALUE"""),"https://www.wideopenspaces.com/when-does-deer-season-end-in-georgia/")</f>
        <v>https://www.wideopenspaces.com/when-does-deer-season-end-in-georgia/</v>
      </c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15" t="str">
        <f>IFERROR(__xludf.DUMMYFUNCTION("""COMPUTED_VALUE"""),"when does deer season start in georgia")</f>
        <v>when does deer season start in georgia</v>
      </c>
      <c r="B1066" s="15" t="str">
        <f>IFERROR(__xludf.DUMMYFUNCTION("""COMPUTED_VALUE"""),"720")</f>
        <v>720</v>
      </c>
      <c r="C1066" s="15" t="str">
        <f>IFERROR(__xludf.DUMMYFUNCTION("""COMPUTED_VALUE"""),"Not ranking")</f>
        <v>Not ranking</v>
      </c>
      <c r="D1066" s="15" t="str">
        <f>IFERROR(__xludf.DUMMYFUNCTION("""COMPUTED_VALUE"""),"Not ranking")</f>
        <v>Not ranking</v>
      </c>
      <c r="E1066" s="15" t="str">
        <f>IFERROR(__xludf.DUMMYFUNCTION("""COMPUTED_VALUE"""),"20")</f>
        <v>20</v>
      </c>
      <c r="F1066" s="18" t="str">
        <f>IFERROR(__xludf.DUMMYFUNCTION("""COMPUTED_VALUE"""),"Not ranking")</f>
        <v>Not ranking</v>
      </c>
      <c r="G1066" s="18" t="str">
        <f>IFERROR(__xludf.DUMMYFUNCTION("""COMPUTED_VALUE"""),"Not ranking")</f>
        <v>Not ranking</v>
      </c>
      <c r="H1066" s="17" t="str">
        <f>IFERROR(__xludf.DUMMYFUNCTION("""COMPUTED_VALUE"""),"https://www.wideopenspaces.com/when-does-deer-season-end-in-georgia/")</f>
        <v>https://www.wideopenspaces.com/when-does-deer-season-end-in-georgia/</v>
      </c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15" t="str">
        <f>IFERROR(__xludf.DUMMYFUNCTION("""COMPUTED_VALUE"""),"when is deer season in georgia")</f>
        <v>when is deer season in georgia</v>
      </c>
      <c r="B1067" s="15" t="str">
        <f>IFERROR(__xludf.DUMMYFUNCTION("""COMPUTED_VALUE"""),"720")</f>
        <v>720</v>
      </c>
      <c r="C1067" s="15" t="str">
        <f>IFERROR(__xludf.DUMMYFUNCTION("""COMPUTED_VALUE"""),"Not ranking")</f>
        <v>Not ranking</v>
      </c>
      <c r="D1067" s="15" t="str">
        <f>IFERROR(__xludf.DUMMYFUNCTION("""COMPUTED_VALUE"""),"Not ranking")</f>
        <v>Not ranking</v>
      </c>
      <c r="E1067" s="15" t="str">
        <f>IFERROR(__xludf.DUMMYFUNCTION("""COMPUTED_VALUE"""),"14")</f>
        <v>14</v>
      </c>
      <c r="F1067" s="18" t="str">
        <f>IFERROR(__xludf.DUMMYFUNCTION("""COMPUTED_VALUE"""),"Not ranking")</f>
        <v>Not ranking</v>
      </c>
      <c r="G1067" s="18" t="str">
        <f>IFERROR(__xludf.DUMMYFUNCTION("""COMPUTED_VALUE"""),"Not ranking")</f>
        <v>Not ranking</v>
      </c>
      <c r="H1067" s="17" t="str">
        <f>IFERROR(__xludf.DUMMYFUNCTION("""COMPUTED_VALUE"""),"https://www.wideopenspaces.com/when-does-deer-season-end-in-georgia/")</f>
        <v>https://www.wideopenspaces.com/when-does-deer-season-end-in-georgia/</v>
      </c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15" t="str">
        <f>IFERROR(__xludf.DUMMYFUNCTION("""COMPUTED_VALUE"""),"white spotted deer")</f>
        <v>white spotted deer</v>
      </c>
      <c r="B1068" s="15" t="str">
        <f>IFERROR(__xludf.DUMMYFUNCTION("""COMPUTED_VALUE"""),"720")</f>
        <v>720</v>
      </c>
      <c r="C1068" s="15" t="str">
        <f>IFERROR(__xludf.DUMMYFUNCTION("""COMPUTED_VALUE"""),"Not ranking")</f>
        <v>Not ranking</v>
      </c>
      <c r="D1068" s="15" t="str">
        <f>IFERROR(__xludf.DUMMYFUNCTION("""COMPUTED_VALUE"""),"Not ranking")</f>
        <v>Not ranking</v>
      </c>
      <c r="E1068" s="15" t="str">
        <f>IFERROR(__xludf.DUMMYFUNCTION("""COMPUTED_VALUE"""),"48")</f>
        <v>48</v>
      </c>
      <c r="F1068" s="18" t="str">
        <f>IFERROR(__xludf.DUMMYFUNCTION("""COMPUTED_VALUE"""),"Not ranking")</f>
        <v>Not ranking</v>
      </c>
      <c r="G1068" s="18" t="str">
        <f>IFERROR(__xludf.DUMMYFUNCTION("""COMPUTED_VALUE"""),"Not ranking")</f>
        <v>Not ranking</v>
      </c>
      <c r="H1068" s="17" t="str">
        <f>IFERROR(__xludf.DUMMYFUNCTION("""COMPUTED_VALUE"""),"https://www.wideopenspaces.com/invasion-axis-deer/")</f>
        <v>https://www.wideopenspaces.com/invasion-axis-deer/</v>
      </c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15" t="str">
        <f>IFERROR(__xludf.DUMMYFUNCTION("""COMPUTED_VALUE"""),"whitetail deer gestation period")</f>
        <v>whitetail deer gestation period</v>
      </c>
      <c r="B1069" s="15" t="str">
        <f>IFERROR(__xludf.DUMMYFUNCTION("""COMPUTED_VALUE"""),"720")</f>
        <v>720</v>
      </c>
      <c r="C1069" s="15" t="str">
        <f>IFERROR(__xludf.DUMMYFUNCTION("""COMPUTED_VALUE"""),"Not ranking")</f>
        <v>Not ranking</v>
      </c>
      <c r="D1069" s="15" t="str">
        <f>IFERROR(__xludf.DUMMYFUNCTION("""COMPUTED_VALUE"""),"Not ranking")</f>
        <v>Not ranking</v>
      </c>
      <c r="E1069" s="15" t="str">
        <f>IFERROR(__xludf.DUMMYFUNCTION("""COMPUTED_VALUE"""),"3")</f>
        <v>3</v>
      </c>
      <c r="F1069" s="18" t="str">
        <f>IFERROR(__xludf.DUMMYFUNCTION("""COMPUTED_VALUE"""),"Not ranking")</f>
        <v>Not ranking</v>
      </c>
      <c r="G1069" s="18" t="str">
        <f>IFERROR(__xludf.DUMMYFUNCTION("""COMPUTED_VALUE"""),"Not ranking")</f>
        <v>Not ranking</v>
      </c>
      <c r="H1069" s="17" t="str">
        <f>IFERROR(__xludf.DUMMYFUNCTION("""COMPUTED_VALUE"""),"https://www.wideopenspaces.com/whitetail-deer-gestation-period/")</f>
        <v>https://www.wideopenspaces.com/whitetail-deer-gestation-period/</v>
      </c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15" t="str">
        <f>IFERROR(__xludf.DUMMYFUNCTION("""COMPUTED_VALUE"""),"whitetail deer lifespan")</f>
        <v>whitetail deer lifespan</v>
      </c>
      <c r="B1070" s="15" t="str">
        <f>IFERROR(__xludf.DUMMYFUNCTION("""COMPUTED_VALUE"""),"720")</f>
        <v>720</v>
      </c>
      <c r="C1070" s="15" t="str">
        <f>IFERROR(__xludf.DUMMYFUNCTION("""COMPUTED_VALUE"""),"Not ranking")</f>
        <v>Not ranking</v>
      </c>
      <c r="D1070" s="15" t="str">
        <f>IFERROR(__xludf.DUMMYFUNCTION("""COMPUTED_VALUE"""),"2")</f>
        <v>2</v>
      </c>
      <c r="E1070" s="15" t="str">
        <f>IFERROR(__xludf.DUMMYFUNCTION("""COMPUTED_VALUE"""),"10")</f>
        <v>10</v>
      </c>
      <c r="F1070" s="18" t="str">
        <f>IFERROR(__xludf.DUMMYFUNCTION("""COMPUTED_VALUE"""),"Not ranking")</f>
        <v>Not ranking</v>
      </c>
      <c r="G1070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1070" s="17" t="str">
        <f>IFERROR(__xludf.DUMMYFUNCTION("""COMPUTED_VALUE"""),"https://www.wideopenspaces.com/lifespan-whitetail-deer/")</f>
        <v>https://www.wideopenspaces.com/lifespan-whitetail-deer/</v>
      </c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15" t="str">
        <f>IFERROR(__xludf.DUMMYFUNCTION("""COMPUTED_VALUE"""),"winchester deer season xp")</f>
        <v>winchester deer season xp</v>
      </c>
      <c r="B1071" s="15" t="str">
        <f>IFERROR(__xludf.DUMMYFUNCTION("""COMPUTED_VALUE"""),"720")</f>
        <v>720</v>
      </c>
      <c r="C1071" s="15" t="str">
        <f>IFERROR(__xludf.DUMMYFUNCTION("""COMPUTED_VALUE"""),"Not ranking")</f>
        <v>Not ranking</v>
      </c>
      <c r="D1071" s="15" t="str">
        <f>IFERROR(__xludf.DUMMYFUNCTION("""COMPUTED_VALUE"""),"Not ranking")</f>
        <v>Not ranking</v>
      </c>
      <c r="E1071" s="15" t="str">
        <f>IFERROR(__xludf.DUMMYFUNCTION("""COMPUTED_VALUE"""),"24")</f>
        <v>24</v>
      </c>
      <c r="F1071" s="18" t="str">
        <f>IFERROR(__xludf.DUMMYFUNCTION("""COMPUTED_VALUE"""),"Not ranking")</f>
        <v>Not ranking</v>
      </c>
      <c r="G1071" s="18" t="str">
        <f>IFERROR(__xludf.DUMMYFUNCTION("""COMPUTED_VALUE"""),"Not ranking")</f>
        <v>Not ranking</v>
      </c>
      <c r="H1071" s="17" t="str">
        <f>IFERROR(__xludf.DUMMYFUNCTION("""COMPUTED_VALUE"""),"https://www.wideopenspaces.com/everything-you-wanted-to-know-about-winchester-deer-season-xp-ammo/")</f>
        <v>https://www.wideopenspaces.com/everything-you-wanted-to-know-about-winchester-deer-season-xp-ammo/</v>
      </c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15" t="str">
        <f>IFERROR(__xludf.DUMMYFUNCTION("""COMPUTED_VALUE"""),"wv deer season")</f>
        <v>wv deer season</v>
      </c>
      <c r="B1072" s="15" t="str">
        <f>IFERROR(__xludf.DUMMYFUNCTION("""COMPUTED_VALUE"""),"720")</f>
        <v>720</v>
      </c>
      <c r="C1072" s="15" t="str">
        <f>IFERROR(__xludf.DUMMYFUNCTION("""COMPUTED_VALUE"""),"Not ranking")</f>
        <v>Not ranking</v>
      </c>
      <c r="D1072" s="15" t="str">
        <f>IFERROR(__xludf.DUMMYFUNCTION("""COMPUTED_VALUE"""),"85")</f>
        <v>85</v>
      </c>
      <c r="E1072" s="15" t="str">
        <f>IFERROR(__xludf.DUMMYFUNCTION("""COMPUTED_VALUE"""),"Not ranking")</f>
        <v>Not ranking</v>
      </c>
      <c r="F1072" s="18" t="str">
        <f>IFERROR(__xludf.DUMMYFUNCTION("""COMPUTED_VALUE"""),"Not ranking")</f>
        <v>Not ranking</v>
      </c>
      <c r="G1072" s="17" t="str">
        <f>IFERROR(__xludf.DUMMYFUNCTION("""COMPUTED_VALUE"""),"https://realtree.com/")</f>
        <v>https://realtree.com/</v>
      </c>
      <c r="H1072" s="18" t="str">
        <f>IFERROR(__xludf.DUMMYFUNCTION("""COMPUTED_VALUE"""),"Not ranking")</f>
        <v>Not ranking</v>
      </c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15" t="str">
        <f>IFERROR(__xludf.DUMMYFUNCTION("""COMPUTED_VALUE"""),"youth missouri deer season")</f>
        <v>youth missouri deer season</v>
      </c>
      <c r="B1073" s="15" t="str">
        <f>IFERROR(__xludf.DUMMYFUNCTION("""COMPUTED_VALUE"""),"720")</f>
        <v>720</v>
      </c>
      <c r="C1073" s="15" t="str">
        <f>IFERROR(__xludf.DUMMYFUNCTION("""COMPUTED_VALUE"""),"Not ranking")</f>
        <v>Not ranking</v>
      </c>
      <c r="D1073" s="15" t="str">
        <f>IFERROR(__xludf.DUMMYFUNCTION("""COMPUTED_VALUE"""),"Not ranking")</f>
        <v>Not ranking</v>
      </c>
      <c r="E1073" s="15" t="str">
        <f>IFERROR(__xludf.DUMMYFUNCTION("""COMPUTED_VALUE"""),"87")</f>
        <v>87</v>
      </c>
      <c r="F1073" s="18" t="str">
        <f>IFERROR(__xludf.DUMMYFUNCTION("""COMPUTED_VALUE"""),"Not ranking")</f>
        <v>Not ranking</v>
      </c>
      <c r="G1073" s="18" t="str">
        <f>IFERROR(__xludf.DUMMYFUNCTION("""COMPUTED_VALUE"""),"Not ranking")</f>
        <v>Not ranking</v>
      </c>
      <c r="H1073" s="17" t="str">
        <f>IFERROR(__xludf.DUMMYFUNCTION("""COMPUTED_VALUE"""),"https://www.wideopenspaces.com/missouri-youth-hunt-records-astounding-deer-kill-number/")</f>
        <v>https://www.wideopenspaces.com/missouri-youth-hunt-records-astounding-deer-kill-number/</v>
      </c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15" t="str">
        <f>IFERROR(__xludf.DUMMYFUNCTION("""COMPUTED_VALUE"""),"2 man deer stand")</f>
        <v>2 man deer stand</v>
      </c>
      <c r="B1074" s="15" t="str">
        <f>IFERROR(__xludf.DUMMYFUNCTION("""COMPUTED_VALUE"""),"590")</f>
        <v>590</v>
      </c>
      <c r="C1074" s="15" t="str">
        <f>IFERROR(__xludf.DUMMYFUNCTION("""COMPUTED_VALUE"""),"Not ranking")</f>
        <v>Not ranking</v>
      </c>
      <c r="D1074" s="15" t="str">
        <f>IFERROR(__xludf.DUMMYFUNCTION("""COMPUTED_VALUE"""),"Not ranking")</f>
        <v>Not ranking</v>
      </c>
      <c r="E1074" s="15" t="str">
        <f>IFERROR(__xludf.DUMMYFUNCTION("""COMPUTED_VALUE"""),"67")</f>
        <v>67</v>
      </c>
      <c r="F1074" s="18" t="str">
        <f>IFERROR(__xludf.DUMMYFUNCTION("""COMPUTED_VALUE"""),"Not ranking")</f>
        <v>Not ranking</v>
      </c>
      <c r="G1074" s="18" t="str">
        <f>IFERROR(__xludf.DUMMYFUNCTION("""COMPUTED_VALUE"""),"Not ranking")</f>
        <v>Not ranking</v>
      </c>
      <c r="H1074" s="17" t="str">
        <f>IFERROR(__xludf.DUMMYFUNCTION("""COMPUTED_VALUE"""),"https://www.wideopenspaces.com/10-best-reasonably-priced-deer-stand-options/")</f>
        <v>https://www.wideopenspaces.com/10-best-reasonably-priced-deer-stand-options/</v>
      </c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15" t="str">
        <f>IFERROR(__xludf.DUMMYFUNCTION("""COMPUTED_VALUE"""),"8 point deer")</f>
        <v>8 point deer</v>
      </c>
      <c r="B1075" s="15" t="str">
        <f>IFERROR(__xludf.DUMMYFUNCTION("""COMPUTED_VALUE"""),"590")</f>
        <v>590</v>
      </c>
      <c r="C1075" s="15" t="str">
        <f>IFERROR(__xludf.DUMMYFUNCTION("""COMPUTED_VALUE"""),"Not ranking")</f>
        <v>Not ranking</v>
      </c>
      <c r="D1075" s="15" t="str">
        <f>IFERROR(__xludf.DUMMYFUNCTION("""COMPUTED_VALUE"""),"35")</f>
        <v>35</v>
      </c>
      <c r="E1075" s="15" t="str">
        <f>IFERROR(__xludf.DUMMYFUNCTION("""COMPUTED_VALUE"""),"37")</f>
        <v>37</v>
      </c>
      <c r="F1075" s="18" t="str">
        <f>IFERROR(__xludf.DUMMYFUNCTION("""COMPUTED_VALUE"""),"Not ranking")</f>
        <v>Not ranking</v>
      </c>
      <c r="G1075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1075" s="17" t="str">
        <f>IFERROR(__xludf.DUMMYFUNCTION("""COMPUTED_VALUE"""),"https://www.wideopenspaces.com/8-point-buck/")</f>
        <v>https://www.wideopenspaces.com/8-point-buck/</v>
      </c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15" t="str">
        <f>IFERROR(__xludf.DUMMYFUNCTION("""COMPUTED_VALUE"""),"albino whitetail deer")</f>
        <v>albino whitetail deer</v>
      </c>
      <c r="B1076" s="15" t="str">
        <f>IFERROR(__xludf.DUMMYFUNCTION("""COMPUTED_VALUE"""),"590")</f>
        <v>590</v>
      </c>
      <c r="C1076" s="15" t="str">
        <f>IFERROR(__xludf.DUMMYFUNCTION("""COMPUTED_VALUE"""),"Not ranking")</f>
        <v>Not ranking</v>
      </c>
      <c r="D1076" s="15" t="str">
        <f>IFERROR(__xludf.DUMMYFUNCTION("""COMPUTED_VALUE"""),"Not ranking")</f>
        <v>Not ranking</v>
      </c>
      <c r="E1076" s="15" t="str">
        <f>IFERROR(__xludf.DUMMYFUNCTION("""COMPUTED_VALUE"""),"65")</f>
        <v>65</v>
      </c>
      <c r="F1076" s="18" t="str">
        <f>IFERROR(__xludf.DUMMYFUNCTION("""COMPUTED_VALUE"""),"Not ranking")</f>
        <v>Not ranking</v>
      </c>
      <c r="G1076" s="18" t="str">
        <f>IFERROR(__xludf.DUMMYFUNCTION("""COMPUTED_VALUE"""),"Not ranking")</f>
        <v>Not ranking</v>
      </c>
      <c r="H1076" s="17" t="str">
        <f>IFERROR(__xludf.DUMMYFUNCTION("""COMPUTED_VALUE"""),"https://www.wideopenspaces.com/whitetailwednesday-should-we-shoot-albino-and-piebald-deer/")</f>
        <v>https://www.wideopenspaces.com/whitetailwednesday-should-we-shoot-albino-and-piebald-deer/</v>
      </c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15" t="str">
        <f>IFERROR(__xludf.DUMMYFUNCTION("""COMPUTED_VALUE"""),"antelope island mule deer")</f>
        <v>antelope island mule deer</v>
      </c>
      <c r="B1077" s="15" t="str">
        <f>IFERROR(__xludf.DUMMYFUNCTION("""COMPUTED_VALUE"""),"590")</f>
        <v>590</v>
      </c>
      <c r="C1077" s="15" t="str">
        <f>IFERROR(__xludf.DUMMYFUNCTION("""COMPUTED_VALUE"""),"Not ranking")</f>
        <v>Not ranking</v>
      </c>
      <c r="D1077" s="15" t="str">
        <f>IFERROR(__xludf.DUMMYFUNCTION("""COMPUTED_VALUE"""),"Not ranking")</f>
        <v>Not ranking</v>
      </c>
      <c r="E1077" s="15" t="str">
        <f>IFERROR(__xludf.DUMMYFUNCTION("""COMPUTED_VALUE"""),"19")</f>
        <v>19</v>
      </c>
      <c r="F1077" s="18" t="str">
        <f>IFERROR(__xludf.DUMMYFUNCTION("""COMPUTED_VALUE"""),"Not ranking")</f>
        <v>Not ranking</v>
      </c>
      <c r="G1077" s="18" t="str">
        <f>IFERROR(__xludf.DUMMYFUNCTION("""COMPUTED_VALUE"""),"Not ranking")</f>
        <v>Not ranking</v>
      </c>
      <c r="H1077" s="17" t="str">
        <f>IFERROR(__xludf.DUMMYFUNCTION("""COMPUTED_VALUE"""),"https://www.wideopenspaces.com/biologists-studying-utahs-antelope-island-mule-deer-herd-through-radio-collar-study/")</f>
        <v>https://www.wideopenspaces.com/biologists-studying-utahs-antelope-island-mule-deer-herd-through-radio-collar-study/</v>
      </c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15" t="str">
        <f>IFERROR(__xludf.DUMMYFUNCTION("""COMPUTED_VALUE"""),"barking deer sound")</f>
        <v>barking deer sound</v>
      </c>
      <c r="B1078" s="15" t="str">
        <f>IFERROR(__xludf.DUMMYFUNCTION("""COMPUTED_VALUE"""),"590")</f>
        <v>590</v>
      </c>
      <c r="C1078" s="15" t="str">
        <f>IFERROR(__xludf.DUMMYFUNCTION("""COMPUTED_VALUE"""),"Not ranking")</f>
        <v>Not ranking</v>
      </c>
      <c r="D1078" s="15" t="str">
        <f>IFERROR(__xludf.DUMMYFUNCTION("""COMPUTED_VALUE"""),"Not ranking")</f>
        <v>Not ranking</v>
      </c>
      <c r="E1078" s="15" t="str">
        <f>IFERROR(__xludf.DUMMYFUNCTION("""COMPUTED_VALUE"""),"57")</f>
        <v>57</v>
      </c>
      <c r="F1078" s="18" t="str">
        <f>IFERROR(__xludf.DUMMYFUNCTION("""COMPUTED_VALUE"""),"Not ranking")</f>
        <v>Not ranking</v>
      </c>
      <c r="G1078" s="18" t="str">
        <f>IFERROR(__xludf.DUMMYFUNCTION("""COMPUTED_VALUE"""),"Not ranking")</f>
        <v>Not ranking</v>
      </c>
      <c r="H1078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15" t="str">
        <f>IFERROR(__xludf.DUMMYFUNCTION("""COMPUTED_VALUE"""),"bear proof deer feeder")</f>
        <v>bear proof deer feeder</v>
      </c>
      <c r="B1079" s="15" t="str">
        <f>IFERROR(__xludf.DUMMYFUNCTION("""COMPUTED_VALUE"""),"590")</f>
        <v>590</v>
      </c>
      <c r="C1079" s="15" t="str">
        <f>IFERROR(__xludf.DUMMYFUNCTION("""COMPUTED_VALUE"""),"Not ranking")</f>
        <v>Not ranking</v>
      </c>
      <c r="D1079" s="15" t="str">
        <f>IFERROR(__xludf.DUMMYFUNCTION("""COMPUTED_VALUE"""),"Not ranking")</f>
        <v>Not ranking</v>
      </c>
      <c r="E1079" s="15" t="str">
        <f>IFERROR(__xludf.DUMMYFUNCTION("""COMPUTED_VALUE"""),"31")</f>
        <v>31</v>
      </c>
      <c r="F1079" s="18" t="str">
        <f>IFERROR(__xludf.DUMMYFUNCTION("""COMPUTED_VALUE"""),"Not ranking")</f>
        <v>Not ranking</v>
      </c>
      <c r="G1079" s="18" t="str">
        <f>IFERROR(__xludf.DUMMYFUNCTION("""COMPUTED_VALUE"""),"Not ranking")</f>
        <v>Not ranking</v>
      </c>
      <c r="H1079" s="17" t="str">
        <f>IFERROR(__xludf.DUMMYFUNCTION("""COMPUTED_VALUE"""),"https://www.wideopenspaces.com/concrete-evidence-bear-proof-feeders-need/")</f>
        <v>https://www.wideopenspaces.com/concrete-evidence-bear-proof-feeders-need/</v>
      </c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15" t="str">
        <f>IFERROR(__xludf.DUMMYFUNCTION("""COMPUTED_VALUE"""),"best deer attractants")</f>
        <v>best deer attractants</v>
      </c>
      <c r="B1080" s="15" t="str">
        <f>IFERROR(__xludf.DUMMYFUNCTION("""COMPUTED_VALUE"""),"590")</f>
        <v>590</v>
      </c>
      <c r="C1080" s="15" t="str">
        <f>IFERROR(__xludf.DUMMYFUNCTION("""COMPUTED_VALUE"""),"Not ranking")</f>
        <v>Not ranking</v>
      </c>
      <c r="D1080" s="15" t="str">
        <f>IFERROR(__xludf.DUMMYFUNCTION("""COMPUTED_VALUE"""),"17")</f>
        <v>17</v>
      </c>
      <c r="E1080" s="15" t="str">
        <f>IFERROR(__xludf.DUMMYFUNCTION("""COMPUTED_VALUE"""),"6")</f>
        <v>6</v>
      </c>
      <c r="F1080" s="18" t="str">
        <f>IFERROR(__xludf.DUMMYFUNCTION("""COMPUTED_VALUE"""),"Not ranking")</f>
        <v>Not ranking</v>
      </c>
      <c r="G1080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1080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15" t="str">
        <f>IFERROR(__xludf.DUMMYFUNCTION("""COMPUTED_VALUE"""),"best deer feeders")</f>
        <v>best deer feeders</v>
      </c>
      <c r="B1081" s="15" t="str">
        <f>IFERROR(__xludf.DUMMYFUNCTION("""COMPUTED_VALUE"""),"590")</f>
        <v>590</v>
      </c>
      <c r="C1081" s="15" t="str">
        <f>IFERROR(__xludf.DUMMYFUNCTION("""COMPUTED_VALUE"""),"Not ranking")</f>
        <v>Not ranking</v>
      </c>
      <c r="D1081" s="15" t="str">
        <f>IFERROR(__xludf.DUMMYFUNCTION("""COMPUTED_VALUE"""),"Not ranking")</f>
        <v>Not ranking</v>
      </c>
      <c r="E1081" s="15" t="str">
        <f>IFERROR(__xludf.DUMMYFUNCTION("""COMPUTED_VALUE"""),"9")</f>
        <v>9</v>
      </c>
      <c r="F1081" s="18" t="str">
        <f>IFERROR(__xludf.DUMMYFUNCTION("""COMPUTED_VALUE"""),"Not ranking")</f>
        <v>Not ranking</v>
      </c>
      <c r="G1081" s="18" t="str">
        <f>IFERROR(__xludf.DUMMYFUNCTION("""COMPUTED_VALUE"""),"Not ranking")</f>
        <v>Not ranking</v>
      </c>
      <c r="H1081" s="17" t="str">
        <f>IFERROR(__xludf.DUMMYFUNCTION("""COMPUTED_VALUE"""),"https://www.wideopenspaces.com/best-deer-feeders/")</f>
        <v>https://www.wideopenspaces.com/best-deer-feeders/</v>
      </c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15" t="str">
        <f>IFERROR(__xludf.DUMMYFUNCTION("""COMPUTED_VALUE"""),"black whitetail deer")</f>
        <v>black whitetail deer</v>
      </c>
      <c r="B1082" s="15" t="str">
        <f>IFERROR(__xludf.DUMMYFUNCTION("""COMPUTED_VALUE"""),"590")</f>
        <v>590</v>
      </c>
      <c r="C1082" s="15" t="str">
        <f>IFERROR(__xludf.DUMMYFUNCTION("""COMPUTED_VALUE"""),"Not ranking")</f>
        <v>Not ranking</v>
      </c>
      <c r="D1082" s="15" t="str">
        <f>IFERROR(__xludf.DUMMYFUNCTION("""COMPUTED_VALUE"""),"4")</f>
        <v>4</v>
      </c>
      <c r="E1082" s="15" t="str">
        <f>IFERROR(__xludf.DUMMYFUNCTION("""COMPUTED_VALUE"""),"7")</f>
        <v>7</v>
      </c>
      <c r="F1082" s="18" t="str">
        <f>IFERROR(__xludf.DUMMYFUNCTION("""COMPUTED_VALUE"""),"Not ranking")</f>
        <v>Not ranking</v>
      </c>
      <c r="G1082" s="17" t="str">
        <f>IFERROR(__xludf.DUMMYFUNCTION("""COMPUTED_VALUE"""),"https://realtree.com/brow-tines-and-backstrap/have-you-ever-seen-a-melanistic-whitetail")</f>
        <v>https://realtree.com/brow-tines-and-backstrap/have-you-ever-seen-a-melanistic-whitetail</v>
      </c>
      <c r="H1082" s="17" t="str">
        <f>IFERROR(__xludf.DUMMYFUNCTION("""COMPUTED_VALUE"""),"https://www.wideopenspaces.com/whitetailwednesday-the-rarest-deer-color-phase-of-all-melanistic/")</f>
        <v>https://www.wideopenspaces.com/whitetailwednesday-the-rarest-deer-color-phase-of-all-melanistic/</v>
      </c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15" t="str">
        <f>IFERROR(__xludf.DUMMYFUNCTION("""COMPUTED_VALUE"""),"brow tines deer")</f>
        <v>brow tines deer</v>
      </c>
      <c r="B1083" s="15" t="str">
        <f>IFERROR(__xludf.DUMMYFUNCTION("""COMPUTED_VALUE"""),"590")</f>
        <v>590</v>
      </c>
      <c r="C1083" s="15" t="str">
        <f>IFERROR(__xludf.DUMMYFUNCTION("""COMPUTED_VALUE"""),"Not ranking")</f>
        <v>Not ranking</v>
      </c>
      <c r="D1083" s="15" t="str">
        <f>IFERROR(__xludf.DUMMYFUNCTION("""COMPUTED_VALUE"""),"8")</f>
        <v>8</v>
      </c>
      <c r="E1083" s="15" t="str">
        <f>IFERROR(__xludf.DUMMYFUNCTION("""COMPUTED_VALUE"""),"Not ranking")</f>
        <v>Not ranking</v>
      </c>
      <c r="F1083" s="18" t="str">
        <f>IFERROR(__xludf.DUMMYFUNCTION("""COMPUTED_VALUE"""),"Not ranking")</f>
        <v>Not ranking</v>
      </c>
      <c r="G1083" s="17" t="str">
        <f>IFERROR(__xludf.DUMMYFUNCTION("""COMPUTED_VALUE"""),"https://realtree.com/brow-tines-and-backstrap")</f>
        <v>https://realtree.com/brow-tines-and-backstrap</v>
      </c>
      <c r="H1083" s="18" t="str">
        <f>IFERROR(__xludf.DUMMYFUNCTION("""COMPUTED_VALUE"""),"Not ranking")</f>
        <v>Not ranking</v>
      </c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15" t="str">
        <f>IFERROR(__xludf.DUMMYFUNCTION("""COMPUTED_VALUE"""),"brownville deer pantry live cam")</f>
        <v>brownville deer pantry live cam</v>
      </c>
      <c r="B1084" s="15" t="str">
        <f>IFERROR(__xludf.DUMMYFUNCTION("""COMPUTED_VALUE"""),"590")</f>
        <v>590</v>
      </c>
      <c r="C1084" s="15" t="str">
        <f>IFERROR(__xludf.DUMMYFUNCTION("""COMPUTED_VALUE"""),"Not ranking")</f>
        <v>Not ranking</v>
      </c>
      <c r="D1084" s="15" t="str">
        <f>IFERROR(__xludf.DUMMYFUNCTION("""COMPUTED_VALUE"""),"8")</f>
        <v>8</v>
      </c>
      <c r="E1084" s="15" t="str">
        <f>IFERROR(__xludf.DUMMYFUNCTION("""COMPUTED_VALUE"""),"Not ranking")</f>
        <v>Not ranking</v>
      </c>
      <c r="F1084" s="18" t="str">
        <f>IFERROR(__xludf.DUMMYFUNCTION("""COMPUTED_VALUE"""),"Not ranking")</f>
        <v>Not ranking</v>
      </c>
      <c r="G1084" s="17" t="str">
        <f>IFERROR(__xludf.DUMMYFUNCTION("""COMPUTED_VALUE"""),"https://realtree.com/the-realblog-with-stephanie-mallory/watch-live-cam-of-maine-deer-pantry")</f>
        <v>https://realtree.com/the-realblog-with-stephanie-mallory/watch-live-cam-of-maine-deer-pantry</v>
      </c>
      <c r="H1084" s="18" t="str">
        <f>IFERROR(__xludf.DUMMYFUNCTION("""COMPUTED_VALUE"""),"Not ranking")</f>
        <v>Not ranking</v>
      </c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15" t="str">
        <f>IFERROR(__xludf.DUMMYFUNCTION("""COMPUTED_VALUE"""),"bulk corn for deer")</f>
        <v>bulk corn for deer</v>
      </c>
      <c r="B1085" s="15" t="str">
        <f>IFERROR(__xludf.DUMMYFUNCTION("""COMPUTED_VALUE"""),"590")</f>
        <v>590</v>
      </c>
      <c r="C1085" s="15" t="str">
        <f>IFERROR(__xludf.DUMMYFUNCTION("""COMPUTED_VALUE"""),"Not ranking")</f>
        <v>Not ranking</v>
      </c>
      <c r="D1085" s="15" t="str">
        <f>IFERROR(__xludf.DUMMYFUNCTION("""COMPUTED_VALUE"""),"81")</f>
        <v>81</v>
      </c>
      <c r="E1085" s="15" t="str">
        <f>IFERROR(__xludf.DUMMYFUNCTION("""COMPUTED_VALUE"""),"Not ranking")</f>
        <v>Not ranking</v>
      </c>
      <c r="F1085" s="18" t="str">
        <f>IFERROR(__xludf.DUMMYFUNCTION("""COMPUTED_VALUE"""),"Not ranking")</f>
        <v>Not ranking</v>
      </c>
      <c r="G1085" s="17" t="str">
        <f>IFERROR(__xludf.DUMMYFUNCTION("""COMPUTED_VALUE"""),"https://realtree.com/brow-tines-and-backstrap/will-skyrocketing-corn-prices-affect-your-deer-season")</f>
        <v>https://realtree.com/brow-tines-and-backstrap/will-skyrocketing-corn-prices-affect-your-deer-season</v>
      </c>
      <c r="H1085" s="18" t="str">
        <f>IFERROR(__xludf.DUMMYFUNCTION("""COMPUTED_VALUE"""),"Not ranking")</f>
        <v>Not ranking</v>
      </c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15" t="str">
        <f>IFERROR(__xludf.DUMMYFUNCTION("""COMPUTED_VALUE"""),"can dogs eat deer meat")</f>
        <v>can dogs eat deer meat</v>
      </c>
      <c r="B1086" s="15" t="str">
        <f>IFERROR(__xludf.DUMMYFUNCTION("""COMPUTED_VALUE"""),"590")</f>
        <v>590</v>
      </c>
      <c r="C1086" s="15" t="str">
        <f>IFERROR(__xludf.DUMMYFUNCTION("""COMPUTED_VALUE"""),"Not ranking")</f>
        <v>Not ranking</v>
      </c>
      <c r="D1086" s="15" t="str">
        <f>IFERROR(__xludf.DUMMYFUNCTION("""COMPUTED_VALUE"""),"Not ranking")</f>
        <v>Not ranking</v>
      </c>
      <c r="E1086" s="15" t="str">
        <f>IFERROR(__xludf.DUMMYFUNCTION("""COMPUTED_VALUE"""),"30")</f>
        <v>30</v>
      </c>
      <c r="F1086" s="18" t="str">
        <f>IFERROR(__xludf.DUMMYFUNCTION("""COMPUTED_VALUE"""),"Not ranking")</f>
        <v>Not ranking</v>
      </c>
      <c r="G1086" s="18" t="str">
        <f>IFERROR(__xludf.DUMMYFUNCTION("""COMPUTED_VALUE"""),"Not ranking")</f>
        <v>Not ranking</v>
      </c>
      <c r="H1086" s="17" t="str">
        <f>IFERROR(__xludf.DUMMYFUNCTION("""COMPUTED_VALUE"""),"https://www.wideopenspaces.com/venison-dog-food/")</f>
        <v>https://www.wideopenspaces.com/venison-dog-food/</v>
      </c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15" t="str">
        <f>IFERROR(__xludf.DUMMYFUNCTION("""COMPUTED_VALUE"""),"catching deers")</f>
        <v>catching deers</v>
      </c>
      <c r="B1087" s="15" t="str">
        <f>IFERROR(__xludf.DUMMYFUNCTION("""COMPUTED_VALUE"""),"590")</f>
        <v>590</v>
      </c>
      <c r="C1087" s="15" t="str">
        <f>IFERROR(__xludf.DUMMYFUNCTION("""COMPUTED_VALUE"""),"Not ranking")</f>
        <v>Not ranking</v>
      </c>
      <c r="D1087" s="15" t="str">
        <f>IFERROR(__xludf.DUMMYFUNCTION("""COMPUTED_VALUE"""),"Not ranking")</f>
        <v>Not ranking</v>
      </c>
      <c r="E1087" s="15" t="str">
        <f>IFERROR(__xludf.DUMMYFUNCTION("""COMPUTED_VALUE"""),"67")</f>
        <v>67</v>
      </c>
      <c r="F1087" s="18" t="str">
        <f>IFERROR(__xludf.DUMMYFUNCTION("""COMPUTED_VALUE"""),"Not ranking")</f>
        <v>Not ranking</v>
      </c>
      <c r="G1087" s="18" t="str">
        <f>IFERROR(__xludf.DUMMYFUNCTION("""COMPUTED_VALUE"""),"Not ranking")</f>
        <v>Not ranking</v>
      </c>
      <c r="H1087" s="17" t="str">
        <f>IFERROR(__xludf.DUMMYFUNCTION("""COMPUTED_VALUE"""),"https://www.wideopenspaces.com/catchin-up-with-catchin-deers-wide-open-spaces-speaks-with-former-nhler-mike-fisher/")</f>
        <v>https://www.wideopenspaces.com/catchin-up-with-catchin-deers-wide-open-spaces-speaks-with-former-nhler-mike-fisher/</v>
      </c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15" t="str">
        <f>IFERROR(__xludf.DUMMYFUNCTION("""COMPUTED_VALUE"""),"chital deer")</f>
        <v>chital deer</v>
      </c>
      <c r="B1088" s="15" t="str">
        <f>IFERROR(__xludf.DUMMYFUNCTION("""COMPUTED_VALUE"""),"590")</f>
        <v>590</v>
      </c>
      <c r="C1088" s="15" t="str">
        <f>IFERROR(__xludf.DUMMYFUNCTION("""COMPUTED_VALUE"""),"Not ranking")</f>
        <v>Not ranking</v>
      </c>
      <c r="D1088" s="15" t="str">
        <f>IFERROR(__xludf.DUMMYFUNCTION("""COMPUTED_VALUE"""),"Not ranking")</f>
        <v>Not ranking</v>
      </c>
      <c r="E1088" s="15" t="str">
        <f>IFERROR(__xludf.DUMMYFUNCTION("""COMPUTED_VALUE"""),"19")</f>
        <v>19</v>
      </c>
      <c r="F1088" s="18" t="str">
        <f>IFERROR(__xludf.DUMMYFUNCTION("""COMPUTED_VALUE"""),"Not ranking")</f>
        <v>Not ranking</v>
      </c>
      <c r="G1088" s="18" t="str">
        <f>IFERROR(__xludf.DUMMYFUNCTION("""COMPUTED_VALUE"""),"Not ranking")</f>
        <v>Not ranking</v>
      </c>
      <c r="H1088" s="17" t="str">
        <f>IFERROR(__xludf.DUMMYFUNCTION("""COMPUTED_VALUE"""),"https://www.wideopenspaces.com/invasion-axis-deer/")</f>
        <v>https://www.wideopenspaces.com/invasion-axis-deer/</v>
      </c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15" t="str">
        <f>IFERROR(__xludf.DUMMYFUNCTION("""COMPUTED_VALUE"""),"crush deer camera")</f>
        <v>crush deer camera</v>
      </c>
      <c r="B1089" s="15" t="str">
        <f>IFERROR(__xludf.DUMMYFUNCTION("""COMPUTED_VALUE"""),"590")</f>
        <v>590</v>
      </c>
      <c r="C1089" s="15" t="str">
        <f>IFERROR(__xludf.DUMMYFUNCTION("""COMPUTED_VALUE"""),"Not ranking")</f>
        <v>Not ranking</v>
      </c>
      <c r="D1089" s="15" t="str">
        <f>IFERROR(__xludf.DUMMYFUNCTION("""COMPUTED_VALUE"""),"70")</f>
        <v>70</v>
      </c>
      <c r="E1089" s="15" t="str">
        <f>IFERROR(__xludf.DUMMYFUNCTION("""COMPUTED_VALUE"""),"46")</f>
        <v>46</v>
      </c>
      <c r="F1089" s="18" t="str">
        <f>IFERROR(__xludf.DUMMYFUNCTION("""COMPUTED_VALUE"""),"Not ranking")</f>
        <v>Not ranking</v>
      </c>
      <c r="G1089" s="17" t="str">
        <f>IFERROR(__xludf.DUMMYFUNCTION("""COMPUTED_VALUE"""),"https://realtree.com/brow-tines-and-backstrap/how-to-use-a-trail-camera")</f>
        <v>https://realtree.com/brow-tines-and-backstrap/how-to-use-a-trail-camera</v>
      </c>
      <c r="H1089" s="17" t="str">
        <f>IFERROR(__xludf.DUMMYFUNCTION("""COMPUTED_VALUE"""),"https://www.wideopenspaces.com/wild-game-innovations-unveils-new-trail-cameras-for-ata-show/")</f>
        <v>https://www.wideopenspaces.com/wild-game-innovations-unveils-new-trail-cameras-for-ata-show/</v>
      </c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15" t="str">
        <f>IFERROR(__xludf.DUMMYFUNCTION("""COMPUTED_VALUE"""),"cull deer")</f>
        <v>cull deer</v>
      </c>
      <c r="B1090" s="15" t="str">
        <f>IFERROR(__xludf.DUMMYFUNCTION("""COMPUTED_VALUE"""),"590")</f>
        <v>590</v>
      </c>
      <c r="C1090" s="15" t="str">
        <f>IFERROR(__xludf.DUMMYFUNCTION("""COMPUTED_VALUE"""),"Not ranking")</f>
        <v>Not ranking</v>
      </c>
      <c r="D1090" s="15" t="str">
        <f>IFERROR(__xludf.DUMMYFUNCTION("""COMPUTED_VALUE"""),"8")</f>
        <v>8</v>
      </c>
      <c r="E1090" s="15" t="str">
        <f>IFERROR(__xludf.DUMMYFUNCTION("""COMPUTED_VALUE"""),"Not ranking")</f>
        <v>Not ranking</v>
      </c>
      <c r="F1090" s="18" t="str">
        <f>IFERROR(__xludf.DUMMYFUNCTION("""COMPUTED_VALUE"""),"Not ranking")</f>
        <v>Not ranking</v>
      </c>
      <c r="G1090" s="17" t="str">
        <f>IFERROR(__xludf.DUMMYFUNCTION("""COMPUTED_VALUE"""),"https://realtree.com/deer-hunting/articles/deer-hunting-debate-does-culling-really-work")</f>
        <v>https://realtree.com/deer-hunting/articles/deer-hunting-debate-does-culling-really-work</v>
      </c>
      <c r="H1090" s="18" t="str">
        <f>IFERROR(__xludf.DUMMYFUNCTION("""COMPUTED_VALUE"""),"Not ranking")</f>
        <v>Not ranking</v>
      </c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15" t="str">
        <f>IFERROR(__xludf.DUMMYFUNCTION("""COMPUTED_VALUE"""),"deer 8 point")</f>
        <v>deer 8 point</v>
      </c>
      <c r="B1091" s="15" t="str">
        <f>IFERROR(__xludf.DUMMYFUNCTION("""COMPUTED_VALUE"""),"590")</f>
        <v>590</v>
      </c>
      <c r="C1091" s="15" t="str">
        <f>IFERROR(__xludf.DUMMYFUNCTION("""COMPUTED_VALUE"""),"Not ranking")</f>
        <v>Not ranking</v>
      </c>
      <c r="D1091" s="15" t="str">
        <f>IFERROR(__xludf.DUMMYFUNCTION("""COMPUTED_VALUE"""),"55")</f>
        <v>55</v>
      </c>
      <c r="E1091" s="15" t="str">
        <f>IFERROR(__xludf.DUMMYFUNCTION("""COMPUTED_VALUE"""),"50")</f>
        <v>50</v>
      </c>
      <c r="F1091" s="18" t="str">
        <f>IFERROR(__xludf.DUMMYFUNCTION("""COMPUTED_VALUE"""),"Not ranking")</f>
        <v>Not ranking</v>
      </c>
      <c r="G1091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1091" s="17" t="str">
        <f>IFERROR(__xludf.DUMMYFUNCTION("""COMPUTED_VALUE"""),"https://www.wideopenspaces.com/you-wont-believe-this-video-is-just-an-8-point-buck/")</f>
        <v>https://www.wideopenspaces.com/you-wont-believe-this-video-is-just-an-8-point-buck/</v>
      </c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15" t="str">
        <f>IFERROR(__xludf.DUMMYFUNCTION("""COMPUTED_VALUE"""),"deer antler shedding")</f>
        <v>deer antler shedding</v>
      </c>
      <c r="B1092" s="15" t="str">
        <f>IFERROR(__xludf.DUMMYFUNCTION("""COMPUTED_VALUE"""),"590")</f>
        <v>590</v>
      </c>
      <c r="C1092" s="15" t="str">
        <f>IFERROR(__xludf.DUMMYFUNCTION("""COMPUTED_VALUE"""),"Not ranking")</f>
        <v>Not ranking</v>
      </c>
      <c r="D1092" s="15" t="str">
        <f>IFERROR(__xludf.DUMMYFUNCTION("""COMPUTED_VALUE"""),"4")</f>
        <v>4</v>
      </c>
      <c r="E1092" s="15" t="str">
        <f>IFERROR(__xludf.DUMMYFUNCTION("""COMPUTED_VALUE"""),"2")</f>
        <v>2</v>
      </c>
      <c r="F1092" s="18" t="str">
        <f>IFERROR(__xludf.DUMMYFUNCTION("""COMPUTED_VALUE"""),"Not ranking")</f>
        <v>Not ranking</v>
      </c>
      <c r="G1092" s="17" t="str">
        <f>IFERROR(__xludf.DUMMYFUNCTION("""COMPUTED_VALUE"""),"https://realtree.com/brow-tines-and-backstrap/why-bucks-shed-antlers-and-how-to-hunt-them")</f>
        <v>https://realtree.com/brow-tines-and-backstrap/why-bucks-shed-antlers-and-how-to-hunt-them</v>
      </c>
      <c r="H1092" s="17" t="str">
        <f>IFERROR(__xludf.DUMMYFUNCTION("""COMPUTED_VALUE"""),"https://www.wideopenspaces.com/deer-shed-antlers-pics/")</f>
        <v>https://www.wideopenspaces.com/deer-shed-antlers-pics/</v>
      </c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15" t="str">
        <f>IFERROR(__xludf.DUMMYFUNCTION("""COMPUTED_VALUE"""),"deer attacks")</f>
        <v>deer attacks</v>
      </c>
      <c r="B1093" s="15" t="str">
        <f>IFERROR(__xludf.DUMMYFUNCTION("""COMPUTED_VALUE"""),"590")</f>
        <v>590</v>
      </c>
      <c r="C1093" s="15" t="str">
        <f>IFERROR(__xludf.DUMMYFUNCTION("""COMPUTED_VALUE"""),"Not ranking")</f>
        <v>Not ranking</v>
      </c>
      <c r="D1093" s="15" t="str">
        <f>IFERROR(__xludf.DUMMYFUNCTION("""COMPUTED_VALUE"""),"53")</f>
        <v>53</v>
      </c>
      <c r="E1093" s="15" t="str">
        <f>IFERROR(__xludf.DUMMYFUNCTION("""COMPUTED_VALUE"""),"Not ranking")</f>
        <v>Not ranking</v>
      </c>
      <c r="F1093" s="18" t="str">
        <f>IFERROR(__xludf.DUMMYFUNCTION("""COMPUTED_VALUE"""),"Not ranking")</f>
        <v>Not ranking</v>
      </c>
      <c r="G1093" s="17" t="str">
        <f>IFERROR(__xludf.DUMMYFUNCTION("""COMPUTED_VALUE"""),"https://realtree.com/the-realblog-with-stephanie-mallory/watch-buck-attack-during-filming-of-kentucky-afield-television")</f>
        <v>https://realtree.com/the-realblog-with-stephanie-mallory/watch-buck-attack-during-filming-of-kentucky-afield-television</v>
      </c>
      <c r="H1093" s="18" t="str">
        <f>IFERROR(__xludf.DUMMYFUNCTION("""COMPUTED_VALUE"""),"Not ranking")</f>
        <v>Not ranking</v>
      </c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15" t="str">
        <f>IFERROR(__xludf.DUMMYFUNCTION("""COMPUTED_VALUE"""),"deer attractants")</f>
        <v>deer attractants</v>
      </c>
      <c r="B1094" s="15" t="str">
        <f>IFERROR(__xludf.DUMMYFUNCTION("""COMPUTED_VALUE"""),"590")</f>
        <v>590</v>
      </c>
      <c r="C1094" s="15" t="str">
        <f>IFERROR(__xludf.DUMMYFUNCTION("""COMPUTED_VALUE"""),"Not ranking")</f>
        <v>Not ranking</v>
      </c>
      <c r="D1094" s="15" t="str">
        <f>IFERROR(__xludf.DUMMYFUNCTION("""COMPUTED_VALUE"""),"75")</f>
        <v>75</v>
      </c>
      <c r="E1094" s="15" t="str">
        <f>IFERROR(__xludf.DUMMYFUNCTION("""COMPUTED_VALUE"""),"8")</f>
        <v>8</v>
      </c>
      <c r="F1094" s="18" t="str">
        <f>IFERROR(__xludf.DUMMYFUNCTION("""COMPUTED_VALUE"""),"Not ranking")</f>
        <v>Not ranking</v>
      </c>
      <c r="G1094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1094" s="17" t="str">
        <f>IFERROR(__xludf.DUMMYFUNCTION("""COMPUTED_VALUE"""),"https://www.wideopenspaces.com/5-deer-attractants-drive-whitetail-bucks-crazy-pics/")</f>
        <v>https://www.wideopenspaces.com/5-deer-attractants-drive-whitetail-bucks-crazy-pics/</v>
      </c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15" t="str">
        <f>IFERROR(__xludf.DUMMYFUNCTION("""COMPUTED_VALUE"""),"deer backgrounds")</f>
        <v>deer backgrounds</v>
      </c>
      <c r="B1095" s="15" t="str">
        <f>IFERROR(__xludf.DUMMYFUNCTION("""COMPUTED_VALUE"""),"590")</f>
        <v>590</v>
      </c>
      <c r="C1095" s="15" t="str">
        <f>IFERROR(__xludf.DUMMYFUNCTION("""COMPUTED_VALUE"""),"Not ranking")</f>
        <v>Not ranking</v>
      </c>
      <c r="D1095" s="15" t="str">
        <f>IFERROR(__xludf.DUMMYFUNCTION("""COMPUTED_VALUE"""),"61")</f>
        <v>61</v>
      </c>
      <c r="E1095" s="15" t="str">
        <f>IFERROR(__xludf.DUMMYFUNCTION("""COMPUTED_VALUE"""),"Not ranking")</f>
        <v>Not ranking</v>
      </c>
      <c r="F1095" s="18" t="str">
        <f>IFERROR(__xludf.DUMMYFUNCTION("""COMPUTED_VALUE"""),"Not ranking")</f>
        <v>Not ranking</v>
      </c>
      <c r="G1095" s="17" t="str">
        <f>IFERROR(__xludf.DUMMYFUNCTION("""COMPUTED_VALUE"""),"https://realtree.com/deer-hunting/articles/10-tips-for-great-deer-pictures")</f>
        <v>https://realtree.com/deer-hunting/articles/10-tips-for-great-deer-pictures</v>
      </c>
      <c r="H1095" s="18" t="str">
        <f>IFERROR(__xludf.DUMMYFUNCTION("""COMPUTED_VALUE"""),"Not ranking")</f>
        <v>Not ranking</v>
      </c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15" t="str">
        <f>IFERROR(__xludf.DUMMYFUNCTION("""COMPUTED_VALUE"""),"deer backpack mount")</f>
        <v>deer backpack mount</v>
      </c>
      <c r="B1096" s="15" t="str">
        <f>IFERROR(__xludf.DUMMYFUNCTION("""COMPUTED_VALUE"""),"590")</f>
        <v>590</v>
      </c>
      <c r="C1096" s="15" t="str">
        <f>IFERROR(__xludf.DUMMYFUNCTION("""COMPUTED_VALUE"""),"Not ranking")</f>
        <v>Not ranking</v>
      </c>
      <c r="D1096" s="15" t="str">
        <f>IFERROR(__xludf.DUMMYFUNCTION("""COMPUTED_VALUE"""),"59")</f>
        <v>59</v>
      </c>
      <c r="E1096" s="15" t="str">
        <f>IFERROR(__xludf.DUMMYFUNCTION("""COMPUTED_VALUE"""),"Not ranking")</f>
        <v>Not ranking</v>
      </c>
      <c r="F1096" s="18" t="str">
        <f>IFERROR(__xludf.DUMMYFUNCTION("""COMPUTED_VALUE"""),"Not ranking")</f>
        <v>Not ranking</v>
      </c>
      <c r="G1096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1096" s="18" t="str">
        <f>IFERROR(__xludf.DUMMYFUNCTION("""COMPUTED_VALUE"""),"Not ranking")</f>
        <v>Not ranking</v>
      </c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15" t="str">
        <f>IFERROR(__xludf.DUMMYFUNCTION("""COMPUTED_VALUE"""),"deer bark sound")</f>
        <v>deer bark sound</v>
      </c>
      <c r="B1097" s="15" t="str">
        <f>IFERROR(__xludf.DUMMYFUNCTION("""COMPUTED_VALUE"""),"590")</f>
        <v>590</v>
      </c>
      <c r="C1097" s="15" t="str">
        <f>IFERROR(__xludf.DUMMYFUNCTION("""COMPUTED_VALUE"""),"Not ranking")</f>
        <v>Not ranking</v>
      </c>
      <c r="D1097" s="15" t="str">
        <f>IFERROR(__xludf.DUMMYFUNCTION("""COMPUTED_VALUE"""),"41")</f>
        <v>41</v>
      </c>
      <c r="E1097" s="15" t="str">
        <f>IFERROR(__xludf.DUMMYFUNCTION("""COMPUTED_VALUE"""),"17")</f>
        <v>17</v>
      </c>
      <c r="F1097" s="18" t="str">
        <f>IFERROR(__xludf.DUMMYFUNCTION("""COMPUTED_VALUE"""),"Not ranking")</f>
        <v>Not ranking</v>
      </c>
      <c r="G1097" s="17" t="str">
        <f>IFERROR(__xludf.DUMMYFUNCTION("""COMPUTED_VALUE"""),"https://realtree.com/deer-hunting/articles/can-you-talk-deer")</f>
        <v>https://realtree.com/deer-hunting/articles/can-you-talk-deer</v>
      </c>
      <c r="H1097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15" t="str">
        <f>IFERROR(__xludf.DUMMYFUNCTION("""COMPUTED_VALUE"""),"deer calling")</f>
        <v>deer calling</v>
      </c>
      <c r="B1098" s="15" t="str">
        <f>IFERROR(__xludf.DUMMYFUNCTION("""COMPUTED_VALUE"""),"590")</f>
        <v>590</v>
      </c>
      <c r="C1098" s="15" t="str">
        <f>IFERROR(__xludf.DUMMYFUNCTION("""COMPUTED_VALUE"""),"Not ranking")</f>
        <v>Not ranking</v>
      </c>
      <c r="D1098" s="15" t="str">
        <f>IFERROR(__xludf.DUMMYFUNCTION("""COMPUTED_VALUE"""),"24")</f>
        <v>24</v>
      </c>
      <c r="E1098" s="15" t="str">
        <f>IFERROR(__xludf.DUMMYFUNCTION("""COMPUTED_VALUE"""),"Not ranking")</f>
        <v>Not ranking</v>
      </c>
      <c r="F1098" s="18" t="str">
        <f>IFERROR(__xludf.DUMMYFUNCTION("""COMPUTED_VALUE"""),"Not ranking")</f>
        <v>Not ranking</v>
      </c>
      <c r="G1098" s="17" t="str">
        <f>IFERROR(__xludf.DUMMYFUNCTION("""COMPUTED_VALUE"""),"https://realtree.com/deer-hunting/articles/smack-talk-aggressive-deer-calling-strategies")</f>
        <v>https://realtree.com/deer-hunting/articles/smack-talk-aggressive-deer-calling-strategies</v>
      </c>
      <c r="H1098" s="18" t="str">
        <f>IFERROR(__xludf.DUMMYFUNCTION("""COMPUTED_VALUE"""),"Not ranking")</f>
        <v>Not ranking</v>
      </c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15" t="str">
        <f>IFERROR(__xludf.DUMMYFUNCTION("""COMPUTED_VALUE"""),"deer cast app")</f>
        <v>deer cast app</v>
      </c>
      <c r="B1099" s="15" t="str">
        <f>IFERROR(__xludf.DUMMYFUNCTION("""COMPUTED_VALUE"""),"590")</f>
        <v>590</v>
      </c>
      <c r="C1099" s="15" t="str">
        <f>IFERROR(__xludf.DUMMYFUNCTION("""COMPUTED_VALUE"""),"Not ranking")</f>
        <v>Not ranking</v>
      </c>
      <c r="D1099" s="15" t="str">
        <f>IFERROR(__xludf.DUMMYFUNCTION("""COMPUTED_VALUE"""),"9")</f>
        <v>9</v>
      </c>
      <c r="E1099" s="15" t="str">
        <f>IFERROR(__xludf.DUMMYFUNCTION("""COMPUTED_VALUE"""),"20")</f>
        <v>20</v>
      </c>
      <c r="F1099" s="18" t="str">
        <f>IFERROR(__xludf.DUMMYFUNCTION("""COMPUTED_VALUE"""),"Not ranking")</f>
        <v>Not ranking</v>
      </c>
      <c r="G1099" s="17" t="str">
        <f>IFERROR(__xludf.DUMMYFUNCTION("""COMPUTED_VALUE"""),"https://realtree.com/brow-tines-and-backstrap/10-best-deer-hunting-apps-for-2019")</f>
        <v>https://realtree.com/brow-tines-and-backstrap/10-best-deer-hunting-apps-for-2019</v>
      </c>
      <c r="H1099" s="17" t="str">
        <f>IFERROR(__xludf.DUMMYFUNCTION("""COMPUTED_VALUE"""),"https://www.wideopenspaces.com/review-of-deercast-by-drury-outdoors/")</f>
        <v>https://www.wideopenspaces.com/review-of-deercast-by-drury-outdoors/</v>
      </c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15" t="str">
        <f>IFERROR(__xludf.DUMMYFUNCTION("""COMPUTED_VALUE"""),"deer cull")</f>
        <v>deer cull</v>
      </c>
      <c r="B1100" s="15" t="str">
        <f>IFERROR(__xludf.DUMMYFUNCTION("""COMPUTED_VALUE"""),"590")</f>
        <v>590</v>
      </c>
      <c r="C1100" s="15" t="str">
        <f>IFERROR(__xludf.DUMMYFUNCTION("""COMPUTED_VALUE"""),"Not ranking")</f>
        <v>Not ranking</v>
      </c>
      <c r="D1100" s="15" t="str">
        <f>IFERROR(__xludf.DUMMYFUNCTION("""COMPUTED_VALUE"""),"35")</f>
        <v>35</v>
      </c>
      <c r="E1100" s="15" t="str">
        <f>IFERROR(__xludf.DUMMYFUNCTION("""COMPUTED_VALUE"""),"Not ranking")</f>
        <v>Not ranking</v>
      </c>
      <c r="F1100" s="18" t="str">
        <f>IFERROR(__xludf.DUMMYFUNCTION("""COMPUTED_VALUE"""),"Not ranking")</f>
        <v>Not ranking</v>
      </c>
      <c r="G1100" s="17" t="str">
        <f>IFERROR(__xludf.DUMMYFUNCTION("""COMPUTED_VALUE"""),"https://realtree.com/deer-hunting/articles/deer-hunting-debate-does-culling-really-work")</f>
        <v>https://realtree.com/deer-hunting/articles/deer-hunting-debate-does-culling-really-work</v>
      </c>
      <c r="H1100" s="18" t="str">
        <f>IFERROR(__xludf.DUMMYFUNCTION("""COMPUTED_VALUE"""),"Not ranking")</f>
        <v>Not ranking</v>
      </c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15" t="str">
        <f>IFERROR(__xludf.DUMMYFUNCTION("""COMPUTED_VALUE"""),"deer decorations")</f>
        <v>deer decorations</v>
      </c>
      <c r="B1101" s="15" t="str">
        <f>IFERROR(__xludf.DUMMYFUNCTION("""COMPUTED_VALUE"""),"590")</f>
        <v>590</v>
      </c>
      <c r="C1101" s="15" t="str">
        <f>IFERROR(__xludf.DUMMYFUNCTION("""COMPUTED_VALUE"""),"Not ranking")</f>
        <v>Not ranking</v>
      </c>
      <c r="D1101" s="15" t="str">
        <f>IFERROR(__xludf.DUMMYFUNCTION("""COMPUTED_VALUE"""),"Not ranking")</f>
        <v>Not ranking</v>
      </c>
      <c r="E1101" s="15" t="str">
        <f>IFERROR(__xludf.DUMMYFUNCTION("""COMPUTED_VALUE"""),"58")</f>
        <v>58</v>
      </c>
      <c r="F1101" s="18" t="str">
        <f>IFERROR(__xludf.DUMMYFUNCTION("""COMPUTED_VALUE"""),"Not ranking")</f>
        <v>Not ranking</v>
      </c>
      <c r="G1101" s="18" t="str">
        <f>IFERROR(__xludf.DUMMYFUNCTION("""COMPUTED_VALUE"""),"Not ranking")</f>
        <v>Not ranking</v>
      </c>
      <c r="H1101" s="17" t="str">
        <f>IFERROR(__xludf.DUMMYFUNCTION("""COMPUTED_VALUE"""),"https://www.wideopenspaces.com/video-bedded-buck-finds-ease-christmas-deer-decorations/")</f>
        <v>https://www.wideopenspaces.com/video-bedded-buck-finds-ease-christmas-deer-decorations/</v>
      </c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15" t="str">
        <f>IFERROR(__xludf.DUMMYFUNCTION("""COMPUTED_VALUE"""),"deer drinking water")</f>
        <v>deer drinking water</v>
      </c>
      <c r="B1102" s="15" t="str">
        <f>IFERROR(__xludf.DUMMYFUNCTION("""COMPUTED_VALUE"""),"590")</f>
        <v>590</v>
      </c>
      <c r="C1102" s="15" t="str">
        <f>IFERROR(__xludf.DUMMYFUNCTION("""COMPUTED_VALUE"""),"Not ranking")</f>
        <v>Not ranking</v>
      </c>
      <c r="D1102" s="15" t="str">
        <f>IFERROR(__xludf.DUMMYFUNCTION("""COMPUTED_VALUE"""),"10")</f>
        <v>10</v>
      </c>
      <c r="E1102" s="15" t="str">
        <f>IFERROR(__xludf.DUMMYFUNCTION("""COMPUTED_VALUE"""),"Not ranking")</f>
        <v>Not ranking</v>
      </c>
      <c r="F1102" s="18" t="str">
        <f>IFERROR(__xludf.DUMMYFUNCTION("""COMPUTED_VALUE"""),"Not ranking")</f>
        <v>Not ranking</v>
      </c>
      <c r="G1102" s="17" t="str">
        <f>IFERROR(__xludf.DUMMYFUNCTION("""COMPUTED_VALUE"""),"https://realtree.com/brow-tines-and-backstrap/5-watering-habits-of-mature-deer")</f>
        <v>https://realtree.com/brow-tines-and-backstrap/5-watering-habits-of-mature-deer</v>
      </c>
      <c r="H1102" s="18" t="str">
        <f>IFERROR(__xludf.DUMMYFUNCTION("""COMPUTED_VALUE"""),"Not ranking")</f>
        <v>Not ranking</v>
      </c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15" t="str">
        <f>IFERROR(__xludf.DUMMYFUNCTION("""COMPUTED_VALUE"""),"deer eat")</f>
        <v>deer eat</v>
      </c>
      <c r="B1103" s="15" t="str">
        <f>IFERROR(__xludf.DUMMYFUNCTION("""COMPUTED_VALUE"""),"590")</f>
        <v>590</v>
      </c>
      <c r="C1103" s="15" t="str">
        <f>IFERROR(__xludf.DUMMYFUNCTION("""COMPUTED_VALUE"""),"Not ranking")</f>
        <v>Not ranking</v>
      </c>
      <c r="D1103" s="15" t="str">
        <f>IFERROR(__xludf.DUMMYFUNCTION("""COMPUTED_VALUE"""),"27")</f>
        <v>27</v>
      </c>
      <c r="E1103" s="15" t="str">
        <f>IFERROR(__xludf.DUMMYFUNCTION("""COMPUTED_VALUE"""),"51")</f>
        <v>51</v>
      </c>
      <c r="F1103" s="18" t="str">
        <f>IFERROR(__xludf.DUMMYFUNCTION("""COMPUTED_VALUE"""),"Not ranking")</f>
        <v>Not ranking</v>
      </c>
      <c r="G1103" s="17" t="str">
        <f>IFERROR(__xludf.DUMMYFUNCTION("""COMPUTED_VALUE"""),"https://realtree.com/brow-tines-and-backstrap/10-feeding-habits-of-mature-deer")</f>
        <v>https://realtree.com/brow-tines-and-backstrap/10-feeding-habits-of-mature-deer</v>
      </c>
      <c r="H1103" s="17" t="str">
        <f>IFERROR(__xludf.DUMMYFUNCTION("""COMPUTED_VALUE"""),"https://www.wideopenspaces.com/do-deer-eat-meat/")</f>
        <v>https://www.wideopenspaces.com/do-deer-eat-meat/</v>
      </c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15" t="str">
        <f>IFERROR(__xludf.DUMMYFUNCTION("""COMPUTED_VALUE"""),"deer eating bird")</f>
        <v>deer eating bird</v>
      </c>
      <c r="B1104" s="15" t="str">
        <f>IFERROR(__xludf.DUMMYFUNCTION("""COMPUTED_VALUE"""),"590")</f>
        <v>590</v>
      </c>
      <c r="C1104" s="15" t="str">
        <f>IFERROR(__xludf.DUMMYFUNCTION("""COMPUTED_VALUE"""),"Not ranking")</f>
        <v>Not ranking</v>
      </c>
      <c r="D1104" s="15" t="str">
        <f>IFERROR(__xludf.DUMMYFUNCTION("""COMPUTED_VALUE"""),"20")</f>
        <v>20</v>
      </c>
      <c r="E1104" s="15" t="str">
        <f>IFERROR(__xludf.DUMMYFUNCTION("""COMPUTED_VALUE"""),"17")</f>
        <v>17</v>
      </c>
      <c r="F1104" s="18" t="str">
        <f>IFERROR(__xludf.DUMMYFUNCTION("""COMPUTED_VALUE"""),"Not ranking")</f>
        <v>Not ranking</v>
      </c>
      <c r="G1104" s="17" t="str">
        <f>IFERROR(__xludf.DUMMYFUNCTION("""COMPUTED_VALUE"""),"https://realtree.com/the-realblog-with-stephanie-mallory/did-you-know-deer-eat-meat")</f>
        <v>https://realtree.com/the-realblog-with-stephanie-mallory/did-you-know-deer-eat-meat</v>
      </c>
      <c r="H1104" s="17" t="str">
        <f>IFERROR(__xludf.DUMMYFUNCTION("""COMPUTED_VALUE"""),"https://www.wideopenspaces.com/deer-eats-bird/")</f>
        <v>https://www.wideopenspaces.com/deer-eats-bird/</v>
      </c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15" t="str">
        <f>IFERROR(__xludf.DUMMYFUNCTION("""COMPUTED_VALUE"""),"deer eats a bird")</f>
        <v>deer eats a bird</v>
      </c>
      <c r="B1105" s="15" t="str">
        <f>IFERROR(__xludf.DUMMYFUNCTION("""COMPUTED_VALUE"""),"590")</f>
        <v>590</v>
      </c>
      <c r="C1105" s="15" t="str">
        <f>IFERROR(__xludf.DUMMYFUNCTION("""COMPUTED_VALUE"""),"Not ranking")</f>
        <v>Not ranking</v>
      </c>
      <c r="D1105" s="15" t="str">
        <f>IFERROR(__xludf.DUMMYFUNCTION("""COMPUTED_VALUE"""),"Not ranking")</f>
        <v>Not ranking</v>
      </c>
      <c r="E1105" s="15" t="str">
        <f>IFERROR(__xludf.DUMMYFUNCTION("""COMPUTED_VALUE"""),"23")</f>
        <v>23</v>
      </c>
      <c r="F1105" s="18" t="str">
        <f>IFERROR(__xludf.DUMMYFUNCTION("""COMPUTED_VALUE"""),"Not ranking")</f>
        <v>Not ranking</v>
      </c>
      <c r="G1105" s="18" t="str">
        <f>IFERROR(__xludf.DUMMYFUNCTION("""COMPUTED_VALUE"""),"Not ranking")</f>
        <v>Not ranking</v>
      </c>
      <c r="H1105" s="17" t="str">
        <f>IFERROR(__xludf.DUMMYFUNCTION("""COMPUTED_VALUE"""),"https://www.wideopenspaces.com/deer-eats-bird/")</f>
        <v>https://www.wideopenspaces.com/deer-eats-bird/</v>
      </c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15" t="str">
        <f>IFERROR(__xludf.DUMMYFUNCTION("""COMPUTED_VALUE"""),"deer forecast")</f>
        <v>deer forecast</v>
      </c>
      <c r="B1106" s="15" t="str">
        <f>IFERROR(__xludf.DUMMYFUNCTION("""COMPUTED_VALUE"""),"590")</f>
        <v>590</v>
      </c>
      <c r="C1106" s="15" t="str">
        <f>IFERROR(__xludf.DUMMYFUNCTION("""COMPUTED_VALUE"""),"Not ranking")</f>
        <v>Not ranking</v>
      </c>
      <c r="D1106" s="15" t="str">
        <f>IFERROR(__xludf.DUMMYFUNCTION("""COMPUTED_VALUE"""),"18")</f>
        <v>18</v>
      </c>
      <c r="E1106" s="15" t="str">
        <f>IFERROR(__xludf.DUMMYFUNCTION("""COMPUTED_VALUE"""),"Not ranking")</f>
        <v>Not ranking</v>
      </c>
      <c r="F1106" s="18" t="str">
        <f>IFERROR(__xludf.DUMMYFUNCTION("""COMPUTED_VALUE"""),"Not ranking")</f>
        <v>Not ranking</v>
      </c>
      <c r="G1106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1106" s="18" t="str">
        <f>IFERROR(__xludf.DUMMYFUNCTION("""COMPUTED_VALUE"""),"Not ranking")</f>
        <v>Not ranking</v>
      </c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15" t="str">
        <f>IFERROR(__xludf.DUMMYFUNCTION("""COMPUTED_VALUE"""),"deer hunter 2018")</f>
        <v>deer hunter 2018</v>
      </c>
      <c r="B1107" s="15" t="str">
        <f>IFERROR(__xludf.DUMMYFUNCTION("""COMPUTED_VALUE"""),"590")</f>
        <v>590</v>
      </c>
      <c r="C1107" s="15" t="str">
        <f>IFERROR(__xludf.DUMMYFUNCTION("""COMPUTED_VALUE"""),"Not ranking")</f>
        <v>Not ranking</v>
      </c>
      <c r="D1107" s="15" t="str">
        <f>IFERROR(__xludf.DUMMYFUNCTION("""COMPUTED_VALUE"""),"93")</f>
        <v>93</v>
      </c>
      <c r="E1107" s="15" t="str">
        <f>IFERROR(__xludf.DUMMYFUNCTION("""COMPUTED_VALUE"""),"Not ranking")</f>
        <v>Not ranking</v>
      </c>
      <c r="F1107" s="18" t="str">
        <f>IFERROR(__xludf.DUMMYFUNCTION("""COMPUTED_VALUE"""),"Not ranking")</f>
        <v>Not ranking</v>
      </c>
      <c r="G1107" s="17" t="str">
        <f>IFERROR(__xludf.DUMMYFUNCTION("""COMPUTED_VALUE"""),"https://business.realtree.com/business-blog/deer-are-no-1-driver-hunter-spending")</f>
        <v>https://business.realtree.com/business-blog/deer-are-no-1-driver-hunter-spending</v>
      </c>
      <c r="H1107" s="18" t="str">
        <f>IFERROR(__xludf.DUMMYFUNCTION("""COMPUTED_VALUE"""),"Not ranking")</f>
        <v>Not ranking</v>
      </c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15" t="str">
        <f>IFERROR(__xludf.DUMMYFUNCTION("""COMPUTED_VALUE"""),"deer hunting in alabama season")</f>
        <v>deer hunting in alabama season</v>
      </c>
      <c r="B1108" s="15" t="str">
        <f>IFERROR(__xludf.DUMMYFUNCTION("""COMPUTED_VALUE"""),"590")</f>
        <v>590</v>
      </c>
      <c r="C1108" s="15" t="str">
        <f>IFERROR(__xludf.DUMMYFUNCTION("""COMPUTED_VALUE"""),"Not ranking")</f>
        <v>Not ranking</v>
      </c>
      <c r="D1108" s="15" t="str">
        <f>IFERROR(__xludf.DUMMYFUNCTION("""COMPUTED_VALUE"""),"21")</f>
        <v>21</v>
      </c>
      <c r="E1108" s="15" t="str">
        <f>IFERROR(__xludf.DUMMYFUNCTION("""COMPUTED_VALUE"""),"52")</f>
        <v>52</v>
      </c>
      <c r="F1108" s="18" t="str">
        <f>IFERROR(__xludf.DUMMYFUNCTION("""COMPUTED_VALUE"""),"Not ranking")</f>
        <v>Not ranking</v>
      </c>
      <c r="G1108" s="17" t="str">
        <f>IFERROR(__xludf.DUMMYFUNCTION("""COMPUTED_VALUE"""),"https://realtree.com/brow-tines-and-backstrap/debate-settled-deep-south-deer-are-the-toughest-to-hunt")</f>
        <v>https://realtree.com/brow-tines-and-backstrap/debate-settled-deep-south-deer-are-the-toughest-to-hunt</v>
      </c>
      <c r="H1108" s="17" t="str">
        <f>IFERROR(__xludf.DUMMYFUNCTION("""COMPUTED_VALUE"""),"https://www.wideopenspaces.com/alabama-hunting-license/")</f>
        <v>https://www.wideopenspaces.com/alabama-hunting-license/</v>
      </c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15" t="str">
        <f>IFERROR(__xludf.DUMMYFUNCTION("""COMPUTED_VALUE"""),"deer hunting memes funny")</f>
        <v>deer hunting memes funny</v>
      </c>
      <c r="B1109" s="15" t="str">
        <f>IFERROR(__xludf.DUMMYFUNCTION("""COMPUTED_VALUE"""),"590")</f>
        <v>590</v>
      </c>
      <c r="C1109" s="15" t="str">
        <f>IFERROR(__xludf.DUMMYFUNCTION("""COMPUTED_VALUE"""),"Not ranking")</f>
        <v>Not ranking</v>
      </c>
      <c r="D1109" s="15" t="str">
        <f>IFERROR(__xludf.DUMMYFUNCTION("""COMPUTED_VALUE"""),"Not ranking")</f>
        <v>Not ranking</v>
      </c>
      <c r="E1109" s="15" t="str">
        <f>IFERROR(__xludf.DUMMYFUNCTION("""COMPUTED_VALUE"""),"3")</f>
        <v>3</v>
      </c>
      <c r="F1109" s="18" t="str">
        <f>IFERROR(__xludf.DUMMYFUNCTION("""COMPUTED_VALUE"""),"Not ranking")</f>
        <v>Not ranking</v>
      </c>
      <c r="G1109" s="18" t="str">
        <f>IFERROR(__xludf.DUMMYFUNCTION("""COMPUTED_VALUE"""),"Not ranking")</f>
        <v>Not ranking</v>
      </c>
      <c r="H1109" s="17" t="str">
        <f>IFERROR(__xludf.DUMMYFUNCTION("""COMPUTED_VALUE"""),"https://www.wideopenspaces.com/whitetailwednesday-15-hilarious-deer-hunting-memes-true/")</f>
        <v>https://www.wideopenspaces.com/whitetailwednesday-15-hilarious-deer-hunting-memes-true/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15" t="str">
        <f>IFERROR(__xludf.DUMMYFUNCTION("""COMPUTED_VALUE"""),"deer hunting mn 2022")</f>
        <v>deer hunting mn 2022</v>
      </c>
      <c r="B1110" s="15" t="str">
        <f>IFERROR(__xludf.DUMMYFUNCTION("""COMPUTED_VALUE"""),"590")</f>
        <v>590</v>
      </c>
      <c r="C1110" s="15" t="str">
        <f>IFERROR(__xludf.DUMMYFUNCTION("""COMPUTED_VALUE"""),"Not ranking")</f>
        <v>Not ranking</v>
      </c>
      <c r="D1110" s="15" t="str">
        <f>IFERROR(__xludf.DUMMYFUNCTION("""COMPUTED_VALUE"""),"94")</f>
        <v>94</v>
      </c>
      <c r="E1110" s="15" t="str">
        <f>IFERROR(__xludf.DUMMYFUNCTION("""COMPUTED_VALUE"""),"52")</f>
        <v>52</v>
      </c>
      <c r="F1110" s="18" t="str">
        <f>IFERROR(__xludf.DUMMYFUNCTION("""COMPUTED_VALUE"""),"Not ranking")</f>
        <v>Not ranking</v>
      </c>
      <c r="G1110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1110" s="17" t="str">
        <f>IFERROR(__xludf.DUMMYFUNCTION("""COMPUTED_VALUE"""),"https://www.wideopenspaces.com/mn-deer-hunting-zones/")</f>
        <v>https://www.wideopenspaces.com/mn-deer-hunting-zones/</v>
      </c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15" t="str">
        <f>IFERROR(__xludf.DUMMYFUNCTION("""COMPUTED_VALUE"""),"deer hunting season 2022 pa")</f>
        <v>deer hunting season 2022 pa</v>
      </c>
      <c r="B1111" s="15" t="str">
        <f>IFERROR(__xludf.DUMMYFUNCTION("""COMPUTED_VALUE"""),"590")</f>
        <v>590</v>
      </c>
      <c r="C1111" s="15" t="str">
        <f>IFERROR(__xludf.DUMMYFUNCTION("""COMPUTED_VALUE"""),"Not ranking")</f>
        <v>Not ranking</v>
      </c>
      <c r="D1111" s="15" t="str">
        <f>IFERROR(__xludf.DUMMYFUNCTION("""COMPUTED_VALUE"""),"Not ranking")</f>
        <v>Not ranking</v>
      </c>
      <c r="E1111" s="15" t="str">
        <f>IFERROR(__xludf.DUMMYFUNCTION("""COMPUTED_VALUE"""),"67")</f>
        <v>67</v>
      </c>
      <c r="F1111" s="18" t="str">
        <f>IFERROR(__xludf.DUMMYFUNCTION("""COMPUTED_VALUE"""),"Not ranking")</f>
        <v>Not ranking</v>
      </c>
      <c r="G1111" s="18" t="str">
        <f>IFERROR(__xludf.DUMMYFUNCTION("""COMPUTED_VALUE"""),"Not ranking")</f>
        <v>Not ranking</v>
      </c>
      <c r="H1111" s="17" t="str">
        <f>IFERROR(__xludf.DUMMYFUNCTION("""COMPUTED_VALUE"""),"https://www.wideopenspaces.com/pennsylvania-deer-hunting/")</f>
        <v>https://www.wideopenspaces.com/pennsylvania-deer-hunting/</v>
      </c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15" t="str">
        <f>IFERROR(__xludf.DUMMYFUNCTION("""COMPUTED_VALUE"""),"deer hunting season indiana")</f>
        <v>deer hunting season indiana</v>
      </c>
      <c r="B1112" s="15" t="str">
        <f>IFERROR(__xludf.DUMMYFUNCTION("""COMPUTED_VALUE"""),"590")</f>
        <v>590</v>
      </c>
      <c r="C1112" s="15" t="str">
        <f>IFERROR(__xludf.DUMMYFUNCTION("""COMPUTED_VALUE"""),"Not ranking")</f>
        <v>Not ranking</v>
      </c>
      <c r="D1112" s="15" t="str">
        <f>IFERROR(__xludf.DUMMYFUNCTION("""COMPUTED_VALUE"""),"Not ranking")</f>
        <v>Not ranking</v>
      </c>
      <c r="E1112" s="15" t="str">
        <f>IFERROR(__xludf.DUMMYFUNCTION("""COMPUTED_VALUE"""),"63")</f>
        <v>63</v>
      </c>
      <c r="F1112" s="18" t="str">
        <f>IFERROR(__xludf.DUMMYFUNCTION("""COMPUTED_VALUE"""),"Not ranking")</f>
        <v>Not ranking</v>
      </c>
      <c r="G1112" s="18" t="str">
        <f>IFERROR(__xludf.DUMMYFUNCTION("""COMPUTED_VALUE"""),"Not ranking")</f>
        <v>Not ranking</v>
      </c>
      <c r="H1112" s="17" t="str">
        <f>IFERROR(__xludf.DUMMYFUNCTION("""COMPUTED_VALUE"""),"https://www.wideopenspaces.com/indiana-shotgun-deer-season/")</f>
        <v>https://www.wideopenspaces.com/indiana-shotgun-deer-season/</v>
      </c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15" t="str">
        <f>IFERROR(__xludf.DUMMYFUNCTION("""COMPUTED_VALUE"""),"deer hunting season ohio 2022")</f>
        <v>deer hunting season ohio 2022</v>
      </c>
      <c r="B1113" s="15" t="str">
        <f>IFERROR(__xludf.DUMMYFUNCTION("""COMPUTED_VALUE"""),"590")</f>
        <v>590</v>
      </c>
      <c r="C1113" s="15" t="str">
        <f>IFERROR(__xludf.DUMMYFUNCTION("""COMPUTED_VALUE"""),"Not ranking")</f>
        <v>Not ranking</v>
      </c>
      <c r="D1113" s="15" t="str">
        <f>IFERROR(__xludf.DUMMYFUNCTION("""COMPUTED_VALUE"""),"Not ranking")</f>
        <v>Not ranking</v>
      </c>
      <c r="E1113" s="15" t="str">
        <f>IFERROR(__xludf.DUMMYFUNCTION("""COMPUTED_VALUE"""),"56")</f>
        <v>56</v>
      </c>
      <c r="F1113" s="18" t="str">
        <f>IFERROR(__xludf.DUMMYFUNCTION("""COMPUTED_VALUE"""),"Not ranking")</f>
        <v>Not ranking</v>
      </c>
      <c r="G1113" s="18" t="str">
        <f>IFERROR(__xludf.DUMMYFUNCTION("""COMPUTED_VALUE"""),"Not ranking")</f>
        <v>Not ranking</v>
      </c>
      <c r="H1113" s="17" t="str">
        <f>IFERROR(__xludf.DUMMYFUNCTION("""COMPUTED_VALUE"""),"https://www.wideopenspaces.com/deer-hunting-in-ohio-what-you-should-know/")</f>
        <v>https://www.wideopenspaces.com/deer-hunting-in-ohio-what-you-should-know/</v>
      </c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15" t="str">
        <f>IFERROR(__xludf.DUMMYFUNCTION("""COMPUTED_VALUE"""),"deer hunts in indiana")</f>
        <v>deer hunts in indiana</v>
      </c>
      <c r="B1114" s="15" t="str">
        <f>IFERROR(__xludf.DUMMYFUNCTION("""COMPUTED_VALUE"""),"590")</f>
        <v>590</v>
      </c>
      <c r="C1114" s="15" t="str">
        <f>IFERROR(__xludf.DUMMYFUNCTION("""COMPUTED_VALUE"""),"Not ranking")</f>
        <v>Not ranking</v>
      </c>
      <c r="D1114" s="15" t="str">
        <f>IFERROR(__xludf.DUMMYFUNCTION("""COMPUTED_VALUE"""),"74")</f>
        <v>74</v>
      </c>
      <c r="E1114" s="15" t="str">
        <f>IFERROR(__xludf.DUMMYFUNCTION("""COMPUTED_VALUE"""),"97")</f>
        <v>97</v>
      </c>
      <c r="F1114" s="18" t="str">
        <f>IFERROR(__xludf.DUMMYFUNCTION("""COMPUTED_VALUE"""),"Not ranking")</f>
        <v>Not ranking</v>
      </c>
      <c r="G1114" s="17" t="str">
        <f>IFERROR(__xludf.DUMMYFUNCTION("""COMPUTED_VALUE"""),"https://realtree.com/deer-hunting/articles/5-no-draw-bargain-whitetail-hunts-you-can-do-this-year")</f>
        <v>https://realtree.com/deer-hunting/articles/5-no-draw-bargain-whitetail-hunts-you-can-do-this-year</v>
      </c>
      <c r="H1114" s="17" t="str">
        <f>IFERROR(__xludf.DUMMYFUNCTION("""COMPUTED_VALUE"""),"https://www.wideopenspaces.com/indiana-shotgun-deer-season/")</f>
        <v>https://www.wideopenspaces.com/indiana-shotgun-deer-season/</v>
      </c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15" t="str">
        <f>IFERROR(__xludf.DUMMYFUNCTION("""COMPUTED_VALUE"""),"deer in texas")</f>
        <v>deer in texas</v>
      </c>
      <c r="B1115" s="15" t="str">
        <f>IFERROR(__xludf.DUMMYFUNCTION("""COMPUTED_VALUE"""),"590")</f>
        <v>590</v>
      </c>
      <c r="C1115" s="15" t="str">
        <f>IFERROR(__xludf.DUMMYFUNCTION("""COMPUTED_VALUE"""),"Not ranking")</f>
        <v>Not ranking</v>
      </c>
      <c r="D1115" s="15" t="str">
        <f>IFERROR(__xludf.DUMMYFUNCTION("""COMPUTED_VALUE"""),"93")</f>
        <v>93</v>
      </c>
      <c r="E1115" s="15" t="str">
        <f>IFERROR(__xludf.DUMMYFUNCTION("""COMPUTED_VALUE"""),"79")</f>
        <v>79</v>
      </c>
      <c r="F1115" s="18" t="str">
        <f>IFERROR(__xludf.DUMMYFUNCTION("""COMPUTED_VALUE"""),"Not ranking")</f>
        <v>Not ranking</v>
      </c>
      <c r="G1115" s="17" t="str">
        <f>IFERROR(__xludf.DUMMYFUNCTION("""COMPUTED_VALUE"""),"https://realtree.com/the-realblog-with-stephanie-mallory/texas-rancher-fights-back-as-state-plans-to-kill-500-penned-deer")</f>
        <v>https://realtree.com/the-realblog-with-stephanie-mallory/texas-rancher-fights-back-as-state-plans-to-kill-500-penned-deer</v>
      </c>
      <c r="H1115" s="17" t="str">
        <f>IFERROR(__xludf.DUMMYFUNCTION("""COMPUTED_VALUE"""),"https://www.wideopenspaces.com/when-does-deer-season-end-in-texas/")</f>
        <v>https://www.wideopenspaces.com/when-does-deer-season-end-in-texas/</v>
      </c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15" t="str">
        <f>IFERROR(__xludf.DUMMYFUNCTION("""COMPUTED_VALUE"""),"deer in velvet")</f>
        <v>deer in velvet</v>
      </c>
      <c r="B1116" s="15" t="str">
        <f>IFERROR(__xludf.DUMMYFUNCTION("""COMPUTED_VALUE"""),"590")</f>
        <v>590</v>
      </c>
      <c r="C1116" s="15" t="str">
        <f>IFERROR(__xludf.DUMMYFUNCTION("""COMPUTED_VALUE"""),"Not ranking")</f>
        <v>Not ranking</v>
      </c>
      <c r="D1116" s="15" t="str">
        <f>IFERROR(__xludf.DUMMYFUNCTION("""COMPUTED_VALUE"""),"3")</f>
        <v>3</v>
      </c>
      <c r="E1116" s="15" t="str">
        <f>IFERROR(__xludf.DUMMYFUNCTION("""COMPUTED_VALUE"""),"Not ranking")</f>
        <v>Not ranking</v>
      </c>
      <c r="F1116" s="18" t="str">
        <f>IFERROR(__xludf.DUMMYFUNCTION("""COMPUTED_VALUE"""),"Not ranking")</f>
        <v>Not ranking</v>
      </c>
      <c r="G1116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1116" s="18" t="str">
        <f>IFERROR(__xludf.DUMMYFUNCTION("""COMPUTED_VALUE"""),"Not ranking")</f>
        <v>Not ranking</v>
      </c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15" t="str">
        <f>IFERROR(__xludf.DUMMYFUNCTION("""COMPUTED_VALUE"""),"deer license wi")</f>
        <v>deer license wi</v>
      </c>
      <c r="B1117" s="15" t="str">
        <f>IFERROR(__xludf.DUMMYFUNCTION("""COMPUTED_VALUE"""),"590")</f>
        <v>590</v>
      </c>
      <c r="C1117" s="15" t="str">
        <f>IFERROR(__xludf.DUMMYFUNCTION("""COMPUTED_VALUE"""),"Not ranking")</f>
        <v>Not ranking</v>
      </c>
      <c r="D1117" s="15" t="str">
        <f>IFERROR(__xludf.DUMMYFUNCTION("""COMPUTED_VALUE"""),"68")</f>
        <v>68</v>
      </c>
      <c r="E1117" s="15" t="str">
        <f>IFERROR(__xludf.DUMMYFUNCTION("""COMPUTED_VALUE"""),"Not ranking")</f>
        <v>Not ranking</v>
      </c>
      <c r="F1117" s="18" t="str">
        <f>IFERROR(__xludf.DUMMYFUNCTION("""COMPUTED_VALUE"""),"Not ranking")</f>
        <v>Not ranking</v>
      </c>
      <c r="G1117" s="17" t="str">
        <f>IFERROR(__xludf.DUMMYFUNCTION("""COMPUTED_VALUE"""),"https://realtree.com/brow-tines-and-backstrap/wisconsin-hunters-reject-changes-to-deer-season")</f>
        <v>https://realtree.com/brow-tines-and-backstrap/wisconsin-hunters-reject-changes-to-deer-season</v>
      </c>
      <c r="H1117" s="18" t="str">
        <f>IFERROR(__xludf.DUMMYFUNCTION("""COMPUTED_VALUE"""),"Not ranking")</f>
        <v>Not ranking</v>
      </c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15" t="str">
        <f>IFERROR(__xludf.DUMMYFUNCTION("""COMPUTED_VALUE"""),"deer opener 2022 mn")</f>
        <v>deer opener 2022 mn</v>
      </c>
      <c r="B1118" s="15" t="str">
        <f>IFERROR(__xludf.DUMMYFUNCTION("""COMPUTED_VALUE"""),"590")</f>
        <v>590</v>
      </c>
      <c r="C1118" s="15" t="str">
        <f>IFERROR(__xludf.DUMMYFUNCTION("""COMPUTED_VALUE"""),"Not ranking")</f>
        <v>Not ranking</v>
      </c>
      <c r="D1118" s="15" t="str">
        <f>IFERROR(__xludf.DUMMYFUNCTION("""COMPUTED_VALUE"""),"96")</f>
        <v>96</v>
      </c>
      <c r="E1118" s="15" t="str">
        <f>IFERROR(__xludf.DUMMYFUNCTION("""COMPUTED_VALUE"""),"Not ranking")</f>
        <v>Not ranking</v>
      </c>
      <c r="F1118" s="18" t="str">
        <f>IFERROR(__xludf.DUMMYFUNCTION("""COMPUTED_VALUE"""),"Not ranking")</f>
        <v>Not ranking</v>
      </c>
      <c r="G1118" s="17" t="str">
        <f>IFERROR(__xludf.DUMMYFUNCTION("""COMPUTED_VALUE"""),"https://realtree.com/brow-tines-and-backstrap/2022-midwest-deer-hunting-forecast")</f>
        <v>https://realtree.com/brow-tines-and-backstrap/2022-midwest-deer-hunting-forecast</v>
      </c>
      <c r="H1118" s="18" t="str">
        <f>IFERROR(__xludf.DUMMYFUNCTION("""COMPUTED_VALUE"""),"Not ranking")</f>
        <v>Not ranking</v>
      </c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15" t="str">
        <f>IFERROR(__xludf.DUMMYFUNCTION("""COMPUTED_VALUE"""),"deer pack mount")</f>
        <v>deer pack mount</v>
      </c>
      <c r="B1119" s="15" t="str">
        <f>IFERROR(__xludf.DUMMYFUNCTION("""COMPUTED_VALUE"""),"590")</f>
        <v>590</v>
      </c>
      <c r="C1119" s="15" t="str">
        <f>IFERROR(__xludf.DUMMYFUNCTION("""COMPUTED_VALUE"""),"Not ranking")</f>
        <v>Not ranking</v>
      </c>
      <c r="D1119" s="15" t="str">
        <f>IFERROR(__xludf.DUMMYFUNCTION("""COMPUTED_VALUE"""),"69")</f>
        <v>69</v>
      </c>
      <c r="E1119" s="15" t="str">
        <f>IFERROR(__xludf.DUMMYFUNCTION("""COMPUTED_VALUE"""),"Not ranking")</f>
        <v>Not ranking</v>
      </c>
      <c r="F1119" s="18" t="str">
        <f>IFERROR(__xludf.DUMMYFUNCTION("""COMPUTED_VALUE"""),"Not ranking")</f>
        <v>Not ranking</v>
      </c>
      <c r="G1119" s="17" t="str">
        <f>IFERROR(__xludf.DUMMYFUNCTION("""COMPUTED_VALUE"""),"https://realtree.com/brow-tines-and-backstrap/7-different-deer-taxidermy-options-and-their-costs")</f>
        <v>https://realtree.com/brow-tines-and-backstrap/7-different-deer-taxidermy-options-and-their-costs</v>
      </c>
      <c r="H1119" s="18" t="str">
        <f>IFERROR(__xludf.DUMMYFUNCTION("""COMPUTED_VALUE"""),"Not ranking")</f>
        <v>Not ranking</v>
      </c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15" t="str">
        <f>IFERROR(__xludf.DUMMYFUNCTION("""COMPUTED_VALUE"""),"deer photo")</f>
        <v>deer photo</v>
      </c>
      <c r="B1120" s="15" t="str">
        <f>IFERROR(__xludf.DUMMYFUNCTION("""COMPUTED_VALUE"""),"590")</f>
        <v>590</v>
      </c>
      <c r="C1120" s="15" t="str">
        <f>IFERROR(__xludf.DUMMYFUNCTION("""COMPUTED_VALUE"""),"Not ranking")</f>
        <v>Not ranking</v>
      </c>
      <c r="D1120" s="15" t="str">
        <f>IFERROR(__xludf.DUMMYFUNCTION("""COMPUTED_VALUE"""),"86")</f>
        <v>86</v>
      </c>
      <c r="E1120" s="15" t="str">
        <f>IFERROR(__xludf.DUMMYFUNCTION("""COMPUTED_VALUE"""),"Not ranking")</f>
        <v>Not ranking</v>
      </c>
      <c r="F1120" s="18" t="str">
        <f>IFERROR(__xludf.DUMMYFUNCTION("""COMPUTED_VALUE"""),"Not ranking")</f>
        <v>Not ranking</v>
      </c>
      <c r="G1120" s="17" t="str">
        <f>IFERROR(__xludf.DUMMYFUNCTION("""COMPUTED_VALUE"""),"https://realtree.com/deer-hunting/articles/10-tips-for-great-deer-pictures")</f>
        <v>https://realtree.com/deer-hunting/articles/10-tips-for-great-deer-pictures</v>
      </c>
      <c r="H1120" s="18" t="str">
        <f>IFERROR(__xludf.DUMMYFUNCTION("""COMPUTED_VALUE"""),"Not ranking")</f>
        <v>Not ranking</v>
      </c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15" t="str">
        <f>IFERROR(__xludf.DUMMYFUNCTION("""COMPUTED_VALUE"""),"deer pose")</f>
        <v>deer pose</v>
      </c>
      <c r="B1121" s="15" t="str">
        <f>IFERROR(__xludf.DUMMYFUNCTION("""COMPUTED_VALUE"""),"590")</f>
        <v>590</v>
      </c>
      <c r="C1121" s="15" t="str">
        <f>IFERROR(__xludf.DUMMYFUNCTION("""COMPUTED_VALUE"""),"Not ranking")</f>
        <v>Not ranking</v>
      </c>
      <c r="D1121" s="15" t="str">
        <f>IFERROR(__xludf.DUMMYFUNCTION("""COMPUTED_VALUE"""),"78")</f>
        <v>78</v>
      </c>
      <c r="E1121" s="15" t="str">
        <f>IFERROR(__xludf.DUMMYFUNCTION("""COMPUTED_VALUE"""),"Not ranking")</f>
        <v>Not ranking</v>
      </c>
      <c r="F1121" s="18" t="str">
        <f>IFERROR(__xludf.DUMMYFUNCTION("""COMPUTED_VALUE"""),"Not ranking")</f>
        <v>Not ranking</v>
      </c>
      <c r="G1121" s="17" t="str">
        <f>IFERROR(__xludf.DUMMYFUNCTION("""COMPUTED_VALUE"""),"https://realtree.com/brow-tines-and-backstrap/whitetail-taxidermy-poses-for-your-next-deer-mount")</f>
        <v>https://realtree.com/brow-tines-and-backstrap/whitetail-taxidermy-poses-for-your-next-deer-mount</v>
      </c>
      <c r="H1121" s="18" t="str">
        <f>IFERROR(__xludf.DUMMYFUNCTION("""COMPUTED_VALUE"""),"Not ranking")</f>
        <v>Not ranking</v>
      </c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15" t="str">
        <f>IFERROR(__xludf.DUMMYFUNCTION("""COMPUTED_VALUE"""),"deer season 2022 ohio")</f>
        <v>deer season 2022 ohio</v>
      </c>
      <c r="B1122" s="15" t="str">
        <f>IFERROR(__xludf.DUMMYFUNCTION("""COMPUTED_VALUE"""),"590")</f>
        <v>590</v>
      </c>
      <c r="C1122" s="15" t="str">
        <f>IFERROR(__xludf.DUMMYFUNCTION("""COMPUTED_VALUE"""),"Not ranking")</f>
        <v>Not ranking</v>
      </c>
      <c r="D1122" s="15" t="str">
        <f>IFERROR(__xludf.DUMMYFUNCTION("""COMPUTED_VALUE"""),"Not ranking")</f>
        <v>Not ranking</v>
      </c>
      <c r="E1122" s="15" t="str">
        <f>IFERROR(__xludf.DUMMYFUNCTION("""COMPUTED_VALUE"""),"43")</f>
        <v>43</v>
      </c>
      <c r="F1122" s="18" t="str">
        <f>IFERROR(__xludf.DUMMYFUNCTION("""COMPUTED_VALUE"""),"Not ranking")</f>
        <v>Not ranking</v>
      </c>
      <c r="G1122" s="18" t="str">
        <f>IFERROR(__xludf.DUMMYFUNCTION("""COMPUTED_VALUE"""),"Not ranking")</f>
        <v>Not ranking</v>
      </c>
      <c r="H1122" s="17" t="str">
        <f>IFERROR(__xludf.DUMMYFUNCTION("""COMPUTED_VALUE"""),"https://www.wideopenspaces.com/deer-hunting-in-ohio-what-you-should-know/")</f>
        <v>https://www.wideopenspaces.com/deer-hunting-in-ohio-what-you-should-know/</v>
      </c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15" t="str">
        <f>IFERROR(__xludf.DUMMYFUNCTION("""COMPUTED_VALUE"""),"deer season georgia 2022-2023")</f>
        <v>deer season georgia 2022-2023</v>
      </c>
      <c r="B1123" s="15" t="str">
        <f>IFERROR(__xludf.DUMMYFUNCTION("""COMPUTED_VALUE"""),"590")</f>
        <v>590</v>
      </c>
      <c r="C1123" s="15" t="str">
        <f>IFERROR(__xludf.DUMMYFUNCTION("""COMPUTED_VALUE"""),"Not ranking")</f>
        <v>Not ranking</v>
      </c>
      <c r="D1123" s="15" t="str">
        <f>IFERROR(__xludf.DUMMYFUNCTION("""COMPUTED_VALUE"""),"Not ranking")</f>
        <v>Not ranking</v>
      </c>
      <c r="E1123" s="15" t="str">
        <f>IFERROR(__xludf.DUMMYFUNCTION("""COMPUTED_VALUE"""),"28")</f>
        <v>28</v>
      </c>
      <c r="F1123" s="18" t="str">
        <f>IFERROR(__xludf.DUMMYFUNCTION("""COMPUTED_VALUE"""),"Not ranking")</f>
        <v>Not ranking</v>
      </c>
      <c r="G1123" s="18" t="str">
        <f>IFERROR(__xludf.DUMMYFUNCTION("""COMPUTED_VALUE"""),"Not ranking")</f>
        <v>Not ranking</v>
      </c>
      <c r="H1123" s="17" t="str">
        <f>IFERROR(__xludf.DUMMYFUNCTION("""COMPUTED_VALUE"""),"https://www.wideopenspaces.com/georgia-deer-hunting/")</f>
        <v>https://www.wideopenspaces.com/georgia-deer-hunting/</v>
      </c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15" t="str">
        <f>IFERROR(__xludf.DUMMYFUNCTION("""COMPUTED_VALUE"""),"deer season in florida")</f>
        <v>deer season in florida</v>
      </c>
      <c r="B1124" s="15" t="str">
        <f>IFERROR(__xludf.DUMMYFUNCTION("""COMPUTED_VALUE"""),"590")</f>
        <v>590</v>
      </c>
      <c r="C1124" s="15" t="str">
        <f>IFERROR(__xludf.DUMMYFUNCTION("""COMPUTED_VALUE"""),"Not ranking")</f>
        <v>Not ranking</v>
      </c>
      <c r="D1124" s="15" t="str">
        <f>IFERROR(__xludf.DUMMYFUNCTION("""COMPUTED_VALUE"""),"58")</f>
        <v>58</v>
      </c>
      <c r="E1124" s="15" t="str">
        <f>IFERROR(__xludf.DUMMYFUNCTION("""COMPUTED_VALUE"""),"87")</f>
        <v>87</v>
      </c>
      <c r="F1124" s="18" t="str">
        <f>IFERROR(__xludf.DUMMYFUNCTION("""COMPUTED_VALUE"""),"Not ranking")</f>
        <v>Not ranking</v>
      </c>
      <c r="G1124" s="17" t="str">
        <f>IFERROR(__xludf.DUMMYFUNCTION("""COMPUTED_VALUE"""),"https://realtree.com/deer-hunting/articles/where-to-deer-hunt-in-february")</f>
        <v>https://realtree.com/deer-hunting/articles/where-to-deer-hunt-in-february</v>
      </c>
      <c r="H1124" s="17" t="str">
        <f>IFERROR(__xludf.DUMMYFUNCTION("""COMPUTED_VALUE"""),"https://www.wideopenspaces.com/hunt-deer-january-february/")</f>
        <v>https://www.wideopenspaces.com/hunt-deer-january-february/</v>
      </c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15" t="str">
        <f>IFERROR(__xludf.DUMMYFUNCTION("""COMPUTED_VALUE"""),"deer season in minnesota")</f>
        <v>deer season in minnesota</v>
      </c>
      <c r="B1125" s="15" t="str">
        <f>IFERROR(__xludf.DUMMYFUNCTION("""COMPUTED_VALUE"""),"590")</f>
        <v>590</v>
      </c>
      <c r="C1125" s="15" t="str">
        <f>IFERROR(__xludf.DUMMYFUNCTION("""COMPUTED_VALUE"""),"Not ranking")</f>
        <v>Not ranking</v>
      </c>
      <c r="D1125" s="15" t="str">
        <f>IFERROR(__xludf.DUMMYFUNCTION("""COMPUTED_VALUE"""),"Not ranking")</f>
        <v>Not ranking</v>
      </c>
      <c r="E1125" s="15" t="str">
        <f>IFERROR(__xludf.DUMMYFUNCTION("""COMPUTED_VALUE"""),"71")</f>
        <v>71</v>
      </c>
      <c r="F1125" s="18" t="str">
        <f>IFERROR(__xludf.DUMMYFUNCTION("""COMPUTED_VALUE"""),"Not ranking")</f>
        <v>Not ranking</v>
      </c>
      <c r="G1125" s="18" t="str">
        <f>IFERROR(__xludf.DUMMYFUNCTION("""COMPUTED_VALUE"""),"Not ranking")</f>
        <v>Not ranking</v>
      </c>
      <c r="H1125" s="17" t="str">
        <f>IFERROR(__xludf.DUMMYFUNCTION("""COMPUTED_VALUE"""),"https://www.wideopenspaces.com/mn-deer-hunting-zones/")</f>
        <v>https://www.wideopenspaces.com/mn-deer-hunting-zones/</v>
      </c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15" t="str">
        <f>IFERROR(__xludf.DUMMYFUNCTION("""COMPUTED_VALUE"""),"deer season in nc")</f>
        <v>deer season in nc</v>
      </c>
      <c r="B1126" s="15" t="str">
        <f>IFERROR(__xludf.DUMMYFUNCTION("""COMPUTED_VALUE"""),"590")</f>
        <v>590</v>
      </c>
      <c r="C1126" s="15" t="str">
        <f>IFERROR(__xludf.DUMMYFUNCTION("""COMPUTED_VALUE"""),"Not ranking")</f>
        <v>Not ranking</v>
      </c>
      <c r="D1126" s="15" t="str">
        <f>IFERROR(__xludf.DUMMYFUNCTION("""COMPUTED_VALUE"""),"Not ranking")</f>
        <v>Not ranking</v>
      </c>
      <c r="E1126" s="15" t="str">
        <f>IFERROR(__xludf.DUMMYFUNCTION("""COMPUTED_VALUE"""),"94")</f>
        <v>94</v>
      </c>
      <c r="F1126" s="18" t="str">
        <f>IFERROR(__xludf.DUMMYFUNCTION("""COMPUTED_VALUE"""),"Not ranking")</f>
        <v>Not ranking</v>
      </c>
      <c r="G1126" s="18" t="str">
        <f>IFERROR(__xludf.DUMMYFUNCTION("""COMPUTED_VALUE"""),"Not ranking")</f>
        <v>Not ranking</v>
      </c>
      <c r="H1126" s="17" t="str">
        <f>IFERROR(__xludf.DUMMYFUNCTION("""COMPUTED_VALUE"""),"https://www.wideopenspaces.com/the-2018-19-north-carolina-deer-season-harvest-numbers-arent-great-but-they-arent-horrible-either/")</f>
        <v>https://www.wideopenspaces.com/the-2018-19-north-carolina-deer-season-harvest-numbers-arent-great-but-they-arent-horrible-either/</v>
      </c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15" t="str">
        <f>IFERROR(__xludf.DUMMYFUNCTION("""COMPUTED_VALUE"""),"deer season in north carolina")</f>
        <v>deer season in north carolina</v>
      </c>
      <c r="B1127" s="15" t="str">
        <f>IFERROR(__xludf.DUMMYFUNCTION("""COMPUTED_VALUE"""),"590")</f>
        <v>590</v>
      </c>
      <c r="C1127" s="15" t="str">
        <f>IFERROR(__xludf.DUMMYFUNCTION("""COMPUTED_VALUE"""),"Not ranking")</f>
        <v>Not ranking</v>
      </c>
      <c r="D1127" s="15" t="str">
        <f>IFERROR(__xludf.DUMMYFUNCTION("""COMPUTED_VALUE"""),"Not ranking")</f>
        <v>Not ranking</v>
      </c>
      <c r="E1127" s="15" t="str">
        <f>IFERROR(__xludf.DUMMYFUNCTION("""COMPUTED_VALUE"""),"82")</f>
        <v>82</v>
      </c>
      <c r="F1127" s="18" t="str">
        <f>IFERROR(__xludf.DUMMYFUNCTION("""COMPUTED_VALUE"""),"Not ranking")</f>
        <v>Not ranking</v>
      </c>
      <c r="G1127" s="18" t="str">
        <f>IFERROR(__xludf.DUMMYFUNCTION("""COMPUTED_VALUE"""),"Not ranking")</f>
        <v>Not ranking</v>
      </c>
      <c r="H1127" s="17" t="str">
        <f>IFERROR(__xludf.DUMMYFUNCTION("""COMPUTED_VALUE"""),"https://www.wideopenspaces.com/the-2018-19-north-carolina-deer-season-harvest-numbers-arent-great-but-they-arent-horrible-either/")</f>
        <v>https://www.wideopenspaces.com/the-2018-19-north-carolina-deer-season-harvest-numbers-arent-great-but-they-arent-horrible-either/</v>
      </c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15" t="str">
        <f>IFERROR(__xludf.DUMMYFUNCTION("""COMPUTED_VALUE"""),"deer season in tennessee")</f>
        <v>deer season in tennessee</v>
      </c>
      <c r="B1128" s="15" t="str">
        <f>IFERROR(__xludf.DUMMYFUNCTION("""COMPUTED_VALUE"""),"590")</f>
        <v>590</v>
      </c>
      <c r="C1128" s="15" t="str">
        <f>IFERROR(__xludf.DUMMYFUNCTION("""COMPUTED_VALUE"""),"Not ranking")</f>
        <v>Not ranking</v>
      </c>
      <c r="D1128" s="15" t="str">
        <f>IFERROR(__xludf.DUMMYFUNCTION("""COMPUTED_VALUE"""),"80")</f>
        <v>80</v>
      </c>
      <c r="E1128" s="15" t="str">
        <f>IFERROR(__xludf.DUMMYFUNCTION("""COMPUTED_VALUE"""),"62")</f>
        <v>62</v>
      </c>
      <c r="F1128" s="18" t="str">
        <f>IFERROR(__xludf.DUMMYFUNCTION("""COMPUTED_VALUE"""),"Not ranking")</f>
        <v>Not ranking</v>
      </c>
      <c r="G1128" s="17" t="str">
        <f>IFERROR(__xludf.DUMMYFUNCTION("""COMPUTED_VALUE"""),"https://realtree.com/deer-hunting/articles/deer-hunting-the-late-season")</f>
        <v>https://realtree.com/deer-hunting/articles/deer-hunting-the-late-season</v>
      </c>
      <c r="H1128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15" t="str">
        <f>IFERROR(__xludf.DUMMYFUNCTION("""COMPUTED_VALUE"""),"deer season michigan 2022")</f>
        <v>deer season michigan 2022</v>
      </c>
      <c r="B1129" s="15" t="str">
        <f>IFERROR(__xludf.DUMMYFUNCTION("""COMPUTED_VALUE"""),"590")</f>
        <v>590</v>
      </c>
      <c r="C1129" s="15" t="str">
        <f>IFERROR(__xludf.DUMMYFUNCTION("""COMPUTED_VALUE"""),"Not ranking")</f>
        <v>Not ranking</v>
      </c>
      <c r="D1129" s="15" t="str">
        <f>IFERROR(__xludf.DUMMYFUNCTION("""COMPUTED_VALUE"""),"Not ranking")</f>
        <v>Not ranking</v>
      </c>
      <c r="E1129" s="15" t="str">
        <f>IFERROR(__xludf.DUMMYFUNCTION("""COMPUTED_VALUE"""),"35")</f>
        <v>35</v>
      </c>
      <c r="F1129" s="18" t="str">
        <f>IFERROR(__xludf.DUMMYFUNCTION("""COMPUTED_VALUE"""),"Not ranking")</f>
        <v>Not ranking</v>
      </c>
      <c r="G1129" s="18" t="str">
        <f>IFERROR(__xludf.DUMMYFUNCTION("""COMPUTED_VALUE"""),"Not ranking")</f>
        <v>Not ranking</v>
      </c>
      <c r="H1129" s="17" t="str">
        <f>IFERROR(__xludf.DUMMYFUNCTION("""COMPUTED_VALUE"""),"https://www.wideopenspaces.com/michigan-muzzleloader-season/")</f>
        <v>https://www.wideopenspaces.com/michigan-muzzleloader-season/</v>
      </c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15" t="str">
        <f>IFERROR(__xludf.DUMMYFUNCTION("""COMPUTED_VALUE"""),"deer season mn")</f>
        <v>deer season mn</v>
      </c>
      <c r="B1130" s="15" t="str">
        <f>IFERROR(__xludf.DUMMYFUNCTION("""COMPUTED_VALUE"""),"590")</f>
        <v>590</v>
      </c>
      <c r="C1130" s="15" t="str">
        <f>IFERROR(__xludf.DUMMYFUNCTION("""COMPUTED_VALUE"""),"Not ranking")</f>
        <v>Not ranking</v>
      </c>
      <c r="D1130" s="15" t="str">
        <f>IFERROR(__xludf.DUMMYFUNCTION("""COMPUTED_VALUE"""),"Not ranking")</f>
        <v>Not ranking</v>
      </c>
      <c r="E1130" s="15" t="str">
        <f>IFERROR(__xludf.DUMMYFUNCTION("""COMPUTED_VALUE"""),"47")</f>
        <v>47</v>
      </c>
      <c r="F1130" s="18" t="str">
        <f>IFERROR(__xludf.DUMMYFUNCTION("""COMPUTED_VALUE"""),"Not ranking")</f>
        <v>Not ranking</v>
      </c>
      <c r="G1130" s="18" t="str">
        <f>IFERROR(__xludf.DUMMYFUNCTION("""COMPUTED_VALUE"""),"Not ranking")</f>
        <v>Not ranking</v>
      </c>
      <c r="H1130" s="17" t="str">
        <f>IFERROR(__xludf.DUMMYFUNCTION("""COMPUTED_VALUE"""),"https://www.wideopenspaces.com/mn-deer-hunting-zones/")</f>
        <v>https://www.wideopenspaces.com/mn-deer-hunting-zones/</v>
      </c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15" t="str">
        <f>IFERROR(__xludf.DUMMYFUNCTION("""COMPUTED_VALUE"""),"deer season nc 2022-2023")</f>
        <v>deer season nc 2022-2023</v>
      </c>
      <c r="B1131" s="15" t="str">
        <f>IFERROR(__xludf.DUMMYFUNCTION("""COMPUTED_VALUE"""),"590")</f>
        <v>590</v>
      </c>
      <c r="C1131" s="15" t="str">
        <f>IFERROR(__xludf.DUMMYFUNCTION("""COMPUTED_VALUE"""),"Not ranking")</f>
        <v>Not ranking</v>
      </c>
      <c r="D1131" s="15" t="str">
        <f>IFERROR(__xludf.DUMMYFUNCTION("""COMPUTED_VALUE"""),"51")</f>
        <v>51</v>
      </c>
      <c r="E1131" s="15" t="str">
        <f>IFERROR(__xludf.DUMMYFUNCTION("""COMPUTED_VALUE"""),"Not ranking")</f>
        <v>Not ranking</v>
      </c>
      <c r="F1131" s="18" t="str">
        <f>IFERROR(__xludf.DUMMYFUNCTION("""COMPUTED_VALUE"""),"Not ranking")</f>
        <v>Not ranking</v>
      </c>
      <c r="G1131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1131" s="18" t="str">
        <f>IFERROR(__xludf.DUMMYFUNCTION("""COMPUTED_VALUE"""),"Not ranking")</f>
        <v>Not ranking</v>
      </c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15" t="str">
        <f>IFERROR(__xludf.DUMMYFUNCTION("""COMPUTED_VALUE"""),"deer season tennessee")</f>
        <v>deer season tennessee</v>
      </c>
      <c r="B1132" s="15" t="str">
        <f>IFERROR(__xludf.DUMMYFUNCTION("""COMPUTED_VALUE"""),"590")</f>
        <v>590</v>
      </c>
      <c r="C1132" s="15" t="str">
        <f>IFERROR(__xludf.DUMMYFUNCTION("""COMPUTED_VALUE"""),"Not ranking")</f>
        <v>Not ranking</v>
      </c>
      <c r="D1132" s="15" t="str">
        <f>IFERROR(__xludf.DUMMYFUNCTION("""COMPUTED_VALUE"""),"Not ranking")</f>
        <v>Not ranking</v>
      </c>
      <c r="E1132" s="15" t="str">
        <f>IFERROR(__xludf.DUMMYFUNCTION("""COMPUTED_VALUE"""),"92")</f>
        <v>92</v>
      </c>
      <c r="F1132" s="18" t="str">
        <f>IFERROR(__xludf.DUMMYFUNCTION("""COMPUTED_VALUE"""),"Not ranking")</f>
        <v>Not ranking</v>
      </c>
      <c r="G1132" s="18" t="str">
        <f>IFERROR(__xludf.DUMMYFUNCTION("""COMPUTED_VALUE"""),"Not ranking")</f>
        <v>Not ranking</v>
      </c>
      <c r="H1132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15" t="str">
        <f>IFERROR(__xludf.DUMMYFUNCTION("""COMPUTED_VALUE"""),"deer sounds at night")</f>
        <v>deer sounds at night</v>
      </c>
      <c r="B1133" s="15" t="str">
        <f>IFERROR(__xludf.DUMMYFUNCTION("""COMPUTED_VALUE"""),"590")</f>
        <v>590</v>
      </c>
      <c r="C1133" s="15" t="str">
        <f>IFERROR(__xludf.DUMMYFUNCTION("""COMPUTED_VALUE"""),"Not ranking")</f>
        <v>Not ranking</v>
      </c>
      <c r="D1133" s="15" t="str">
        <f>IFERROR(__xludf.DUMMYFUNCTION("""COMPUTED_VALUE"""),"Not ranking")</f>
        <v>Not ranking</v>
      </c>
      <c r="E1133" s="15" t="str">
        <f>IFERROR(__xludf.DUMMYFUNCTION("""COMPUTED_VALUE"""),"2")</f>
        <v>2</v>
      </c>
      <c r="F1133" s="18" t="str">
        <f>IFERROR(__xludf.DUMMYFUNCTION("""COMPUTED_VALUE"""),"Not ranking")</f>
        <v>Not ranking</v>
      </c>
      <c r="G1133" s="18" t="str">
        <f>IFERROR(__xludf.DUMMYFUNCTION("""COMPUTED_VALUE"""),"Not ranking")</f>
        <v>Not ranking</v>
      </c>
      <c r="H1133" s="17" t="str">
        <f>IFERROR(__xludf.DUMMYFUNCTION("""COMPUTED_VALUE"""),"https://www.wideopenspaces.com/deer-sounds-making-sense-of-the-sounds-of-the-deer-woods/")</f>
        <v>https://www.wideopenspaces.com/deer-sounds-making-sense-of-the-sounds-of-the-deer-woods/</v>
      </c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15" t="str">
        <f>IFERROR(__xludf.DUMMYFUNCTION("""COMPUTED_VALUE"""),"deer tags in illinois")</f>
        <v>deer tags in illinois</v>
      </c>
      <c r="B1134" s="15" t="str">
        <f>IFERROR(__xludf.DUMMYFUNCTION("""COMPUTED_VALUE"""),"590")</f>
        <v>590</v>
      </c>
      <c r="C1134" s="15" t="str">
        <f>IFERROR(__xludf.DUMMYFUNCTION("""COMPUTED_VALUE"""),"Not ranking")</f>
        <v>Not ranking</v>
      </c>
      <c r="D1134" s="15" t="str">
        <f>IFERROR(__xludf.DUMMYFUNCTION("""COMPUTED_VALUE"""),"Not ranking")</f>
        <v>Not ranking</v>
      </c>
      <c r="E1134" s="15" t="str">
        <f>IFERROR(__xludf.DUMMYFUNCTION("""COMPUTED_VALUE"""),"22")</f>
        <v>22</v>
      </c>
      <c r="F1134" s="18" t="str">
        <f>IFERROR(__xludf.DUMMYFUNCTION("""COMPUTED_VALUE"""),"Not ranking")</f>
        <v>Not ranking</v>
      </c>
      <c r="G1134" s="18" t="str">
        <f>IFERROR(__xludf.DUMMYFUNCTION("""COMPUTED_VALUE"""),"Not ranking")</f>
        <v>Not ranking</v>
      </c>
      <c r="H1134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15" t="str">
        <f>IFERROR(__xludf.DUMMYFUNCTION("""COMPUTED_VALUE"""),"deer women")</f>
        <v>deer women</v>
      </c>
      <c r="B1135" s="15" t="str">
        <f>IFERROR(__xludf.DUMMYFUNCTION("""COMPUTED_VALUE"""),"590")</f>
        <v>590</v>
      </c>
      <c r="C1135" s="15" t="str">
        <f>IFERROR(__xludf.DUMMYFUNCTION("""COMPUTED_VALUE"""),"Not ranking")</f>
        <v>Not ranking</v>
      </c>
      <c r="D1135" s="15" t="str">
        <f>IFERROR(__xludf.DUMMYFUNCTION("""COMPUTED_VALUE"""),"42")</f>
        <v>42</v>
      </c>
      <c r="E1135" s="15" t="str">
        <f>IFERROR(__xludf.DUMMYFUNCTION("""COMPUTED_VALUE"""),"Not ranking")</f>
        <v>Not ranking</v>
      </c>
      <c r="F1135" s="18" t="str">
        <f>IFERROR(__xludf.DUMMYFUNCTION("""COMPUTED_VALUE"""),"Not ranking")</f>
        <v>Not ranking</v>
      </c>
      <c r="G1135" s="17" t="str">
        <f>IFERROR(__xludf.DUMMYFUNCTION("""COMPUTED_VALUE"""),"https://realtree.com/deer-hunting/articles/women-and-how-they-re-affecting-the-deer-hunting-tradition")</f>
        <v>https://realtree.com/deer-hunting/articles/women-and-how-they-re-affecting-the-deer-hunting-tradition</v>
      </c>
      <c r="H1135" s="18" t="str">
        <f>IFERROR(__xludf.DUMMYFUNCTION("""COMPUTED_VALUE"""),"Not ranking")</f>
        <v>Not ranking</v>
      </c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15" t="str">
        <f>IFERROR(__xludf.DUMMYFUNCTION("""COMPUTED_VALUE"""),"deer youth season missouri")</f>
        <v>deer youth season missouri</v>
      </c>
      <c r="B1136" s="15" t="str">
        <f>IFERROR(__xludf.DUMMYFUNCTION("""COMPUTED_VALUE"""),"590")</f>
        <v>590</v>
      </c>
      <c r="C1136" s="15" t="str">
        <f>IFERROR(__xludf.DUMMYFUNCTION("""COMPUTED_VALUE"""),"Not ranking")</f>
        <v>Not ranking</v>
      </c>
      <c r="D1136" s="15" t="str">
        <f>IFERROR(__xludf.DUMMYFUNCTION("""COMPUTED_VALUE"""),"Not ranking")</f>
        <v>Not ranking</v>
      </c>
      <c r="E1136" s="15" t="str">
        <f>IFERROR(__xludf.DUMMYFUNCTION("""COMPUTED_VALUE"""),"75")</f>
        <v>75</v>
      </c>
      <c r="F1136" s="18" t="str">
        <f>IFERROR(__xludf.DUMMYFUNCTION("""COMPUTED_VALUE"""),"Not ranking")</f>
        <v>Not ranking</v>
      </c>
      <c r="G1136" s="18" t="str">
        <f>IFERROR(__xludf.DUMMYFUNCTION("""COMPUTED_VALUE"""),"Not ranking")</f>
        <v>Not ranking</v>
      </c>
      <c r="H1136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15" t="str">
        <f>IFERROR(__xludf.DUMMYFUNCTION("""COMPUTED_VALUE"""),"delaware deer season 2022")</f>
        <v>delaware deer season 2022</v>
      </c>
      <c r="B1137" s="15" t="str">
        <f>IFERROR(__xludf.DUMMYFUNCTION("""COMPUTED_VALUE"""),"590")</f>
        <v>590</v>
      </c>
      <c r="C1137" s="15" t="str">
        <f>IFERROR(__xludf.DUMMYFUNCTION("""COMPUTED_VALUE"""),"Not ranking")</f>
        <v>Not ranking</v>
      </c>
      <c r="D1137" s="15" t="str">
        <f>IFERROR(__xludf.DUMMYFUNCTION("""COMPUTED_VALUE"""),"58")</f>
        <v>58</v>
      </c>
      <c r="E1137" s="15" t="str">
        <f>IFERROR(__xludf.DUMMYFUNCTION("""COMPUTED_VALUE"""),"Not ranking")</f>
        <v>Not ranking</v>
      </c>
      <c r="F1137" s="18" t="str">
        <f>IFERROR(__xludf.DUMMYFUNCTION("""COMPUTED_VALUE"""),"Not ranking")</f>
        <v>Not ranking</v>
      </c>
      <c r="G1137" s="17" t="str">
        <f>IFERROR(__xludf.DUMMYFUNCTION("""COMPUTED_VALUE"""),"https://realtree.com/")</f>
        <v>https://realtree.com/</v>
      </c>
      <c r="H1137" s="18" t="str">
        <f>IFERROR(__xludf.DUMMYFUNCTION("""COMPUTED_VALUE"""),"Not ranking")</f>
        <v>Not ranking</v>
      </c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15" t="str">
        <f>IFERROR(__xludf.DUMMYFUNCTION("""COMPUTED_VALUE"""),"difference between elk and deer")</f>
        <v>difference between elk and deer</v>
      </c>
      <c r="B1138" s="15" t="str">
        <f>IFERROR(__xludf.DUMMYFUNCTION("""COMPUTED_VALUE"""),"590")</f>
        <v>590</v>
      </c>
      <c r="C1138" s="15" t="str">
        <f>IFERROR(__xludf.DUMMYFUNCTION("""COMPUTED_VALUE"""),"Not ranking")</f>
        <v>Not ranking</v>
      </c>
      <c r="D1138" s="15" t="str">
        <f>IFERROR(__xludf.DUMMYFUNCTION("""COMPUTED_VALUE"""),"Not ranking")</f>
        <v>Not ranking</v>
      </c>
      <c r="E1138" s="15" t="str">
        <f>IFERROR(__xludf.DUMMYFUNCTION("""COMPUTED_VALUE"""),"8")</f>
        <v>8</v>
      </c>
      <c r="F1138" s="18" t="str">
        <f>IFERROR(__xludf.DUMMYFUNCTION("""COMPUTED_VALUE"""),"Not ranking")</f>
        <v>Not ranking</v>
      </c>
      <c r="G1138" s="18" t="str">
        <f>IFERROR(__xludf.DUMMYFUNCTION("""COMPUTED_VALUE"""),"Not ranking")</f>
        <v>Not ranking</v>
      </c>
      <c r="H1138" s="17" t="str">
        <f>IFERROR(__xludf.DUMMYFUNCTION("""COMPUTED_VALUE"""),"https://www.wideopenspaces.com/the-difference-between-a-bull-elk-and-a-red-stag/")</f>
        <v>https://www.wideopenspaces.com/the-difference-between-a-bull-elk-and-a-red-stag/</v>
      </c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15" t="str">
        <f>IFERROR(__xludf.DUMMYFUNCTION("""COMPUTED_VALUE"""),"dnr deer registration mn")</f>
        <v>dnr deer registration mn</v>
      </c>
      <c r="B1139" s="15" t="str">
        <f>IFERROR(__xludf.DUMMYFUNCTION("""COMPUTED_VALUE"""),"590")</f>
        <v>590</v>
      </c>
      <c r="C1139" s="15" t="str">
        <f>IFERROR(__xludf.DUMMYFUNCTION("""COMPUTED_VALUE"""),"Not ranking")</f>
        <v>Not ranking</v>
      </c>
      <c r="D1139" s="15" t="str">
        <f>IFERROR(__xludf.DUMMYFUNCTION("""COMPUTED_VALUE"""),"Not ranking")</f>
        <v>Not ranking</v>
      </c>
      <c r="E1139" s="15" t="str">
        <f>IFERROR(__xludf.DUMMYFUNCTION("""COMPUTED_VALUE"""),"50")</f>
        <v>50</v>
      </c>
      <c r="F1139" s="18" t="str">
        <f>IFERROR(__xludf.DUMMYFUNCTION("""COMPUTED_VALUE"""),"Not ranking")</f>
        <v>Not ranking</v>
      </c>
      <c r="G1139" s="18" t="str">
        <f>IFERROR(__xludf.DUMMYFUNCTION("""COMPUTED_VALUE"""),"Not ranking")</f>
        <v>Not ranking</v>
      </c>
      <c r="H1139" s="17" t="str">
        <f>IFERROR(__xludf.DUMMYFUNCTION("""COMPUTED_VALUE"""),"https://www.wideopenspaces.com/mn-deer-hunting-zones/")</f>
        <v>https://www.wideopenspaces.com/mn-deer-hunting-zones/</v>
      </c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15" t="str">
        <f>IFERROR(__xludf.DUMMYFUNCTION("""COMPUTED_VALUE"""),"do deer eat watermelon")</f>
        <v>do deer eat watermelon</v>
      </c>
      <c r="B1140" s="15" t="str">
        <f>IFERROR(__xludf.DUMMYFUNCTION("""COMPUTED_VALUE"""),"590")</f>
        <v>590</v>
      </c>
      <c r="C1140" s="15" t="str">
        <f>IFERROR(__xludf.DUMMYFUNCTION("""COMPUTED_VALUE"""),"Not ranking")</f>
        <v>Not ranking</v>
      </c>
      <c r="D1140" s="15" t="str">
        <f>IFERROR(__xludf.DUMMYFUNCTION("""COMPUTED_VALUE"""),"71")</f>
        <v>71</v>
      </c>
      <c r="E1140" s="15" t="str">
        <f>IFERROR(__xludf.DUMMYFUNCTION("""COMPUTED_VALUE"""),"Not ranking")</f>
        <v>Not ranking</v>
      </c>
      <c r="F1140" s="18" t="str">
        <f>IFERROR(__xludf.DUMMYFUNCTION("""COMPUTED_VALUE"""),"Not ranking")</f>
        <v>Not ranking</v>
      </c>
      <c r="G1140" s="17" t="str">
        <f>IFERROR(__xludf.DUMMYFUNCTION("""COMPUTED_VALUE"""),"https://realtree.com/brow-tines-and-backstrap/8-things-you-can-use-to-bait-deer")</f>
        <v>https://realtree.com/brow-tines-and-backstrap/8-things-you-can-use-to-bait-deer</v>
      </c>
      <c r="H1140" s="18" t="str">
        <f>IFERROR(__xludf.DUMMYFUNCTION("""COMPUTED_VALUE"""),"Not ranking")</f>
        <v>Not ranking</v>
      </c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15" t="str">
        <f>IFERROR(__xludf.DUMMYFUNCTION("""COMPUTED_VALUE"""),"do deer like peanut butter")</f>
        <v>do deer like peanut butter</v>
      </c>
      <c r="B1141" s="15" t="str">
        <f>IFERROR(__xludf.DUMMYFUNCTION("""COMPUTED_VALUE"""),"590")</f>
        <v>590</v>
      </c>
      <c r="C1141" s="15" t="str">
        <f>IFERROR(__xludf.DUMMYFUNCTION("""COMPUTED_VALUE"""),"Not ranking")</f>
        <v>Not ranking</v>
      </c>
      <c r="D1141" s="15" t="str">
        <f>IFERROR(__xludf.DUMMYFUNCTION("""COMPUTED_VALUE"""),"Not ranking")</f>
        <v>Not ranking</v>
      </c>
      <c r="E1141" s="15" t="str">
        <f>IFERROR(__xludf.DUMMYFUNCTION("""COMPUTED_VALUE"""),"62")</f>
        <v>62</v>
      </c>
      <c r="F1141" s="18" t="str">
        <f>IFERROR(__xludf.DUMMYFUNCTION("""COMPUTED_VALUE"""),"Not ranking")</f>
        <v>Not ranking</v>
      </c>
      <c r="G1141" s="18" t="str">
        <f>IFERROR(__xludf.DUMMYFUNCTION("""COMPUTED_VALUE"""),"Not ranking")</f>
        <v>Not ranking</v>
      </c>
      <c r="H1141" s="17" t="str">
        <f>IFERROR(__xludf.DUMMYFUNCTION("""COMPUTED_VALUE"""),"https://www.wideopenspaces.com/peanut-butter-dispenser-draw-deer-to-you-when-nothing-else-will/")</f>
        <v>https://www.wideopenspaces.com/peanut-butter-dispenser-draw-deer-to-you-when-nothing-else-will/</v>
      </c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15" t="str">
        <f>IFERROR(__xludf.DUMMYFUNCTION("""COMPUTED_VALUE"""),"dog eating deer poop")</f>
        <v>dog eating deer poop</v>
      </c>
      <c r="B1142" s="15" t="str">
        <f>IFERROR(__xludf.DUMMYFUNCTION("""COMPUTED_VALUE"""),"590")</f>
        <v>590</v>
      </c>
      <c r="C1142" s="15" t="str">
        <f>IFERROR(__xludf.DUMMYFUNCTION("""COMPUTED_VALUE"""),"Not ranking")</f>
        <v>Not ranking</v>
      </c>
      <c r="D1142" s="15" t="str">
        <f>IFERROR(__xludf.DUMMYFUNCTION("""COMPUTED_VALUE"""),"59")</f>
        <v>59</v>
      </c>
      <c r="E1142" s="15" t="str">
        <f>IFERROR(__xludf.DUMMYFUNCTION("""COMPUTED_VALUE"""),"Not ranking")</f>
        <v>Not ranking</v>
      </c>
      <c r="F1142" s="18" t="str">
        <f>IFERROR(__xludf.DUMMYFUNCTION("""COMPUTED_VALUE"""),"Not ranking")</f>
        <v>Not ranking</v>
      </c>
      <c r="G1142" s="17" t="str">
        <f>IFERROR(__xludf.DUMMYFUNCTION("""COMPUTED_VALUE"""),"https://realtree.com/brow-tines-and-backstrap/everything-you-ever-wanted-to-know-about-deer-poop")</f>
        <v>https://realtree.com/brow-tines-and-backstrap/everything-you-ever-wanted-to-know-about-deer-poop</v>
      </c>
      <c r="H1142" s="18" t="str">
        <f>IFERROR(__xludf.DUMMYFUNCTION("""COMPUTED_VALUE"""),"Not ranking")</f>
        <v>Not ranking</v>
      </c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15" t="str">
        <f>IFERROR(__xludf.DUMMYFUNCTION("""COMPUTED_VALUE"""),"draw deer")</f>
        <v>draw deer</v>
      </c>
      <c r="B1143" s="15" t="str">
        <f>IFERROR(__xludf.DUMMYFUNCTION("""COMPUTED_VALUE"""),"590")</f>
        <v>590</v>
      </c>
      <c r="C1143" s="15" t="str">
        <f>IFERROR(__xludf.DUMMYFUNCTION("""COMPUTED_VALUE"""),"Not ranking")</f>
        <v>Not ranking</v>
      </c>
      <c r="D1143" s="15" t="str">
        <f>IFERROR(__xludf.DUMMYFUNCTION("""COMPUTED_VALUE"""),"22")</f>
        <v>22</v>
      </c>
      <c r="E1143" s="15" t="str">
        <f>IFERROR(__xludf.DUMMYFUNCTION("""COMPUTED_VALUE"""),"Not ranking")</f>
        <v>Not ranking</v>
      </c>
      <c r="F1143" s="18" t="str">
        <f>IFERROR(__xludf.DUMMYFUNCTION("""COMPUTED_VALUE"""),"Not ranking")</f>
        <v>Not ranking</v>
      </c>
      <c r="G1143" s="17" t="str">
        <f>IFERROR(__xludf.DUMMYFUNCTION("""COMPUTED_VALUE"""),"https://realtree.com/brow-tines-and-backstrap/when-to-draw-your-bow-on-deer")</f>
        <v>https://realtree.com/brow-tines-and-backstrap/when-to-draw-your-bow-on-deer</v>
      </c>
      <c r="H1143" s="18" t="str">
        <f>IFERROR(__xludf.DUMMYFUNCTION("""COMPUTED_VALUE"""),"Not ranking")</f>
        <v>Not ranking</v>
      </c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15" t="str">
        <f>IFERROR(__xludf.DUMMYFUNCTION("""COMPUTED_VALUE"""),"drawing deer")</f>
        <v>drawing deer</v>
      </c>
      <c r="B1144" s="15" t="str">
        <f>IFERROR(__xludf.DUMMYFUNCTION("""COMPUTED_VALUE"""),"590")</f>
        <v>590</v>
      </c>
      <c r="C1144" s="15" t="str">
        <f>IFERROR(__xludf.DUMMYFUNCTION("""COMPUTED_VALUE"""),"Not ranking")</f>
        <v>Not ranking</v>
      </c>
      <c r="D1144" s="15" t="str">
        <f>IFERROR(__xludf.DUMMYFUNCTION("""COMPUTED_VALUE"""),"28")</f>
        <v>28</v>
      </c>
      <c r="E1144" s="15" t="str">
        <f>IFERROR(__xludf.DUMMYFUNCTION("""COMPUTED_VALUE"""),"Not ranking")</f>
        <v>Not ranking</v>
      </c>
      <c r="F1144" s="18" t="str">
        <f>IFERROR(__xludf.DUMMYFUNCTION("""COMPUTED_VALUE"""),"Not ranking")</f>
        <v>Not ranking</v>
      </c>
      <c r="G1144" s="17" t="str">
        <f>IFERROR(__xludf.DUMMYFUNCTION("""COMPUTED_VALUE"""),"https://realtree.com/brow-tines-and-backstrap/when-to-draw-your-bow-on-deer")</f>
        <v>https://realtree.com/brow-tines-and-backstrap/when-to-draw-your-bow-on-deer</v>
      </c>
      <c r="H1144" s="18" t="str">
        <f>IFERROR(__xludf.DUMMYFUNCTION("""COMPUTED_VALUE"""),"Not ranking")</f>
        <v>Not ranking</v>
      </c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15" t="str">
        <f>IFERROR(__xludf.DUMMYFUNCTION("""COMPUTED_VALUE"""),"east palestine dead deer")</f>
        <v>east palestine dead deer</v>
      </c>
      <c r="B1145" s="15" t="str">
        <f>IFERROR(__xludf.DUMMYFUNCTION("""COMPUTED_VALUE"""),"590")</f>
        <v>590</v>
      </c>
      <c r="C1145" s="15" t="str">
        <f>IFERROR(__xludf.DUMMYFUNCTION("""COMPUTED_VALUE"""),"Not ranking")</f>
        <v>Not ranking</v>
      </c>
      <c r="D1145" s="15" t="str">
        <f>IFERROR(__xludf.DUMMYFUNCTION("""COMPUTED_VALUE"""),"Not ranking")</f>
        <v>Not ranking</v>
      </c>
      <c r="E1145" s="15" t="str">
        <f>IFERROR(__xludf.DUMMYFUNCTION("""COMPUTED_VALUE"""),"42")</f>
        <v>42</v>
      </c>
      <c r="F1145" s="18" t="str">
        <f>IFERROR(__xludf.DUMMYFUNCTION("""COMPUTED_VALUE"""),"Not ranking")</f>
        <v>Not ranking</v>
      </c>
      <c r="G1145" s="18" t="str">
        <f>IFERROR(__xludf.DUMMYFUNCTION("""COMPUTED_VALUE"""),"Not ranking")</f>
        <v>Not ranking</v>
      </c>
      <c r="H1145" s="17" t="str">
        <f>IFERROR(__xludf.DUMMYFUNCTION("""COMPUTED_VALUE"""),"https://www.wideopenspaces.com/ohio-water-wildlife-die-after-ohio-train-derailment/")</f>
        <v>https://www.wideopenspaces.com/ohio-water-wildlife-die-after-ohio-train-derailment/</v>
      </c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15" t="str">
        <f>IFERROR(__xludf.DUMMYFUNCTION("""COMPUTED_VALUE"""),"european deer")</f>
        <v>european deer</v>
      </c>
      <c r="B1146" s="15" t="str">
        <f>IFERROR(__xludf.DUMMYFUNCTION("""COMPUTED_VALUE"""),"590")</f>
        <v>590</v>
      </c>
      <c r="C1146" s="15" t="str">
        <f>IFERROR(__xludf.DUMMYFUNCTION("""COMPUTED_VALUE"""),"Not ranking")</f>
        <v>Not ranking</v>
      </c>
      <c r="D1146" s="15" t="str">
        <f>IFERROR(__xludf.DUMMYFUNCTION("""COMPUTED_VALUE"""),"60")</f>
        <v>60</v>
      </c>
      <c r="E1146" s="15" t="str">
        <f>IFERROR(__xludf.DUMMYFUNCTION("""COMPUTED_VALUE"""),"Not ranking")</f>
        <v>Not ranking</v>
      </c>
      <c r="F1146" s="18" t="str">
        <f>IFERROR(__xludf.DUMMYFUNCTION("""COMPUTED_VALUE"""),"Not ranking")</f>
        <v>Not ranking</v>
      </c>
      <c r="G1146" s="17" t="str">
        <f>IFERROR(__xludf.DUMMYFUNCTION("""COMPUTED_VALUE"""),"https://realtree.com/the-realblog-with-stephanie-mallory/taxidermist-discovers-third-eye-when-preparing-deer-for-european")</f>
        <v>https://realtree.com/the-realblog-with-stephanie-mallory/taxidermist-discovers-third-eye-when-preparing-deer-for-european</v>
      </c>
      <c r="H1146" s="18" t="str">
        <f>IFERROR(__xludf.DUMMYFUNCTION("""COMPUTED_VALUE"""),"Not ranking")</f>
        <v>Not ranking</v>
      </c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15" t="str">
        <f>IFERROR(__xludf.DUMMYFUNCTION("""COMPUTED_VALUE"""),"eyes of deer")</f>
        <v>eyes of deer</v>
      </c>
      <c r="B1147" s="15" t="str">
        <f>IFERROR(__xludf.DUMMYFUNCTION("""COMPUTED_VALUE"""),"590")</f>
        <v>590</v>
      </c>
      <c r="C1147" s="15" t="str">
        <f>IFERROR(__xludf.DUMMYFUNCTION("""COMPUTED_VALUE"""),"Not ranking")</f>
        <v>Not ranking</v>
      </c>
      <c r="D1147" s="15" t="str">
        <f>IFERROR(__xludf.DUMMYFUNCTION("""COMPUTED_VALUE"""),"25")</f>
        <v>25</v>
      </c>
      <c r="E1147" s="15" t="str">
        <f>IFERROR(__xludf.DUMMYFUNCTION("""COMPUTED_VALUE"""),"73")</f>
        <v>73</v>
      </c>
      <c r="F1147" s="18" t="str">
        <f>IFERROR(__xludf.DUMMYFUNCTION("""COMPUTED_VALUE"""),"Not ranking")</f>
        <v>Not ranking</v>
      </c>
      <c r="G1147" s="17" t="str">
        <f>IFERROR(__xludf.DUMMYFUNCTION("""COMPUTED_VALUE"""),"https://realtree.com/the-realblog-with-stephanie-mallory/taxidermist-discovers-third-eye-when-preparing-deer-for-european")</f>
        <v>https://realtree.com/the-realblog-with-stephanie-mallory/taxidermist-discovers-third-eye-when-preparing-deer-for-european</v>
      </c>
      <c r="H1147" s="17" t="str">
        <f>IFERROR(__xludf.DUMMYFUNCTION("""COMPUTED_VALUE"""),"https://www.wideopenspaces.com/buck-hidden-third-eye/")</f>
        <v>https://www.wideopenspaces.com/buck-hidden-third-eye/</v>
      </c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15" t="str">
        <f>IFERROR(__xludf.DUMMYFUNCTION("""COMPUTED_VALUE"""),"florida deer hunting season")</f>
        <v>florida deer hunting season</v>
      </c>
      <c r="B1148" s="15" t="str">
        <f>IFERROR(__xludf.DUMMYFUNCTION("""COMPUTED_VALUE"""),"590")</f>
        <v>590</v>
      </c>
      <c r="C1148" s="15" t="str">
        <f>IFERROR(__xludf.DUMMYFUNCTION("""COMPUTED_VALUE"""),"Not ranking")</f>
        <v>Not ranking</v>
      </c>
      <c r="D1148" s="15" t="str">
        <f>IFERROR(__xludf.DUMMYFUNCTION("""COMPUTED_VALUE"""),"24")</f>
        <v>24</v>
      </c>
      <c r="E1148" s="15" t="str">
        <f>IFERROR(__xludf.DUMMYFUNCTION("""COMPUTED_VALUE"""),"Not ranking")</f>
        <v>Not ranking</v>
      </c>
      <c r="F1148" s="18" t="str">
        <f>IFERROR(__xludf.DUMMYFUNCTION("""COMPUTED_VALUE"""),"Not ranking")</f>
        <v>Not ranking</v>
      </c>
      <c r="G1148" s="17" t="str">
        <f>IFERROR(__xludf.DUMMYFUNCTION("""COMPUTED_VALUE"""),"https://realtree.com/deer-hunting/articles/where-to-deer-hunt-in-february")</f>
        <v>https://realtree.com/deer-hunting/articles/where-to-deer-hunt-in-february</v>
      </c>
      <c r="H1148" s="18" t="str">
        <f>IFERROR(__xludf.DUMMYFUNCTION("""COMPUTED_VALUE"""),"Not ranking")</f>
        <v>Not ranking</v>
      </c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15" t="str">
        <f>IFERROR(__xludf.DUMMYFUNCTION("""COMPUTED_VALUE"""),"fort stewart deers")</f>
        <v>fort stewart deers</v>
      </c>
      <c r="B1149" s="15" t="str">
        <f>IFERROR(__xludf.DUMMYFUNCTION("""COMPUTED_VALUE"""),"590")</f>
        <v>590</v>
      </c>
      <c r="C1149" s="15" t="str">
        <f>IFERROR(__xludf.DUMMYFUNCTION("""COMPUTED_VALUE"""),"Not ranking")</f>
        <v>Not ranking</v>
      </c>
      <c r="D1149" s="15" t="str">
        <f>IFERROR(__xludf.DUMMYFUNCTION("""COMPUTED_VALUE"""),"36")</f>
        <v>36</v>
      </c>
      <c r="E1149" s="15" t="str">
        <f>IFERROR(__xludf.DUMMYFUNCTION("""COMPUTED_VALUE"""),"Not ranking")</f>
        <v>Not ranking</v>
      </c>
      <c r="F1149" s="18" t="str">
        <f>IFERROR(__xludf.DUMMYFUNCTION("""COMPUTED_VALUE"""),"Not ranking")</f>
        <v>Not ranking</v>
      </c>
      <c r="G1149" s="17" t="str">
        <f>IFERROR(__xludf.DUMMYFUNCTION("""COMPUTED_VALUE"""),"https://realtree.com/deer-hunting/articles/ultimate-access-deer-hunting-on-military-bases")</f>
        <v>https://realtree.com/deer-hunting/articles/ultimate-access-deer-hunting-on-military-bases</v>
      </c>
      <c r="H1149" s="18" t="str">
        <f>IFERROR(__xludf.DUMMYFUNCTION("""COMPUTED_VALUE"""),"Not ranking")</f>
        <v>Not ranking</v>
      </c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15" t="str">
        <f>IFERROR(__xludf.DUMMYFUNCTION("""COMPUTED_VALUE"""),"homemade deer feeder ideas")</f>
        <v>homemade deer feeder ideas</v>
      </c>
      <c r="B1150" s="15" t="str">
        <f>IFERROR(__xludf.DUMMYFUNCTION("""COMPUTED_VALUE"""),"590")</f>
        <v>590</v>
      </c>
      <c r="C1150" s="15" t="str">
        <f>IFERROR(__xludf.DUMMYFUNCTION("""COMPUTED_VALUE"""),"Not ranking")</f>
        <v>Not ranking</v>
      </c>
      <c r="D1150" s="15" t="str">
        <f>IFERROR(__xludf.DUMMYFUNCTION("""COMPUTED_VALUE"""),"16")</f>
        <v>16</v>
      </c>
      <c r="E1150" s="15" t="str">
        <f>IFERROR(__xludf.DUMMYFUNCTION("""COMPUTED_VALUE"""),"28")</f>
        <v>28</v>
      </c>
      <c r="F1150" s="18" t="str">
        <f>IFERROR(__xludf.DUMMYFUNCTION("""COMPUTED_VALUE"""),"Not ranking")</f>
        <v>Not ranking</v>
      </c>
      <c r="G1150" s="17" t="str">
        <f>IFERROR(__xludf.DUMMYFUNCTION("""COMPUTED_VALUE"""),"https://realtree.com/brow-tines-and-backstrap/how-to-make-a-homemade-deer-feeder")</f>
        <v>https://realtree.com/brow-tines-and-backstrap/how-to-make-a-homemade-deer-feeder</v>
      </c>
      <c r="H1150" s="17" t="str">
        <f>IFERROR(__xludf.DUMMYFUNCTION("""COMPUTED_VALUE"""),"https://www.wideopenspaces.com/if-you-make-a-diy-deer-feeder-dont-do-this/")</f>
        <v>https://www.wideopenspaces.com/if-you-make-a-diy-deer-feeder-dont-do-this/</v>
      </c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15" t="str">
        <f>IFERROR(__xludf.DUMMYFUNCTION("""COMPUTED_VALUE"""),"how long do deers live")</f>
        <v>how long do deers live</v>
      </c>
      <c r="B1151" s="15" t="str">
        <f>IFERROR(__xludf.DUMMYFUNCTION("""COMPUTED_VALUE"""),"590")</f>
        <v>590</v>
      </c>
      <c r="C1151" s="15" t="str">
        <f>IFERROR(__xludf.DUMMYFUNCTION("""COMPUTED_VALUE"""),"Not ranking")</f>
        <v>Not ranking</v>
      </c>
      <c r="D1151" s="15" t="str">
        <f>IFERROR(__xludf.DUMMYFUNCTION("""COMPUTED_VALUE"""),"3")</f>
        <v>3</v>
      </c>
      <c r="E1151" s="15" t="str">
        <f>IFERROR(__xludf.DUMMYFUNCTION("""COMPUTED_VALUE"""),"59")</f>
        <v>59</v>
      </c>
      <c r="F1151" s="18" t="str">
        <f>IFERROR(__xludf.DUMMYFUNCTION("""COMPUTED_VALUE"""),"Not ranking")</f>
        <v>Not ranking</v>
      </c>
      <c r="G1151" s="17" t="str">
        <f>IFERROR(__xludf.DUMMYFUNCTION("""COMPUTED_VALUE"""),"https://realtree.com/brow-tines-and-backstrap/how-long-do-white-tailed-deer-live")</f>
        <v>https://realtree.com/brow-tines-and-backstrap/how-long-do-white-tailed-deer-live</v>
      </c>
      <c r="H1151" s="17" t="str">
        <f>IFERROR(__xludf.DUMMYFUNCTION("""COMPUTED_VALUE"""),"https://www.wideopenspaces.com/lifespan-whitetail-deer/")</f>
        <v>https://www.wideopenspaces.com/lifespan-whitetail-deer/</v>
      </c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15" t="str">
        <f>IFERROR(__xludf.DUMMYFUNCTION("""COMPUTED_VALUE"""),"how much wind is too much for deer hunting")</f>
        <v>how much wind is too much for deer hunting</v>
      </c>
      <c r="B1152" s="15" t="str">
        <f>IFERROR(__xludf.DUMMYFUNCTION("""COMPUTED_VALUE"""),"590")</f>
        <v>590</v>
      </c>
      <c r="C1152" s="15" t="str">
        <f>IFERROR(__xludf.DUMMYFUNCTION("""COMPUTED_VALUE"""),"Not ranking")</f>
        <v>Not ranking</v>
      </c>
      <c r="D1152" s="15" t="str">
        <f>IFERROR(__xludf.DUMMYFUNCTION("""COMPUTED_VALUE"""),"10")</f>
        <v>10</v>
      </c>
      <c r="E1152" s="15" t="str">
        <f>IFERROR(__xludf.DUMMYFUNCTION("""COMPUTED_VALUE"""),"Not ranking")</f>
        <v>Not ranking</v>
      </c>
      <c r="F1152" s="18" t="str">
        <f>IFERROR(__xludf.DUMMYFUNCTION("""COMPUTED_VALUE"""),"Not ranking")</f>
        <v>Not ranking</v>
      </c>
      <c r="G1152" s="17" t="str">
        <f>IFERROR(__xludf.DUMMYFUNCTION("""COMPUTED_VALUE"""),"https://realtree.com/brow-tines-and-backstrap/why-windy-days-are-great-for-deer-hunting")</f>
        <v>https://realtree.com/brow-tines-and-backstrap/why-windy-days-are-great-for-deer-hunting</v>
      </c>
      <c r="H1152" s="18" t="str">
        <f>IFERROR(__xludf.DUMMYFUNCTION("""COMPUTED_VALUE"""),"Not ranking")</f>
        <v>Not ranking</v>
      </c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15" t="str">
        <f>IFERROR(__xludf.DUMMYFUNCTION("""COMPUTED_VALUE"""),"how to count deer points")</f>
        <v>how to count deer points</v>
      </c>
      <c r="B1153" s="15" t="str">
        <f>IFERROR(__xludf.DUMMYFUNCTION("""COMPUTED_VALUE"""),"590")</f>
        <v>590</v>
      </c>
      <c r="C1153" s="15" t="str">
        <f>IFERROR(__xludf.DUMMYFUNCTION("""COMPUTED_VALUE"""),"Not ranking")</f>
        <v>Not ranking</v>
      </c>
      <c r="D1153" s="15" t="str">
        <f>IFERROR(__xludf.DUMMYFUNCTION("""COMPUTED_VALUE"""),"6")</f>
        <v>6</v>
      </c>
      <c r="E1153" s="15" t="str">
        <f>IFERROR(__xludf.DUMMYFUNCTION("""COMPUTED_VALUE"""),"65")</f>
        <v>65</v>
      </c>
      <c r="F1153" s="18" t="str">
        <f>IFERROR(__xludf.DUMMYFUNCTION("""COMPUTED_VALUE"""),"Not ranking")</f>
        <v>Not ranking</v>
      </c>
      <c r="G1153" s="17" t="str">
        <f>IFERROR(__xludf.DUMMYFUNCTION("""COMPUTED_VALUE"""),"https://realtree.com/deer-hunting/articles/how-to-score-a-buck-on-the-boone-and-crocket-scale")</f>
        <v>https://realtree.com/deer-hunting/articles/how-to-score-a-buck-on-the-boone-and-crocket-scale</v>
      </c>
      <c r="H1153" s="17" t="str">
        <f>IFERROR(__xludf.DUMMYFUNCTION("""COMPUTED_VALUE"""),"https://www.wideopenspaces.com/typical-vs-non-typical-deer/")</f>
        <v>https://www.wideopenspaces.com/typical-vs-non-typical-deer/</v>
      </c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15" t="str">
        <f>IFERROR(__xludf.DUMMYFUNCTION("""COMPUTED_VALUE"""),"how to drawing deer")</f>
        <v>how to drawing deer</v>
      </c>
      <c r="B1154" s="15" t="str">
        <f>IFERROR(__xludf.DUMMYFUNCTION("""COMPUTED_VALUE"""),"590")</f>
        <v>590</v>
      </c>
      <c r="C1154" s="15" t="str">
        <f>IFERROR(__xludf.DUMMYFUNCTION("""COMPUTED_VALUE"""),"Not ranking")</f>
        <v>Not ranking</v>
      </c>
      <c r="D1154" s="15" t="str">
        <f>IFERROR(__xludf.DUMMYFUNCTION("""COMPUTED_VALUE"""),"65")</f>
        <v>65</v>
      </c>
      <c r="E1154" s="15" t="str">
        <f>IFERROR(__xludf.DUMMYFUNCTION("""COMPUTED_VALUE"""),"Not ranking")</f>
        <v>Not ranking</v>
      </c>
      <c r="F1154" s="18" t="str">
        <f>IFERROR(__xludf.DUMMYFUNCTION("""COMPUTED_VALUE"""),"Not ranking")</f>
        <v>Not ranking</v>
      </c>
      <c r="G1154" s="17" t="str">
        <f>IFERROR(__xludf.DUMMYFUNCTION("""COMPUTED_VALUE"""),"https://realtree.com/brow-tines-and-backstrap/when-to-draw-your-bow-on-deer")</f>
        <v>https://realtree.com/brow-tines-and-backstrap/when-to-draw-your-bow-on-deer</v>
      </c>
      <c r="H1154" s="18" t="str">
        <f>IFERROR(__xludf.DUMMYFUNCTION("""COMPUTED_VALUE"""),"Not ranking")</f>
        <v>Not ranking</v>
      </c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15" t="str">
        <f>IFERROR(__xludf.DUMMYFUNCTION("""COMPUTED_VALUE"""),"illinois deer tags")</f>
        <v>illinois deer tags</v>
      </c>
      <c r="B1155" s="15" t="str">
        <f>IFERROR(__xludf.DUMMYFUNCTION("""COMPUTED_VALUE"""),"590")</f>
        <v>590</v>
      </c>
      <c r="C1155" s="15" t="str">
        <f>IFERROR(__xludf.DUMMYFUNCTION("""COMPUTED_VALUE"""),"Not ranking")</f>
        <v>Not ranking</v>
      </c>
      <c r="D1155" s="15" t="str">
        <f>IFERROR(__xludf.DUMMYFUNCTION("""COMPUTED_VALUE"""),"Not ranking")</f>
        <v>Not ranking</v>
      </c>
      <c r="E1155" s="15" t="str">
        <f>IFERROR(__xludf.DUMMYFUNCTION("""COMPUTED_VALUE"""),"18")</f>
        <v>18</v>
      </c>
      <c r="F1155" s="18" t="str">
        <f>IFERROR(__xludf.DUMMYFUNCTION("""COMPUTED_VALUE"""),"Not ranking")</f>
        <v>Not ranking</v>
      </c>
      <c r="G1155" s="18" t="str">
        <f>IFERROR(__xludf.DUMMYFUNCTION("""COMPUTED_VALUE"""),"Not ranking")</f>
        <v>Not ranking</v>
      </c>
      <c r="H1155" s="17" t="str">
        <f>IFERROR(__xludf.DUMMYFUNCTION("""COMPUTED_VALUE"""),"https://www.wideopenspaces.com/deer-hunting-in-illinois-does-a-boone-crockett-buck-await/")</f>
        <v>https://www.wideopenspaces.com/deer-hunting-in-illinois-does-a-boone-crockett-buck-await/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15" t="str">
        <f>IFERROR(__xludf.DUMMYFUNCTION("""COMPUTED_VALUE"""),"indiana deer seasons")</f>
        <v>indiana deer seasons</v>
      </c>
      <c r="B1156" s="15" t="str">
        <f>IFERROR(__xludf.DUMMYFUNCTION("""COMPUTED_VALUE"""),"590")</f>
        <v>590</v>
      </c>
      <c r="C1156" s="15" t="str">
        <f>IFERROR(__xludf.DUMMYFUNCTION("""COMPUTED_VALUE"""),"Not ranking")</f>
        <v>Not ranking</v>
      </c>
      <c r="D1156" s="15" t="str">
        <f>IFERROR(__xludf.DUMMYFUNCTION("""COMPUTED_VALUE"""),"Not ranking")</f>
        <v>Not ranking</v>
      </c>
      <c r="E1156" s="15" t="str">
        <f>IFERROR(__xludf.DUMMYFUNCTION("""COMPUTED_VALUE"""),"59")</f>
        <v>59</v>
      </c>
      <c r="F1156" s="18" t="str">
        <f>IFERROR(__xludf.DUMMYFUNCTION("""COMPUTED_VALUE"""),"Not ranking")</f>
        <v>Not ranking</v>
      </c>
      <c r="G1156" s="18" t="str">
        <f>IFERROR(__xludf.DUMMYFUNCTION("""COMPUTED_VALUE"""),"Not ranking")</f>
        <v>Not ranking</v>
      </c>
      <c r="H1156" s="17" t="str">
        <f>IFERROR(__xludf.DUMMYFUNCTION("""COMPUTED_VALUE"""),"https://www.wideopenspaces.com/indiana-hunting-license/")</f>
        <v>https://www.wideopenspaces.com/indiana-hunting-license/</v>
      </c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15" t="str">
        <f>IFERROR(__xludf.DUMMYFUNCTION("""COMPUTED_VALUE"""),"iowa deer hunting season")</f>
        <v>iowa deer hunting season</v>
      </c>
      <c r="B1157" s="15" t="str">
        <f>IFERROR(__xludf.DUMMYFUNCTION("""COMPUTED_VALUE"""),"590")</f>
        <v>590</v>
      </c>
      <c r="C1157" s="15" t="str">
        <f>IFERROR(__xludf.DUMMYFUNCTION("""COMPUTED_VALUE"""),"Not ranking")</f>
        <v>Not ranking</v>
      </c>
      <c r="D1157" s="15" t="str">
        <f>IFERROR(__xludf.DUMMYFUNCTION("""COMPUTED_VALUE"""),"97")</f>
        <v>97</v>
      </c>
      <c r="E1157" s="15" t="str">
        <f>IFERROR(__xludf.DUMMYFUNCTION("""COMPUTED_VALUE"""),"Not ranking")</f>
        <v>Not ranking</v>
      </c>
      <c r="F1157" s="18" t="str">
        <f>IFERROR(__xludf.DUMMYFUNCTION("""COMPUTED_VALUE"""),"Not ranking")</f>
        <v>Not ranking</v>
      </c>
      <c r="G1157" s="17" t="str">
        <f>IFERROR(__xludf.DUMMYFUNCTION("""COMPUTED_VALUE"""),"https://realtree.com/deer-hunting/articles/the-great-debate-firearms-hunting-seasons-during-the-rut")</f>
        <v>https://realtree.com/deer-hunting/articles/the-great-debate-firearms-hunting-seasons-during-the-rut</v>
      </c>
      <c r="H1157" s="18" t="str">
        <f>IFERROR(__xludf.DUMMYFUNCTION("""COMPUTED_VALUE"""),"Not ranking")</f>
        <v>Not ranking</v>
      </c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15" t="str">
        <f>IFERROR(__xludf.DUMMYFUNCTION("""COMPUTED_VALUE"""),"iowa deer seasons")</f>
        <v>iowa deer seasons</v>
      </c>
      <c r="B1158" s="15" t="str">
        <f>IFERROR(__xludf.DUMMYFUNCTION("""COMPUTED_VALUE"""),"590")</f>
        <v>590</v>
      </c>
      <c r="C1158" s="15" t="str">
        <f>IFERROR(__xludf.DUMMYFUNCTION("""COMPUTED_VALUE"""),"Not ranking")</f>
        <v>Not ranking</v>
      </c>
      <c r="D1158" s="15" t="str">
        <f>IFERROR(__xludf.DUMMYFUNCTION("""COMPUTED_VALUE"""),"77")</f>
        <v>77</v>
      </c>
      <c r="E1158" s="15" t="str">
        <f>IFERROR(__xludf.DUMMYFUNCTION("""COMPUTED_VALUE"""),"Not ranking")</f>
        <v>Not ranking</v>
      </c>
      <c r="F1158" s="18" t="str">
        <f>IFERROR(__xludf.DUMMYFUNCTION("""COMPUTED_VALUE"""),"Not ranking")</f>
        <v>Not ranking</v>
      </c>
      <c r="G1158" s="17" t="str">
        <f>IFERROR(__xludf.DUMMYFUNCTION("""COMPUTED_VALUE"""),"https://realtree.com/brow-tines-and-backstrap/iowa-law-expands-rifle-options-for-late-season-antlerless-hunts")</f>
        <v>https://realtree.com/brow-tines-and-backstrap/iowa-law-expands-rifle-options-for-late-season-antlerless-hunts</v>
      </c>
      <c r="H1158" s="18" t="str">
        <f>IFERROR(__xludf.DUMMYFUNCTION("""COMPUTED_VALUE"""),"Not ranking")</f>
        <v>Not ranking</v>
      </c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15" t="str">
        <f>IFERROR(__xludf.DUMMYFUNCTION("""COMPUTED_VALUE"""),"kentucky deer hunting season")</f>
        <v>kentucky deer hunting season</v>
      </c>
      <c r="B1159" s="15" t="str">
        <f>IFERROR(__xludf.DUMMYFUNCTION("""COMPUTED_VALUE"""),"590")</f>
        <v>590</v>
      </c>
      <c r="C1159" s="15" t="str">
        <f>IFERROR(__xludf.DUMMYFUNCTION("""COMPUTED_VALUE"""),"Not ranking")</f>
        <v>Not ranking</v>
      </c>
      <c r="D1159" s="15" t="str">
        <f>IFERROR(__xludf.DUMMYFUNCTION("""COMPUTED_VALUE"""),"16")</f>
        <v>16</v>
      </c>
      <c r="E1159" s="15" t="str">
        <f>IFERROR(__xludf.DUMMYFUNCTION("""COMPUTED_VALUE"""),"Not ranking")</f>
        <v>Not ranking</v>
      </c>
      <c r="F1159" s="18" t="str">
        <f>IFERROR(__xludf.DUMMYFUNCTION("""COMPUTED_VALUE"""),"Not ranking")</f>
        <v>Not ranking</v>
      </c>
      <c r="G1159" s="17" t="str">
        <f>IFERROR(__xludf.DUMMYFUNCTION("""COMPUTED_VALUE"""),"https://realtree.com/brow-tines-and-backstrap/kentucky-proposes-massive-changes-to-deer-hunting-seasons-and-regulations")</f>
        <v>https://realtree.com/brow-tines-and-backstrap/kentucky-proposes-massive-changes-to-deer-hunting-seasons-and-regulations</v>
      </c>
      <c r="H1159" s="18" t="str">
        <f>IFERROR(__xludf.DUMMYFUNCTION("""COMPUTED_VALUE"""),"Not ranking")</f>
        <v>Not ranking</v>
      </c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15" t="str">
        <f>IFERROR(__xludf.DUMMYFUNCTION("""COMPUTED_VALUE"""),"ladder stands for deer hunting")</f>
        <v>ladder stands for deer hunting</v>
      </c>
      <c r="B1160" s="15" t="str">
        <f>IFERROR(__xludf.DUMMYFUNCTION("""COMPUTED_VALUE"""),"590")</f>
        <v>590</v>
      </c>
      <c r="C1160" s="15" t="str">
        <f>IFERROR(__xludf.DUMMYFUNCTION("""COMPUTED_VALUE"""),"Not ranking")</f>
        <v>Not ranking</v>
      </c>
      <c r="D1160" s="15" t="str">
        <f>IFERROR(__xludf.DUMMYFUNCTION("""COMPUTED_VALUE"""),"52")</f>
        <v>52</v>
      </c>
      <c r="E1160" s="15" t="str">
        <f>IFERROR(__xludf.DUMMYFUNCTION("""COMPUTED_VALUE"""),"99")</f>
        <v>99</v>
      </c>
      <c r="F1160" s="18" t="str">
        <f>IFERROR(__xludf.DUMMYFUNCTION("""COMPUTED_VALUE"""),"Not ranking")</f>
        <v>Not ranking</v>
      </c>
      <c r="G1160" s="17" t="str">
        <f>IFERROR(__xludf.DUMMYFUNCTION("""COMPUTED_VALUE"""),"https://realtree.com/brow-tines-and-backstrap/4-tips-for-bowhunting-from-ladder-stands")</f>
        <v>https://realtree.com/brow-tines-and-backstrap/4-tips-for-bowhunting-from-ladder-stands</v>
      </c>
      <c r="H1160" s="17" t="str">
        <f>IFERROR(__xludf.DUMMYFUNCTION("""COMPUTED_VALUE"""),"https://www.wideopenspaces.com/6-of-the-best-ladder-treestands-you-can-buy/")</f>
        <v>https://www.wideopenspaces.com/6-of-the-best-ladder-treestands-you-can-buy/</v>
      </c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15" t="str">
        <f>IFERROR(__xludf.DUMMYFUNCTION("""COMPUTED_VALUE"""),"metal deer feeder")</f>
        <v>metal deer feeder</v>
      </c>
      <c r="B1161" s="15" t="str">
        <f>IFERROR(__xludf.DUMMYFUNCTION("""COMPUTED_VALUE"""),"590")</f>
        <v>590</v>
      </c>
      <c r="C1161" s="15" t="str">
        <f>IFERROR(__xludf.DUMMYFUNCTION("""COMPUTED_VALUE"""),"Not ranking")</f>
        <v>Not ranking</v>
      </c>
      <c r="D1161" s="15" t="str">
        <f>IFERROR(__xludf.DUMMYFUNCTION("""COMPUTED_VALUE"""),"Not ranking")</f>
        <v>Not ranking</v>
      </c>
      <c r="E1161" s="15" t="str">
        <f>IFERROR(__xludf.DUMMYFUNCTION("""COMPUTED_VALUE"""),"56")</f>
        <v>56</v>
      </c>
      <c r="F1161" s="18" t="str">
        <f>IFERROR(__xludf.DUMMYFUNCTION("""COMPUTED_VALUE"""),"Not ranking")</f>
        <v>Not ranking</v>
      </c>
      <c r="G1161" s="18" t="str">
        <f>IFERROR(__xludf.DUMMYFUNCTION("""COMPUTED_VALUE"""),"Not ranking")</f>
        <v>Not ranking</v>
      </c>
      <c r="H1161" s="17" t="str">
        <f>IFERROR(__xludf.DUMMYFUNCTION("""COMPUTED_VALUE"""),"https://www.wideopenspaces.com/best-deer-feeders/")</f>
        <v>https://www.wideopenspaces.com/best-deer-feeders/</v>
      </c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15" t="str">
        <f>IFERROR(__xludf.DUMMYFUNCTION("""COMPUTED_VALUE"""),"michigan deer harvest reporting")</f>
        <v>michigan deer harvest reporting</v>
      </c>
      <c r="B1162" s="15" t="str">
        <f>IFERROR(__xludf.DUMMYFUNCTION("""COMPUTED_VALUE"""),"590")</f>
        <v>590</v>
      </c>
      <c r="C1162" s="15" t="str">
        <f>IFERROR(__xludf.DUMMYFUNCTION("""COMPUTED_VALUE"""),"Not ranking")</f>
        <v>Not ranking</v>
      </c>
      <c r="D1162" s="15" t="str">
        <f>IFERROR(__xludf.DUMMYFUNCTION("""COMPUTED_VALUE"""),"Not ranking")</f>
        <v>Not ranking</v>
      </c>
      <c r="E1162" s="15" t="str">
        <f>IFERROR(__xludf.DUMMYFUNCTION("""COMPUTED_VALUE"""),"40")</f>
        <v>40</v>
      </c>
      <c r="F1162" s="18" t="str">
        <f>IFERROR(__xludf.DUMMYFUNCTION("""COMPUTED_VALUE"""),"Not ranking")</f>
        <v>Not ranking</v>
      </c>
      <c r="G1162" s="18" t="str">
        <f>IFERROR(__xludf.DUMMYFUNCTION("""COMPUTED_VALUE"""),"Not ranking")</f>
        <v>Not ranking</v>
      </c>
      <c r="H1162" s="17" t="str">
        <f>IFERROR(__xludf.DUMMYFUNCTION("""COMPUTED_VALUE"""),"https://www.wideopenspaces.com/michigan-deer-reporting/")</f>
        <v>https://www.wideopenspaces.com/michigan-deer-reporting/</v>
      </c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15" t="str">
        <f>IFERROR(__xludf.DUMMYFUNCTION("""COMPUTED_VALUE"""),"minnesota deer harvest 2022")</f>
        <v>minnesota deer harvest 2022</v>
      </c>
      <c r="B1163" s="15" t="str">
        <f>IFERROR(__xludf.DUMMYFUNCTION("""COMPUTED_VALUE"""),"590")</f>
        <v>590</v>
      </c>
      <c r="C1163" s="15" t="str">
        <f>IFERROR(__xludf.DUMMYFUNCTION("""COMPUTED_VALUE"""),"Not ranking")</f>
        <v>Not ranking</v>
      </c>
      <c r="D1163" s="15" t="str">
        <f>IFERROR(__xludf.DUMMYFUNCTION("""COMPUTED_VALUE"""),"Not ranking")</f>
        <v>Not ranking</v>
      </c>
      <c r="E1163" s="15" t="str">
        <f>IFERROR(__xludf.DUMMYFUNCTION("""COMPUTED_VALUE"""),"47")</f>
        <v>47</v>
      </c>
      <c r="F1163" s="18" t="str">
        <f>IFERROR(__xludf.DUMMYFUNCTION("""COMPUTED_VALUE"""),"Not ranking")</f>
        <v>Not ranking</v>
      </c>
      <c r="G1163" s="18" t="str">
        <f>IFERROR(__xludf.DUMMYFUNCTION("""COMPUTED_VALUE"""),"Not ranking")</f>
        <v>Not ranking</v>
      </c>
      <c r="H1163" s="17" t="str">
        <f>IFERROR(__xludf.DUMMYFUNCTION("""COMPUTED_VALUE"""),"https://www.wideopenspaces.com/minnesota-deer-hunting/")</f>
        <v>https://www.wideopenspaces.com/minnesota-deer-hunting/</v>
      </c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15" t="str">
        <f>IFERROR(__xludf.DUMMYFUNCTION("""COMPUTED_VALUE"""),"minnesota deer license")</f>
        <v>minnesota deer license</v>
      </c>
      <c r="B1164" s="15" t="str">
        <f>IFERROR(__xludf.DUMMYFUNCTION("""COMPUTED_VALUE"""),"590")</f>
        <v>590</v>
      </c>
      <c r="C1164" s="15" t="str">
        <f>IFERROR(__xludf.DUMMYFUNCTION("""COMPUTED_VALUE"""),"Not ranking")</f>
        <v>Not ranking</v>
      </c>
      <c r="D1164" s="15" t="str">
        <f>IFERROR(__xludf.DUMMYFUNCTION("""COMPUTED_VALUE"""),"Not ranking")</f>
        <v>Not ranking</v>
      </c>
      <c r="E1164" s="15" t="str">
        <f>IFERROR(__xludf.DUMMYFUNCTION("""COMPUTED_VALUE"""),"37")</f>
        <v>37</v>
      </c>
      <c r="F1164" s="18" t="str">
        <f>IFERROR(__xludf.DUMMYFUNCTION("""COMPUTED_VALUE"""),"Not ranking")</f>
        <v>Not ranking</v>
      </c>
      <c r="G1164" s="18" t="str">
        <f>IFERROR(__xludf.DUMMYFUNCTION("""COMPUTED_VALUE"""),"Not ranking")</f>
        <v>Not ranking</v>
      </c>
      <c r="H1164" s="17" t="str">
        <f>IFERROR(__xludf.DUMMYFUNCTION("""COMPUTED_VALUE"""),"https://www.wideopenspaces.com/mn-deer-hunting-zones/")</f>
        <v>https://www.wideopenspaces.com/mn-deer-hunting-zones/</v>
      </c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15" t="str">
        <f>IFERROR(__xludf.DUMMYFUNCTION("""COMPUTED_VALUE"""),"missouri deer hunting regulations 2022")</f>
        <v>missouri deer hunting regulations 2022</v>
      </c>
      <c r="B1165" s="15" t="str">
        <f>IFERROR(__xludf.DUMMYFUNCTION("""COMPUTED_VALUE"""),"590")</f>
        <v>590</v>
      </c>
      <c r="C1165" s="15" t="str">
        <f>IFERROR(__xludf.DUMMYFUNCTION("""COMPUTED_VALUE"""),"Not ranking")</f>
        <v>Not ranking</v>
      </c>
      <c r="D1165" s="15" t="str">
        <f>IFERROR(__xludf.DUMMYFUNCTION("""COMPUTED_VALUE"""),"Not ranking")</f>
        <v>Not ranking</v>
      </c>
      <c r="E1165" s="15" t="str">
        <f>IFERROR(__xludf.DUMMYFUNCTION("""COMPUTED_VALUE"""),"48")</f>
        <v>48</v>
      </c>
      <c r="F1165" s="18" t="str">
        <f>IFERROR(__xludf.DUMMYFUNCTION("""COMPUTED_VALUE"""),"Not ranking")</f>
        <v>Not ranking</v>
      </c>
      <c r="G1165" s="18" t="str">
        <f>IFERROR(__xludf.DUMMYFUNCTION("""COMPUTED_VALUE"""),"Not ranking")</f>
        <v>Not ranking</v>
      </c>
      <c r="H1165" s="17" t="str">
        <f>IFERROR(__xludf.DUMMYFUNCTION("""COMPUTED_VALUE"""),"https://www.wideopenspaces.com/when-does-deer-season-end-in-missouri/")</f>
        <v>https://www.wideopenspaces.com/when-does-deer-season-end-in-missouri/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15" t="str">
        <f>IFERROR(__xludf.DUMMYFUNCTION("""COMPUTED_VALUE"""),"missouri deer hunting season")</f>
        <v>missouri deer hunting season</v>
      </c>
      <c r="B1166" s="15" t="str">
        <f>IFERROR(__xludf.DUMMYFUNCTION("""COMPUTED_VALUE"""),"590")</f>
        <v>590</v>
      </c>
      <c r="C1166" s="15" t="str">
        <f>IFERROR(__xludf.DUMMYFUNCTION("""COMPUTED_VALUE"""),"Not ranking")</f>
        <v>Not ranking</v>
      </c>
      <c r="D1166" s="15" t="str">
        <f>IFERROR(__xludf.DUMMYFUNCTION("""COMPUTED_VALUE"""),"Not ranking")</f>
        <v>Not ranking</v>
      </c>
      <c r="E1166" s="15" t="str">
        <f>IFERROR(__xludf.DUMMYFUNCTION("""COMPUTED_VALUE"""),"61")</f>
        <v>61</v>
      </c>
      <c r="F1166" s="18" t="str">
        <f>IFERROR(__xludf.DUMMYFUNCTION("""COMPUTED_VALUE"""),"Not ranking")</f>
        <v>Not ranking</v>
      </c>
      <c r="G1166" s="18" t="str">
        <f>IFERROR(__xludf.DUMMYFUNCTION("""COMPUTED_VALUE"""),"Not ranking")</f>
        <v>Not ranking</v>
      </c>
      <c r="H1166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15" t="str">
        <f>IFERROR(__xludf.DUMMYFUNCTION("""COMPUTED_VALUE"""),"mn deer license")</f>
        <v>mn deer license</v>
      </c>
      <c r="B1167" s="15" t="str">
        <f>IFERROR(__xludf.DUMMYFUNCTION("""COMPUTED_VALUE"""),"590")</f>
        <v>590</v>
      </c>
      <c r="C1167" s="15" t="str">
        <f>IFERROR(__xludf.DUMMYFUNCTION("""COMPUTED_VALUE"""),"Not ranking")</f>
        <v>Not ranking</v>
      </c>
      <c r="D1167" s="15" t="str">
        <f>IFERROR(__xludf.DUMMYFUNCTION("""COMPUTED_VALUE"""),"Not ranking")</f>
        <v>Not ranking</v>
      </c>
      <c r="E1167" s="15" t="str">
        <f>IFERROR(__xludf.DUMMYFUNCTION("""COMPUTED_VALUE"""),"40")</f>
        <v>40</v>
      </c>
      <c r="F1167" s="18" t="str">
        <f>IFERROR(__xludf.DUMMYFUNCTION("""COMPUTED_VALUE"""),"Not ranking")</f>
        <v>Not ranking</v>
      </c>
      <c r="G1167" s="18" t="str">
        <f>IFERROR(__xludf.DUMMYFUNCTION("""COMPUTED_VALUE"""),"Not ranking")</f>
        <v>Not ranking</v>
      </c>
      <c r="H1167" s="17" t="str">
        <f>IFERROR(__xludf.DUMMYFUNCTION("""COMPUTED_VALUE"""),"https://www.wideopenspaces.com/mn-deer-hunting-zones/")</f>
        <v>https://www.wideopenspaces.com/mn-deer-hunting-zones/</v>
      </c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15" t="str">
        <f>IFERROR(__xludf.DUMMYFUNCTION("""COMPUTED_VALUE"""),"mn deer zones")</f>
        <v>mn deer zones</v>
      </c>
      <c r="B1168" s="15" t="str">
        <f>IFERROR(__xludf.DUMMYFUNCTION("""COMPUTED_VALUE"""),"590")</f>
        <v>590</v>
      </c>
      <c r="C1168" s="15" t="str">
        <f>IFERROR(__xludf.DUMMYFUNCTION("""COMPUTED_VALUE"""),"Not ranking")</f>
        <v>Not ranking</v>
      </c>
      <c r="D1168" s="15" t="str">
        <f>IFERROR(__xludf.DUMMYFUNCTION("""COMPUTED_VALUE"""),"Not ranking")</f>
        <v>Not ranking</v>
      </c>
      <c r="E1168" s="15" t="str">
        <f>IFERROR(__xludf.DUMMYFUNCTION("""COMPUTED_VALUE"""),"8")</f>
        <v>8</v>
      </c>
      <c r="F1168" s="18" t="str">
        <f>IFERROR(__xludf.DUMMYFUNCTION("""COMPUTED_VALUE"""),"Not ranking")</f>
        <v>Not ranking</v>
      </c>
      <c r="G1168" s="18" t="str">
        <f>IFERROR(__xludf.DUMMYFUNCTION("""COMPUTED_VALUE"""),"Not ranking")</f>
        <v>Not ranking</v>
      </c>
      <c r="H1168" s="17" t="str">
        <f>IFERROR(__xludf.DUMMYFUNCTION("""COMPUTED_VALUE"""),"https://www.wideopenspaces.com/mn-deer-hunting-zones/")</f>
        <v>https://www.wideopenspaces.com/mn-deer-hunting-zones/</v>
      </c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15" t="str">
        <f>IFERROR(__xludf.DUMMYFUNCTION("""COMPUTED_VALUE"""),"mn dnr deer hunting")</f>
        <v>mn dnr deer hunting</v>
      </c>
      <c r="B1169" s="15" t="str">
        <f>IFERROR(__xludf.DUMMYFUNCTION("""COMPUTED_VALUE"""),"590")</f>
        <v>590</v>
      </c>
      <c r="C1169" s="15" t="str">
        <f>IFERROR(__xludf.DUMMYFUNCTION("""COMPUTED_VALUE"""),"Not ranking")</f>
        <v>Not ranking</v>
      </c>
      <c r="D1169" s="15" t="str">
        <f>IFERROR(__xludf.DUMMYFUNCTION("""COMPUTED_VALUE"""),"82")</f>
        <v>82</v>
      </c>
      <c r="E1169" s="15" t="str">
        <f>IFERROR(__xludf.DUMMYFUNCTION("""COMPUTED_VALUE"""),"55")</f>
        <v>55</v>
      </c>
      <c r="F1169" s="18" t="str">
        <f>IFERROR(__xludf.DUMMYFUNCTION("""COMPUTED_VALUE"""),"Not ranking")</f>
        <v>Not ranking</v>
      </c>
      <c r="G1169" s="17" t="str">
        <f>IFERROR(__xludf.DUMMYFUNCTION("""COMPUTED_VALUE"""),"https://realtree.com/")</f>
        <v>https://realtree.com/</v>
      </c>
      <c r="H1169" s="17" t="str">
        <f>IFERROR(__xludf.DUMMYFUNCTION("""COMPUTED_VALUE"""),"https://www.wideopenspaces.com/minnesota-deer-hunting/")</f>
        <v>https://www.wideopenspaces.com/minnesota-deer-hunting/</v>
      </c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15" t="str">
        <f>IFERROR(__xludf.DUMMYFUNCTION("""COMPUTED_VALUE"""),"mule deer pictures")</f>
        <v>mule deer pictures</v>
      </c>
      <c r="B1170" s="15" t="str">
        <f>IFERROR(__xludf.DUMMYFUNCTION("""COMPUTED_VALUE"""),"590")</f>
        <v>590</v>
      </c>
      <c r="C1170" s="15" t="str">
        <f>IFERROR(__xludf.DUMMYFUNCTION("""COMPUTED_VALUE"""),"Not ranking")</f>
        <v>Not ranking</v>
      </c>
      <c r="D1170" s="15" t="str">
        <f>IFERROR(__xludf.DUMMYFUNCTION("""COMPUTED_VALUE"""),"84")</f>
        <v>84</v>
      </c>
      <c r="E1170" s="15" t="str">
        <f>IFERROR(__xludf.DUMMYFUNCTION("""COMPUTED_VALUE"""),"Not ranking")</f>
        <v>Not ranking</v>
      </c>
      <c r="F1170" s="18" t="str">
        <f>IFERROR(__xludf.DUMMYFUNCTION("""COMPUTED_VALUE"""),"Not ranking")</f>
        <v>Not ranking</v>
      </c>
      <c r="G1170" s="17" t="str">
        <f>IFERROR(__xludf.DUMMYFUNCTION("""COMPUTED_VALUE"""),"https://realtree.com/deer-hunting/articles/8-major-differences-between-whitetails-and-mule-deer")</f>
        <v>https://realtree.com/deer-hunting/articles/8-major-differences-between-whitetails-and-mule-deer</v>
      </c>
      <c r="H1170" s="18" t="str">
        <f>IFERROR(__xludf.DUMMYFUNCTION("""COMPUTED_VALUE"""),"Not ranking")</f>
        <v>Not ranking</v>
      </c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15" t="str">
        <f>IFERROR(__xludf.DUMMYFUNCTION("""COMPUTED_VALUE"""),"names for deer")</f>
        <v>names for deer</v>
      </c>
      <c r="B1171" s="15" t="str">
        <f>IFERROR(__xludf.DUMMYFUNCTION("""COMPUTED_VALUE"""),"590")</f>
        <v>590</v>
      </c>
      <c r="C1171" s="15" t="str">
        <f>IFERROR(__xludf.DUMMYFUNCTION("""COMPUTED_VALUE"""),"Not ranking")</f>
        <v>Not ranking</v>
      </c>
      <c r="D1171" s="15" t="str">
        <f>IFERROR(__xludf.DUMMYFUNCTION("""COMPUTED_VALUE"""),"Not ranking")</f>
        <v>Not ranking</v>
      </c>
      <c r="E1171" s="15" t="str">
        <f>IFERROR(__xludf.DUMMYFUNCTION("""COMPUTED_VALUE"""),"12")</f>
        <v>12</v>
      </c>
      <c r="F1171" s="18" t="str">
        <f>IFERROR(__xludf.DUMMYFUNCTION("""COMPUTED_VALUE"""),"Not ranking")</f>
        <v>Not ranking</v>
      </c>
      <c r="G1171" s="18" t="str">
        <f>IFERROR(__xludf.DUMMYFUNCTION("""COMPUTED_VALUE"""),"Not ranking")</f>
        <v>Not ranking</v>
      </c>
      <c r="H1171" s="17" t="str">
        <f>IFERROR(__xludf.DUMMYFUNCTION("""COMPUTED_VALUE"""),"https://www.wideopenspaces.com/trouble-naming-your-hit-list-buck-65-buck-nicknames/")</f>
        <v>https://www.wideopenspaces.com/trouble-naming-your-hit-list-buck-65-buck-nicknames/</v>
      </c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15" t="str">
        <f>IFERROR(__xludf.DUMMYFUNCTION("""COMPUTED_VALUE"""),"nd deer gun season 2022")</f>
        <v>nd deer gun season 2022</v>
      </c>
      <c r="B1172" s="15" t="str">
        <f>IFERROR(__xludf.DUMMYFUNCTION("""COMPUTED_VALUE"""),"590")</f>
        <v>590</v>
      </c>
      <c r="C1172" s="15" t="str">
        <f>IFERROR(__xludf.DUMMYFUNCTION("""COMPUTED_VALUE"""),"Not ranking")</f>
        <v>Not ranking</v>
      </c>
      <c r="D1172" s="15" t="str">
        <f>IFERROR(__xludf.DUMMYFUNCTION("""COMPUTED_VALUE"""),"55")</f>
        <v>55</v>
      </c>
      <c r="E1172" s="15" t="str">
        <f>IFERROR(__xludf.DUMMYFUNCTION("""COMPUTED_VALUE"""),"Not ranking")</f>
        <v>Not ranking</v>
      </c>
      <c r="F1172" s="18" t="str">
        <f>IFERROR(__xludf.DUMMYFUNCTION("""COMPUTED_VALUE"""),"Not ranking")</f>
        <v>Not ranking</v>
      </c>
      <c r="G1172" s="17" t="str">
        <f>IFERROR(__xludf.DUMMYFUNCTION("""COMPUTED_VALUE"""),"https://realtree.com/deer-hunting/articles/the-best-times-to-deer-hunt-in-2022")</f>
        <v>https://realtree.com/deer-hunting/articles/the-best-times-to-deer-hunt-in-2022</v>
      </c>
      <c r="H1172" s="18" t="str">
        <f>IFERROR(__xludf.DUMMYFUNCTION("""COMPUTED_VALUE"""),"Not ranking")</f>
        <v>Not ranking</v>
      </c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15" t="str">
        <f>IFERROR(__xludf.DUMMYFUNCTION("""COMPUTED_VALUE"""),"north carolina deer season 2022")</f>
        <v>north carolina deer season 2022</v>
      </c>
      <c r="B1173" s="15" t="str">
        <f>IFERROR(__xludf.DUMMYFUNCTION("""COMPUTED_VALUE"""),"590")</f>
        <v>590</v>
      </c>
      <c r="C1173" s="15" t="str">
        <f>IFERROR(__xludf.DUMMYFUNCTION("""COMPUTED_VALUE"""),"Not ranking")</f>
        <v>Not ranking</v>
      </c>
      <c r="D1173" s="15" t="str">
        <f>IFERROR(__xludf.DUMMYFUNCTION("""COMPUTED_VALUE"""),"51")</f>
        <v>51</v>
      </c>
      <c r="E1173" s="15" t="str">
        <f>IFERROR(__xludf.DUMMYFUNCTION("""COMPUTED_VALUE"""),"Not ranking")</f>
        <v>Not ranking</v>
      </c>
      <c r="F1173" s="18" t="str">
        <f>IFERROR(__xludf.DUMMYFUNCTION("""COMPUTED_VALUE"""),"Not ranking")</f>
        <v>Not ranking</v>
      </c>
      <c r="G1173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1173" s="18" t="str">
        <f>IFERROR(__xludf.DUMMYFUNCTION("""COMPUTED_VALUE"""),"Not ranking")</f>
        <v>Not ranking</v>
      </c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15" t="str">
        <f>IFERROR(__xludf.DUMMYFUNCTION("""COMPUTED_VALUE"""),"ohio deer")</f>
        <v>ohio deer</v>
      </c>
      <c r="B1174" s="15" t="str">
        <f>IFERROR(__xludf.DUMMYFUNCTION("""COMPUTED_VALUE"""),"590")</f>
        <v>590</v>
      </c>
      <c r="C1174" s="15" t="str">
        <f>IFERROR(__xludf.DUMMYFUNCTION("""COMPUTED_VALUE"""),"Not ranking")</f>
        <v>Not ranking</v>
      </c>
      <c r="D1174" s="15" t="str">
        <f>IFERROR(__xludf.DUMMYFUNCTION("""COMPUTED_VALUE"""),"Not ranking")</f>
        <v>Not ranking</v>
      </c>
      <c r="E1174" s="15" t="str">
        <f>IFERROR(__xludf.DUMMYFUNCTION("""COMPUTED_VALUE"""),"87")</f>
        <v>87</v>
      </c>
      <c r="F1174" s="18" t="str">
        <f>IFERROR(__xludf.DUMMYFUNCTION("""COMPUTED_VALUE"""),"Not ranking")</f>
        <v>Not ranking</v>
      </c>
      <c r="G1174" s="18" t="str">
        <f>IFERROR(__xludf.DUMMYFUNCTION("""COMPUTED_VALUE"""),"Not ranking")</f>
        <v>Not ranking</v>
      </c>
      <c r="H1174" s="17" t="str">
        <f>IFERROR(__xludf.DUMMYFUNCTION("""COMPUTED_VALUE"""),"https://www.wideopenspaces.com/deer-hunting-in-ohio-what-you-should-know/")</f>
        <v>https://www.wideopenspaces.com/deer-hunting-in-ohio-what-you-should-know/</v>
      </c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15" t="str">
        <f>IFERROR(__xludf.DUMMYFUNCTION("""COMPUTED_VALUE"""),"ohio deer tags")</f>
        <v>ohio deer tags</v>
      </c>
      <c r="B1175" s="15" t="str">
        <f>IFERROR(__xludf.DUMMYFUNCTION("""COMPUTED_VALUE"""),"590")</f>
        <v>590</v>
      </c>
      <c r="C1175" s="15" t="str">
        <f>IFERROR(__xludf.DUMMYFUNCTION("""COMPUTED_VALUE"""),"Not ranking")</f>
        <v>Not ranking</v>
      </c>
      <c r="D1175" s="15" t="str">
        <f>IFERROR(__xludf.DUMMYFUNCTION("""COMPUTED_VALUE"""),"Not ranking")</f>
        <v>Not ranking</v>
      </c>
      <c r="E1175" s="15" t="str">
        <f>IFERROR(__xludf.DUMMYFUNCTION("""COMPUTED_VALUE"""),"72")</f>
        <v>72</v>
      </c>
      <c r="F1175" s="18" t="str">
        <f>IFERROR(__xludf.DUMMYFUNCTION("""COMPUTED_VALUE"""),"Not ranking")</f>
        <v>Not ranking</v>
      </c>
      <c r="G1175" s="18" t="str">
        <f>IFERROR(__xludf.DUMMYFUNCTION("""COMPUTED_VALUE"""),"Not ranking")</f>
        <v>Not ranking</v>
      </c>
      <c r="H1175" s="17" t="str">
        <f>IFERROR(__xludf.DUMMYFUNCTION("""COMPUTED_VALUE"""),"https://www.wideopenspaces.com/deer-hunting-in-ohio-what-you-should-know/")</f>
        <v>https://www.wideopenspaces.com/deer-hunting-in-ohio-what-you-should-know/</v>
      </c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15" t="str">
        <f>IFERROR(__xludf.DUMMYFUNCTION("""COMPUTED_VALUE"""),"pa deer hunting season")</f>
        <v>pa deer hunting season</v>
      </c>
      <c r="B1176" s="15" t="str">
        <f>IFERROR(__xludf.DUMMYFUNCTION("""COMPUTED_VALUE"""),"590")</f>
        <v>590</v>
      </c>
      <c r="C1176" s="15" t="str">
        <f>IFERROR(__xludf.DUMMYFUNCTION("""COMPUTED_VALUE"""),"Not ranking")</f>
        <v>Not ranking</v>
      </c>
      <c r="D1176" s="15" t="str">
        <f>IFERROR(__xludf.DUMMYFUNCTION("""COMPUTED_VALUE"""),"Not ranking")</f>
        <v>Not ranking</v>
      </c>
      <c r="E1176" s="15" t="str">
        <f>IFERROR(__xludf.DUMMYFUNCTION("""COMPUTED_VALUE"""),"60")</f>
        <v>60</v>
      </c>
      <c r="F1176" s="18" t="str">
        <f>IFERROR(__xludf.DUMMYFUNCTION("""COMPUTED_VALUE"""),"Not ranking")</f>
        <v>Not ranking</v>
      </c>
      <c r="G1176" s="18" t="str">
        <f>IFERROR(__xludf.DUMMYFUNCTION("""COMPUTED_VALUE"""),"Not ranking")</f>
        <v>Not ranking</v>
      </c>
      <c r="H1176" s="17" t="str">
        <f>IFERROR(__xludf.DUMMYFUNCTION("""COMPUTED_VALUE"""),"https://www.wideopenspaces.com/pennsylvania-deer-hunting/")</f>
        <v>https://www.wideopenspaces.com/pennsylvania-deer-hunting/</v>
      </c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15" t="str">
        <f>IFERROR(__xludf.DUMMYFUNCTION("""COMPUTED_VALUE"""),"pennsylvania deer season")</f>
        <v>pennsylvania deer season</v>
      </c>
      <c r="B1177" s="15" t="str">
        <f>IFERROR(__xludf.DUMMYFUNCTION("""COMPUTED_VALUE"""),"590")</f>
        <v>590</v>
      </c>
      <c r="C1177" s="15" t="str">
        <f>IFERROR(__xludf.DUMMYFUNCTION("""COMPUTED_VALUE"""),"Not ranking")</f>
        <v>Not ranking</v>
      </c>
      <c r="D1177" s="15" t="str">
        <f>IFERROR(__xludf.DUMMYFUNCTION("""COMPUTED_VALUE"""),"Not ranking")</f>
        <v>Not ranking</v>
      </c>
      <c r="E1177" s="15" t="str">
        <f>IFERROR(__xludf.DUMMYFUNCTION("""COMPUTED_VALUE"""),"87")</f>
        <v>87</v>
      </c>
      <c r="F1177" s="18" t="str">
        <f>IFERROR(__xludf.DUMMYFUNCTION("""COMPUTED_VALUE"""),"Not ranking")</f>
        <v>Not ranking</v>
      </c>
      <c r="G1177" s="18" t="str">
        <f>IFERROR(__xludf.DUMMYFUNCTION("""COMPUTED_VALUE"""),"Not ranking")</f>
        <v>Not ranking</v>
      </c>
      <c r="H1177" s="17" t="str">
        <f>IFERROR(__xludf.DUMMYFUNCTION("""COMPUTED_VALUE"""),"https://www.wideopenspaces.com/pennsylvania-deer-hunting/")</f>
        <v>https://www.wideopenspaces.com/pennsylvania-deer-hunting/</v>
      </c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15" t="str">
        <f>IFERROR(__xludf.DUMMYFUNCTION("""COMPUTED_VALUE"""),"pibald deer")</f>
        <v>pibald deer</v>
      </c>
      <c r="B1178" s="15" t="str">
        <f>IFERROR(__xludf.DUMMYFUNCTION("""COMPUTED_VALUE"""),"590")</f>
        <v>590</v>
      </c>
      <c r="C1178" s="15" t="str">
        <f>IFERROR(__xludf.DUMMYFUNCTION("""COMPUTED_VALUE"""),"Not ranking")</f>
        <v>Not ranking</v>
      </c>
      <c r="D1178" s="15" t="str">
        <f>IFERROR(__xludf.DUMMYFUNCTION("""COMPUTED_VALUE"""),"Not ranking")</f>
        <v>Not ranking</v>
      </c>
      <c r="E1178" s="15" t="str">
        <f>IFERROR(__xludf.DUMMYFUNCTION("""COMPUTED_VALUE"""),"25")</f>
        <v>25</v>
      </c>
      <c r="F1178" s="18" t="str">
        <f>IFERROR(__xludf.DUMMYFUNCTION("""COMPUTED_VALUE"""),"Not ranking")</f>
        <v>Not ranking</v>
      </c>
      <c r="G1178" s="18" t="str">
        <f>IFERROR(__xludf.DUMMYFUNCTION("""COMPUTED_VALUE"""),"Not ranking")</f>
        <v>Not ranking</v>
      </c>
      <c r="H1178" s="17" t="str">
        <f>IFERROR(__xludf.DUMMYFUNCTION("""COMPUTED_VALUE"""),"https://www.wideopenspaces.com/whitetailwednesday-should-we-shoot-albino-and-piebald-deer/")</f>
        <v>https://www.wideopenspaces.com/whitetailwednesday-should-we-shoot-albino-and-piebald-deer/</v>
      </c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15" t="str">
        <f>IFERROR(__xludf.DUMMYFUNCTION("""COMPUTED_VALUE"""),"rabid deer")</f>
        <v>rabid deer</v>
      </c>
      <c r="B1179" s="15" t="str">
        <f>IFERROR(__xludf.DUMMYFUNCTION("""COMPUTED_VALUE"""),"590")</f>
        <v>590</v>
      </c>
      <c r="C1179" s="15" t="str">
        <f>IFERROR(__xludf.DUMMYFUNCTION("""COMPUTED_VALUE"""),"Not ranking")</f>
        <v>Not ranking</v>
      </c>
      <c r="D1179" s="15" t="str">
        <f>IFERROR(__xludf.DUMMYFUNCTION("""COMPUTED_VALUE"""),"Not ranking")</f>
        <v>Not ranking</v>
      </c>
      <c r="E1179" s="15" t="str">
        <f>IFERROR(__xludf.DUMMYFUNCTION("""COMPUTED_VALUE"""),"28")</f>
        <v>28</v>
      </c>
      <c r="F1179" s="18" t="str">
        <f>IFERROR(__xludf.DUMMYFUNCTION("""COMPUTED_VALUE"""),"Not ranking")</f>
        <v>Not ranking</v>
      </c>
      <c r="G1179" s="18" t="str">
        <f>IFERROR(__xludf.DUMMYFUNCTION("""COMPUTED_VALUE"""),"Not ranking")</f>
        <v>Not ranking</v>
      </c>
      <c r="H1179" s="17" t="str">
        <f>IFERROR(__xludf.DUMMYFUNCTION("""COMPUTED_VALUE"""),"https://www.wideopenspaces.com/rabid-deer-confirm-north-carolina/")</f>
        <v>https://www.wideopenspaces.com/rabid-deer-confirm-north-carolina/</v>
      </c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15" t="str">
        <f>IFERROR(__xludf.DUMMYFUNCTION("""COMPUTED_VALUE"""),"sc deer season")</f>
        <v>sc deer season</v>
      </c>
      <c r="B1180" s="15" t="str">
        <f>IFERROR(__xludf.DUMMYFUNCTION("""COMPUTED_VALUE"""),"590")</f>
        <v>590</v>
      </c>
      <c r="C1180" s="15" t="str">
        <f>IFERROR(__xludf.DUMMYFUNCTION("""COMPUTED_VALUE"""),"Not ranking")</f>
        <v>Not ranking</v>
      </c>
      <c r="D1180" s="15" t="str">
        <f>IFERROR(__xludf.DUMMYFUNCTION("""COMPUTED_VALUE"""),"60")</f>
        <v>60</v>
      </c>
      <c r="E1180" s="15" t="str">
        <f>IFERROR(__xludf.DUMMYFUNCTION("""COMPUTED_VALUE"""),"Not ranking")</f>
        <v>Not ranking</v>
      </c>
      <c r="F1180" s="18" t="str">
        <f>IFERROR(__xludf.DUMMYFUNCTION("""COMPUTED_VALUE"""),"Not ranking")</f>
        <v>Not ranking</v>
      </c>
      <c r="G1180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1180" s="18" t="str">
        <f>IFERROR(__xludf.DUMMYFUNCTION("""COMPUTED_VALUE"""),"Not ranking")</f>
        <v>Not ranking</v>
      </c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15" t="str">
        <f>IFERROR(__xludf.DUMMYFUNCTION("""COMPUTED_VALUE"""),"see through deer blind")</f>
        <v>see through deer blind</v>
      </c>
      <c r="B1181" s="15" t="str">
        <f>IFERROR(__xludf.DUMMYFUNCTION("""COMPUTED_VALUE"""),"590")</f>
        <v>590</v>
      </c>
      <c r="C1181" s="15" t="str">
        <f>IFERROR(__xludf.DUMMYFUNCTION("""COMPUTED_VALUE"""),"Not ranking")</f>
        <v>Not ranking</v>
      </c>
      <c r="D1181" s="15" t="str">
        <f>IFERROR(__xludf.DUMMYFUNCTION("""COMPUTED_VALUE"""),"Not ranking")</f>
        <v>Not ranking</v>
      </c>
      <c r="E1181" s="15" t="str">
        <f>IFERROR(__xludf.DUMMYFUNCTION("""COMPUTED_VALUE"""),"11")</f>
        <v>11</v>
      </c>
      <c r="F1181" s="18" t="str">
        <f>IFERROR(__xludf.DUMMYFUNCTION("""COMPUTED_VALUE"""),"Not ranking")</f>
        <v>Not ranking</v>
      </c>
      <c r="G1181" s="18" t="str">
        <f>IFERROR(__xludf.DUMMYFUNCTION("""COMPUTED_VALUE"""),"Not ranking")</f>
        <v>Not ranking</v>
      </c>
      <c r="H1181" s="17" t="str">
        <f>IFERROR(__xludf.DUMMYFUNCTION("""COMPUTED_VALUE"""),"https://www.wideopenspaces.com/see-through-hunting-blinds/")</f>
        <v>https://www.wideopenspaces.com/see-through-hunting-blinds/</v>
      </c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15" t="str">
        <f>IFERROR(__xludf.DUMMYFUNCTION("""COMPUTED_VALUE"""),"south carolina deer season")</f>
        <v>south carolina deer season</v>
      </c>
      <c r="B1182" s="15" t="str">
        <f>IFERROR(__xludf.DUMMYFUNCTION("""COMPUTED_VALUE"""),"590")</f>
        <v>590</v>
      </c>
      <c r="C1182" s="15" t="str">
        <f>IFERROR(__xludf.DUMMYFUNCTION("""COMPUTED_VALUE"""),"Not ranking")</f>
        <v>Not ranking</v>
      </c>
      <c r="D1182" s="15" t="str">
        <f>IFERROR(__xludf.DUMMYFUNCTION("""COMPUTED_VALUE"""),"64")</f>
        <v>64</v>
      </c>
      <c r="E1182" s="15" t="str">
        <f>IFERROR(__xludf.DUMMYFUNCTION("""COMPUTED_VALUE"""),"Not ranking")</f>
        <v>Not ranking</v>
      </c>
      <c r="F1182" s="18" t="str">
        <f>IFERROR(__xludf.DUMMYFUNCTION("""COMPUTED_VALUE"""),"Not ranking")</f>
        <v>Not ranking</v>
      </c>
      <c r="G1182" s="17" t="str">
        <f>IFERROR(__xludf.DUMMYFUNCTION("""COMPUTED_VALUE"""),"https://realtree.com/brow-tines-and-backstrap/2022-southeast-deer-hunting-forecast")</f>
        <v>https://realtree.com/brow-tines-and-backstrap/2022-southeast-deer-hunting-forecast</v>
      </c>
      <c r="H1182" s="18" t="str">
        <f>IFERROR(__xludf.DUMMYFUNCTION("""COMPUTED_VALUE"""),"Not ranking")</f>
        <v>Not ranking</v>
      </c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15" t="str">
        <f>IFERROR(__xludf.DUMMYFUNCTION("""COMPUTED_VALUE"""),"tennessee deer hunting")</f>
        <v>tennessee deer hunting</v>
      </c>
      <c r="B1183" s="15" t="str">
        <f>IFERROR(__xludf.DUMMYFUNCTION("""COMPUTED_VALUE"""),"590")</f>
        <v>590</v>
      </c>
      <c r="C1183" s="15" t="str">
        <f>IFERROR(__xludf.DUMMYFUNCTION("""COMPUTED_VALUE"""),"Not ranking")</f>
        <v>Not ranking</v>
      </c>
      <c r="D1183" s="15" t="str">
        <f>IFERROR(__xludf.DUMMYFUNCTION("""COMPUTED_VALUE"""),"Not ranking")</f>
        <v>Not ranking</v>
      </c>
      <c r="E1183" s="15" t="str">
        <f>IFERROR(__xludf.DUMMYFUNCTION("""COMPUTED_VALUE"""),"89")</f>
        <v>89</v>
      </c>
      <c r="F1183" s="18" t="str">
        <f>IFERROR(__xludf.DUMMYFUNCTION("""COMPUTED_VALUE"""),"Not ranking")</f>
        <v>Not ranking</v>
      </c>
      <c r="G1183" s="18" t="str">
        <f>IFERROR(__xludf.DUMMYFUNCTION("""COMPUTED_VALUE"""),"Not ranking")</f>
        <v>Not ranking</v>
      </c>
      <c r="H1183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15" t="str">
        <f>IFERROR(__xludf.DUMMYFUNCTION("""COMPUTED_VALUE"""),"texas deer hunting season")</f>
        <v>texas deer hunting season</v>
      </c>
      <c r="B1184" s="15" t="str">
        <f>IFERROR(__xludf.DUMMYFUNCTION("""COMPUTED_VALUE"""),"590")</f>
        <v>590</v>
      </c>
      <c r="C1184" s="15" t="str">
        <f>IFERROR(__xludf.DUMMYFUNCTION("""COMPUTED_VALUE"""),"Not ranking")</f>
        <v>Not ranking</v>
      </c>
      <c r="D1184" s="15" t="str">
        <f>IFERROR(__xludf.DUMMYFUNCTION("""COMPUTED_VALUE"""),"72")</f>
        <v>72</v>
      </c>
      <c r="E1184" s="15" t="str">
        <f>IFERROR(__xludf.DUMMYFUNCTION("""COMPUTED_VALUE"""),"6")</f>
        <v>6</v>
      </c>
      <c r="F1184" s="18" t="str">
        <f>IFERROR(__xludf.DUMMYFUNCTION("""COMPUTED_VALUE"""),"Not ranking")</f>
        <v>Not ranking</v>
      </c>
      <c r="G1184" s="17" t="str">
        <f>IFERROR(__xludf.DUMMYFUNCTION("""COMPUTED_VALUE"""),"https://realtree.com/deer-hunting/articles/where-to-deer-hunt-in-february")</f>
        <v>https://realtree.com/deer-hunting/articles/where-to-deer-hunt-in-february</v>
      </c>
      <c r="H1184" s="17" t="str">
        <f>IFERROR(__xludf.DUMMYFUNCTION("""COMPUTED_VALUE"""),"https://www.wideopenspaces.com/when-does-deer-season-end-in-texas/")</f>
        <v>https://www.wideopenspaces.com/when-does-deer-season-end-in-texas/</v>
      </c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15" t="str">
        <f>IFERROR(__xludf.DUMMYFUNCTION("""COMPUTED_VALUE"""),"twra deer season")</f>
        <v>twra deer season</v>
      </c>
      <c r="B1185" s="15" t="str">
        <f>IFERROR(__xludf.DUMMYFUNCTION("""COMPUTED_VALUE"""),"590")</f>
        <v>590</v>
      </c>
      <c r="C1185" s="15" t="str">
        <f>IFERROR(__xludf.DUMMYFUNCTION("""COMPUTED_VALUE"""),"Not ranking")</f>
        <v>Not ranking</v>
      </c>
      <c r="D1185" s="15" t="str">
        <f>IFERROR(__xludf.DUMMYFUNCTION("""COMPUTED_VALUE"""),"73")</f>
        <v>73</v>
      </c>
      <c r="E1185" s="15" t="str">
        <f>IFERROR(__xludf.DUMMYFUNCTION("""COMPUTED_VALUE"""),"52")</f>
        <v>52</v>
      </c>
      <c r="F1185" s="18" t="str">
        <f>IFERROR(__xludf.DUMMYFUNCTION("""COMPUTED_VALUE"""),"Not ranking")</f>
        <v>Not ranking</v>
      </c>
      <c r="G1185" s="17" t="str">
        <f>IFERROR(__xludf.DUMMYFUNCTION("""COMPUTED_VALUE"""),"https://realtree.com/turkey-hunting/articles/tennessee-moves-to-later-turkey-season-2-bird-bag-limit-no-fanning-on-public")</f>
        <v>https://realtree.com/turkey-hunting/articles/tennessee-moves-to-later-turkey-season-2-bird-bag-limit-no-fanning-on-public</v>
      </c>
      <c r="H1185" s="17" t="str">
        <f>IFERROR(__xludf.DUMMYFUNCTION("""COMPUTED_VALUE"""),"https://www.wideopenspaces.com/tennessee-approves-3-day-archery-only-deer-season-for-august/")</f>
        <v>https://www.wideopenspaces.com/tennessee-approves-3-day-archery-only-deer-season-for-august/</v>
      </c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15" t="str">
        <f>IFERROR(__xludf.DUMMYFUNCTION("""COMPUTED_VALUE"""),"used fiberglass deer blinds for sale")</f>
        <v>used fiberglass deer blinds for sale</v>
      </c>
      <c r="B1186" s="15" t="str">
        <f>IFERROR(__xludf.DUMMYFUNCTION("""COMPUTED_VALUE"""),"590")</f>
        <v>590</v>
      </c>
      <c r="C1186" s="15" t="str">
        <f>IFERROR(__xludf.DUMMYFUNCTION("""COMPUTED_VALUE"""),"Not ranking")</f>
        <v>Not ranking</v>
      </c>
      <c r="D1186" s="15" t="str">
        <f>IFERROR(__xludf.DUMMYFUNCTION("""COMPUTED_VALUE"""),"Not ranking")</f>
        <v>Not ranking</v>
      </c>
      <c r="E1186" s="15" t="str">
        <f>IFERROR(__xludf.DUMMYFUNCTION("""COMPUTED_VALUE"""),"83")</f>
        <v>83</v>
      </c>
      <c r="F1186" s="18" t="str">
        <f>IFERROR(__xludf.DUMMYFUNCTION("""COMPUTED_VALUE"""),"Not ranking")</f>
        <v>Not ranking</v>
      </c>
      <c r="G1186" s="18" t="str">
        <f>IFERROR(__xludf.DUMMYFUNCTION("""COMPUTED_VALUE"""),"Not ranking")</f>
        <v>Not ranking</v>
      </c>
      <c r="H1186" s="17" t="str">
        <f>IFERROR(__xludf.DUMMYFUNCTION("""COMPUTED_VALUE"""),"https://www.wideopenspaces.com/5-luxury-hunting-blinds-you-might-be-able-to-afford/")</f>
        <v>https://www.wideopenspaces.com/5-luxury-hunting-blinds-you-might-be-able-to-afford/</v>
      </c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15" t="str">
        <f>IFERROR(__xludf.DUMMYFUNCTION("""COMPUTED_VALUE"""),"velvet deer")</f>
        <v>velvet deer</v>
      </c>
      <c r="B1187" s="15" t="str">
        <f>IFERROR(__xludf.DUMMYFUNCTION("""COMPUTED_VALUE"""),"590")</f>
        <v>590</v>
      </c>
      <c r="C1187" s="15" t="str">
        <f>IFERROR(__xludf.DUMMYFUNCTION("""COMPUTED_VALUE"""),"Not ranking")</f>
        <v>Not ranking</v>
      </c>
      <c r="D1187" s="15" t="str">
        <f>IFERROR(__xludf.DUMMYFUNCTION("""COMPUTED_VALUE"""),"6")</f>
        <v>6</v>
      </c>
      <c r="E1187" s="15" t="str">
        <f>IFERROR(__xludf.DUMMYFUNCTION("""COMPUTED_VALUE"""),"Not ranking")</f>
        <v>Not ranking</v>
      </c>
      <c r="F1187" s="18" t="str">
        <f>IFERROR(__xludf.DUMMYFUNCTION("""COMPUTED_VALUE"""),"Not ranking")</f>
        <v>Not ranking</v>
      </c>
      <c r="G1187" s="17" t="str">
        <f>IFERROR(__xludf.DUMMYFUNCTION("""COMPUTED_VALUE"""),"https://realtree.com/brow-tines-and-backstrap/10-amazing-facts-about-velvet-antlers")</f>
        <v>https://realtree.com/brow-tines-and-backstrap/10-amazing-facts-about-velvet-antlers</v>
      </c>
      <c r="H1187" s="18" t="str">
        <f>IFERROR(__xludf.DUMMYFUNCTION("""COMPUTED_VALUE"""),"Not ranking")</f>
        <v>Not ranking</v>
      </c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15" t="str">
        <f>IFERROR(__xludf.DUMMYFUNCTION("""COMPUTED_VALUE"""),"what is blue tongue in deer")</f>
        <v>what is blue tongue in deer</v>
      </c>
      <c r="B1188" s="15" t="str">
        <f>IFERROR(__xludf.DUMMYFUNCTION("""COMPUTED_VALUE"""),"590")</f>
        <v>590</v>
      </c>
      <c r="C1188" s="15" t="str">
        <f>IFERROR(__xludf.DUMMYFUNCTION("""COMPUTED_VALUE"""),"Not ranking")</f>
        <v>Not ranking</v>
      </c>
      <c r="D1188" s="15" t="str">
        <f>IFERROR(__xludf.DUMMYFUNCTION("""COMPUTED_VALUE"""),"Not ranking")</f>
        <v>Not ranking</v>
      </c>
      <c r="E1188" s="15" t="str">
        <f>IFERROR(__xludf.DUMMYFUNCTION("""COMPUTED_VALUE"""),"50")</f>
        <v>50</v>
      </c>
      <c r="F1188" s="18" t="str">
        <f>IFERROR(__xludf.DUMMYFUNCTION("""COMPUTED_VALUE"""),"Not ranking")</f>
        <v>Not ranking</v>
      </c>
      <c r="G1188" s="18" t="str">
        <f>IFERROR(__xludf.DUMMYFUNCTION("""COMPUTED_VALUE"""),"Not ranking")</f>
        <v>Not ranking</v>
      </c>
      <c r="H1188" s="17" t="str">
        <f>IFERROR(__xludf.DUMMYFUNCTION("""COMPUTED_VALUE"""),"https://www.wideopenspaces.com/blue-tongue-disease-in-deer/")</f>
        <v>https://www.wideopenspaces.com/blue-tongue-disease-in-deer/</v>
      </c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15" t="str">
        <f>IFERROR(__xludf.DUMMYFUNCTION("""COMPUTED_VALUE"""),"when is deer season in missouri")</f>
        <v>when is deer season in missouri</v>
      </c>
      <c r="B1189" s="15" t="str">
        <f>IFERROR(__xludf.DUMMYFUNCTION("""COMPUTED_VALUE"""),"590")</f>
        <v>590</v>
      </c>
      <c r="C1189" s="15" t="str">
        <f>IFERROR(__xludf.DUMMYFUNCTION("""COMPUTED_VALUE"""),"Not ranking")</f>
        <v>Not ranking</v>
      </c>
      <c r="D1189" s="15" t="str">
        <f>IFERROR(__xludf.DUMMYFUNCTION("""COMPUTED_VALUE"""),"Not ranking")</f>
        <v>Not ranking</v>
      </c>
      <c r="E1189" s="15" t="str">
        <f>IFERROR(__xludf.DUMMYFUNCTION("""COMPUTED_VALUE"""),"69")</f>
        <v>69</v>
      </c>
      <c r="F1189" s="18" t="str">
        <f>IFERROR(__xludf.DUMMYFUNCTION("""COMPUTED_VALUE"""),"Not ranking")</f>
        <v>Not ranking</v>
      </c>
      <c r="G1189" s="18" t="str">
        <f>IFERROR(__xludf.DUMMYFUNCTION("""COMPUTED_VALUE"""),"Not ranking")</f>
        <v>Not ranking</v>
      </c>
      <c r="H1189" s="17" t="str">
        <f>IFERROR(__xludf.DUMMYFUNCTION("""COMPUTED_VALUE"""),"https://www.wideopenspaces.com/missouri-deer-hunting-all-to-know-about-this-buck-buck-paradise/")</f>
        <v>https://www.wideopenspaces.com/missouri-deer-hunting-all-to-know-about-this-buck-buck-paradise/</v>
      </c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15" t="str">
        <f>IFERROR(__xludf.DUMMYFUNCTION("""COMPUTED_VALUE"""),"white and brown deer")</f>
        <v>white and brown deer</v>
      </c>
      <c r="B1190" s="15" t="str">
        <f>IFERROR(__xludf.DUMMYFUNCTION("""COMPUTED_VALUE"""),"590")</f>
        <v>590</v>
      </c>
      <c r="C1190" s="15" t="str">
        <f>IFERROR(__xludf.DUMMYFUNCTION("""COMPUTED_VALUE"""),"Not ranking")</f>
        <v>Not ranking</v>
      </c>
      <c r="D1190" s="15" t="str">
        <f>IFERROR(__xludf.DUMMYFUNCTION("""COMPUTED_VALUE"""),"Not ranking")</f>
        <v>Not ranking</v>
      </c>
      <c r="E1190" s="15" t="str">
        <f>IFERROR(__xludf.DUMMYFUNCTION("""COMPUTED_VALUE"""),"84")</f>
        <v>84</v>
      </c>
      <c r="F1190" s="18" t="str">
        <f>IFERROR(__xludf.DUMMYFUNCTION("""COMPUTED_VALUE"""),"Not ranking")</f>
        <v>Not ranking</v>
      </c>
      <c r="G1190" s="18" t="str">
        <f>IFERROR(__xludf.DUMMYFUNCTION("""COMPUTED_VALUE"""),"Not ranking")</f>
        <v>Not ranking</v>
      </c>
      <c r="H1190" s="17" t="str">
        <f>IFERROR(__xludf.DUMMYFUNCTION("""COMPUTED_VALUE"""),"https://www.wideopenspaces.com/rare-piebald-deer-herd/")</f>
        <v>https://www.wideopenspaces.com/rare-piebald-deer-herd/</v>
      </c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15" t="str">
        <f>IFERROR(__xludf.DUMMYFUNCTION("""COMPUTED_VALUE"""),"white tailed deer fawn")</f>
        <v>white tailed deer fawn</v>
      </c>
      <c r="B1191" s="15" t="str">
        <f>IFERROR(__xludf.DUMMYFUNCTION("""COMPUTED_VALUE"""),"590")</f>
        <v>590</v>
      </c>
      <c r="C1191" s="15" t="str">
        <f>IFERROR(__xludf.DUMMYFUNCTION("""COMPUTED_VALUE"""),"Not ranking")</f>
        <v>Not ranking</v>
      </c>
      <c r="D1191" s="15" t="str">
        <f>IFERROR(__xludf.DUMMYFUNCTION("""COMPUTED_VALUE"""),"16")</f>
        <v>16</v>
      </c>
      <c r="E1191" s="15" t="str">
        <f>IFERROR(__xludf.DUMMYFUNCTION("""COMPUTED_VALUE"""),"Not ranking")</f>
        <v>Not ranking</v>
      </c>
      <c r="F1191" s="18" t="str">
        <f>IFERROR(__xludf.DUMMYFUNCTION("""COMPUTED_VALUE"""),"Not ranking")</f>
        <v>Not ranking</v>
      </c>
      <c r="G1191" s="17" t="str">
        <f>IFERROR(__xludf.DUMMYFUNCTION("""COMPUTED_VALUE"""),"https://realtree.com/brow-tines-and-backstrap/what-really-kills-whitetail-fawns")</f>
        <v>https://realtree.com/brow-tines-and-backstrap/what-really-kills-whitetail-fawns</v>
      </c>
      <c r="H1191" s="18" t="str">
        <f>IFERROR(__xludf.DUMMYFUNCTION("""COMPUTED_VALUE"""),"Not ranking")</f>
        <v>Not ranking</v>
      </c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15" t="str">
        <f>IFERROR(__xludf.DUMMYFUNCTION("""COMPUTED_VALUE"""),"wisconsin deer license")</f>
        <v>wisconsin deer license</v>
      </c>
      <c r="B1192" s="15" t="str">
        <f>IFERROR(__xludf.DUMMYFUNCTION("""COMPUTED_VALUE"""),"590")</f>
        <v>590</v>
      </c>
      <c r="C1192" s="15" t="str">
        <f>IFERROR(__xludf.DUMMYFUNCTION("""COMPUTED_VALUE"""),"Not ranking")</f>
        <v>Not ranking</v>
      </c>
      <c r="D1192" s="15" t="str">
        <f>IFERROR(__xludf.DUMMYFUNCTION("""COMPUTED_VALUE"""),"Not ranking")</f>
        <v>Not ranking</v>
      </c>
      <c r="E1192" s="15" t="str">
        <f>IFERROR(__xludf.DUMMYFUNCTION("""COMPUTED_VALUE"""),"57")</f>
        <v>57</v>
      </c>
      <c r="F1192" s="18" t="str">
        <f>IFERROR(__xludf.DUMMYFUNCTION("""COMPUTED_VALUE"""),"Not ranking")</f>
        <v>Not ranking</v>
      </c>
      <c r="G1192" s="18" t="str">
        <f>IFERROR(__xludf.DUMMYFUNCTION("""COMPUTED_VALUE"""),"Not ranking")</f>
        <v>Not ranking</v>
      </c>
      <c r="H1192" s="17" t="str">
        <f>IFERROR(__xludf.DUMMYFUNCTION("""COMPUTED_VALUE"""),"https://www.wideopenspaces.com/wisconsin-deer-hunting-everything-hunters-need-to-know/")</f>
        <v>https://www.wideopenspaces.com/wisconsin-deer-hunting-everything-hunters-need-to-know/</v>
      </c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15" t="str">
        <f>IFERROR(__xludf.DUMMYFUNCTION("""COMPUTED_VALUE"""),"youth deer season in mo")</f>
        <v>youth deer season in mo</v>
      </c>
      <c r="B1193" s="15" t="str">
        <f>IFERROR(__xludf.DUMMYFUNCTION("""COMPUTED_VALUE"""),"590")</f>
        <v>590</v>
      </c>
      <c r="C1193" s="15" t="str">
        <f>IFERROR(__xludf.DUMMYFUNCTION("""COMPUTED_VALUE"""),"Not ranking")</f>
        <v>Not ranking</v>
      </c>
      <c r="D1193" s="15" t="str">
        <f>IFERROR(__xludf.DUMMYFUNCTION("""COMPUTED_VALUE"""),"Not ranking")</f>
        <v>Not ranking</v>
      </c>
      <c r="E1193" s="15" t="str">
        <f>IFERROR(__xludf.DUMMYFUNCTION("""COMPUTED_VALUE"""),"66")</f>
        <v>66</v>
      </c>
      <c r="F1193" s="18" t="str">
        <f>IFERROR(__xludf.DUMMYFUNCTION("""COMPUTED_VALUE"""),"Not ranking")</f>
        <v>Not ranking</v>
      </c>
      <c r="G1193" s="18" t="str">
        <f>IFERROR(__xludf.DUMMYFUNCTION("""COMPUTED_VALUE"""),"Not ranking")</f>
        <v>Not ranking</v>
      </c>
      <c r="H1193" s="17" t="str">
        <f>IFERROR(__xludf.DUMMYFUNCTION("""COMPUTED_VALUE"""),"https://www.wideopenspaces.com/missouri-youth-hunt-records-astounding-deer-kill-number/")</f>
        <v>https://www.wideopenspaces.com/missouri-youth-hunt-records-astounding-deer-kill-number/</v>
      </c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15" t="str">
        <f>IFERROR(__xludf.DUMMYFUNCTION("""COMPUTED_VALUE"""),"youth deer season mo")</f>
        <v>youth deer season mo</v>
      </c>
      <c r="B1194" s="15" t="str">
        <f>IFERROR(__xludf.DUMMYFUNCTION("""COMPUTED_VALUE"""),"590")</f>
        <v>590</v>
      </c>
      <c r="C1194" s="15" t="str">
        <f>IFERROR(__xludf.DUMMYFUNCTION("""COMPUTED_VALUE"""),"Not ranking")</f>
        <v>Not ranking</v>
      </c>
      <c r="D1194" s="15" t="str">
        <f>IFERROR(__xludf.DUMMYFUNCTION("""COMPUTED_VALUE"""),"Not ranking")</f>
        <v>Not ranking</v>
      </c>
      <c r="E1194" s="15" t="str">
        <f>IFERROR(__xludf.DUMMYFUNCTION("""COMPUTED_VALUE"""),"74")</f>
        <v>74</v>
      </c>
      <c r="F1194" s="18" t="str">
        <f>IFERROR(__xludf.DUMMYFUNCTION("""COMPUTED_VALUE"""),"Not ranking")</f>
        <v>Not ranking</v>
      </c>
      <c r="G1194" s="18" t="str">
        <f>IFERROR(__xludf.DUMMYFUNCTION("""COMPUTED_VALUE"""),"Not ranking")</f>
        <v>Not ranking</v>
      </c>
      <c r="H1194" s="17" t="str">
        <f>IFERROR(__xludf.DUMMYFUNCTION("""COMPUTED_VALUE"""),"https://www.wideopenspaces.com/missouri-youth-hunt-records-astounding-deer-kill-number/")</f>
        <v>https://www.wideopenspaces.com/missouri-youth-hunt-records-astounding-deer-kill-number/</v>
      </c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15"/>
      <c r="B1195" s="15"/>
      <c r="C1195" s="15"/>
      <c r="D1195" s="15"/>
      <c r="E1195" s="15"/>
      <c r="F1195" s="18"/>
      <c r="G1195" s="18"/>
      <c r="H1195" s="1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15"/>
      <c r="B1196" s="15"/>
      <c r="C1196" s="15"/>
      <c r="D1196" s="15"/>
      <c r="E1196" s="15"/>
      <c r="F1196" s="18"/>
      <c r="G1196" s="18"/>
      <c r="H1196" s="1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15"/>
      <c r="B1197" s="15"/>
      <c r="C1197" s="15"/>
      <c r="D1197" s="15"/>
      <c r="E1197" s="15"/>
      <c r="F1197" s="18"/>
      <c r="G1197" s="18"/>
      <c r="H1197" s="18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15"/>
      <c r="B1198" s="15"/>
      <c r="C1198" s="15"/>
      <c r="D1198" s="15"/>
      <c r="E1198" s="15"/>
      <c r="F1198" s="18"/>
      <c r="G1198" s="18"/>
      <c r="H1198" s="1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15"/>
      <c r="B1199" s="15"/>
      <c r="C1199" s="15"/>
      <c r="D1199" s="15"/>
      <c r="E1199" s="15"/>
      <c r="F1199" s="18"/>
      <c r="G1199" s="18"/>
      <c r="H1199" s="1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15"/>
      <c r="B1200" s="15"/>
      <c r="C1200" s="15"/>
      <c r="D1200" s="15"/>
      <c r="E1200" s="15"/>
      <c r="F1200" s="18"/>
      <c r="G1200" s="18"/>
      <c r="H1200" s="1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15"/>
      <c r="B1201" s="15"/>
      <c r="C1201" s="15"/>
      <c r="D1201" s="15"/>
      <c r="E1201" s="15"/>
      <c r="F1201" s="18"/>
      <c r="G1201" s="18"/>
      <c r="H1201" s="1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15"/>
      <c r="B1202" s="15"/>
      <c r="C1202" s="15"/>
      <c r="D1202" s="15"/>
      <c r="E1202" s="15"/>
      <c r="F1202" s="18"/>
      <c r="G1202" s="18"/>
      <c r="H1202" s="1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15"/>
      <c r="B1203" s="15"/>
      <c r="C1203" s="15"/>
      <c r="D1203" s="15"/>
      <c r="E1203" s="15"/>
      <c r="F1203" s="18"/>
      <c r="G1203" s="18"/>
      <c r="H1203" s="1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15"/>
      <c r="B1204" s="15"/>
      <c r="C1204" s="15"/>
      <c r="D1204" s="15"/>
      <c r="E1204" s="15"/>
      <c r="F1204" s="18"/>
      <c r="G1204" s="18"/>
      <c r="H1204" s="1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15"/>
      <c r="B1205" s="15"/>
      <c r="C1205" s="15"/>
      <c r="D1205" s="15"/>
      <c r="E1205" s="15"/>
      <c r="F1205" s="18"/>
      <c r="G1205" s="18"/>
      <c r="H1205" s="1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15"/>
      <c r="B1206" s="15"/>
      <c r="C1206" s="15"/>
      <c r="D1206" s="15"/>
      <c r="E1206" s="15"/>
      <c r="F1206" s="18"/>
      <c r="G1206" s="18"/>
      <c r="H1206" s="1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15"/>
      <c r="B1207" s="15"/>
      <c r="C1207" s="15"/>
      <c r="D1207" s="15"/>
      <c r="E1207" s="15"/>
      <c r="F1207" s="18"/>
      <c r="G1207" s="18"/>
      <c r="H1207" s="1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15"/>
      <c r="B1208" s="15"/>
      <c r="C1208" s="15"/>
      <c r="D1208" s="15"/>
      <c r="E1208" s="15"/>
      <c r="F1208" s="18"/>
      <c r="G1208" s="18"/>
      <c r="H1208" s="1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15"/>
      <c r="B1209" s="15"/>
      <c r="C1209" s="15"/>
      <c r="D1209" s="15"/>
      <c r="E1209" s="15"/>
      <c r="F1209" s="18"/>
      <c r="G1209" s="18"/>
      <c r="H1209" s="1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15"/>
      <c r="B1210" s="15"/>
      <c r="C1210" s="15"/>
      <c r="D1210" s="15"/>
      <c r="E1210" s="15"/>
      <c r="F1210" s="18"/>
      <c r="G1210" s="18"/>
      <c r="H1210" s="1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15"/>
      <c r="B1211" s="15"/>
      <c r="C1211" s="15"/>
      <c r="D1211" s="15"/>
      <c r="E1211" s="15"/>
      <c r="F1211" s="18"/>
      <c r="G1211" s="18"/>
      <c r="H1211" s="1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15"/>
      <c r="B1212" s="15"/>
      <c r="C1212" s="15"/>
      <c r="D1212" s="15"/>
      <c r="E1212" s="15"/>
      <c r="F1212" s="18"/>
      <c r="G1212" s="18"/>
      <c r="H1212" s="1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15"/>
      <c r="B1213" s="15"/>
      <c r="C1213" s="15"/>
      <c r="D1213" s="15"/>
      <c r="E1213" s="15"/>
      <c r="F1213" s="18"/>
      <c r="G1213" s="18"/>
      <c r="H1213" s="1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15"/>
      <c r="B1214" s="15"/>
      <c r="C1214" s="15"/>
      <c r="D1214" s="15"/>
      <c r="E1214" s="15"/>
      <c r="F1214" s="18"/>
      <c r="G1214" s="18"/>
      <c r="H1214" s="1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15"/>
      <c r="B1215" s="15"/>
      <c r="C1215" s="15"/>
      <c r="D1215" s="15"/>
      <c r="E1215" s="15"/>
      <c r="F1215" s="18"/>
      <c r="G1215" s="18"/>
      <c r="H1215" s="1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15"/>
      <c r="B1216" s="15"/>
      <c r="C1216" s="15"/>
      <c r="D1216" s="15"/>
      <c r="E1216" s="15"/>
      <c r="F1216" s="18"/>
      <c r="G1216" s="18"/>
      <c r="H1216" s="1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15"/>
      <c r="B1217" s="15"/>
      <c r="C1217" s="15"/>
      <c r="D1217" s="15"/>
      <c r="E1217" s="15"/>
      <c r="F1217" s="18"/>
      <c r="G1217" s="18"/>
      <c r="H1217" s="1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15"/>
      <c r="B1218" s="15"/>
      <c r="C1218" s="15"/>
      <c r="D1218" s="15"/>
      <c r="E1218" s="15"/>
      <c r="F1218" s="18"/>
      <c r="G1218" s="18"/>
      <c r="H1218" s="1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15"/>
      <c r="B1219" s="15"/>
      <c r="C1219" s="15"/>
      <c r="D1219" s="15"/>
      <c r="E1219" s="15"/>
      <c r="F1219" s="18"/>
      <c r="G1219" s="18"/>
      <c r="H1219" s="1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15"/>
      <c r="B1220" s="15"/>
      <c r="C1220" s="15"/>
      <c r="D1220" s="15"/>
      <c r="E1220" s="15"/>
      <c r="F1220" s="18"/>
      <c r="G1220" s="18"/>
      <c r="H1220" s="1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15"/>
      <c r="B1221" s="15"/>
      <c r="C1221" s="15"/>
      <c r="D1221" s="15"/>
      <c r="E1221" s="15"/>
      <c r="F1221" s="18"/>
      <c r="G1221" s="18"/>
      <c r="H1221" s="1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15"/>
      <c r="B1222" s="15"/>
      <c r="C1222" s="15"/>
      <c r="D1222" s="15"/>
      <c r="E1222" s="15"/>
      <c r="F1222" s="18"/>
      <c r="G1222" s="18"/>
      <c r="H1222" s="1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15"/>
      <c r="B1223" s="15"/>
      <c r="C1223" s="15"/>
      <c r="D1223" s="15"/>
      <c r="E1223" s="15"/>
      <c r="F1223" s="18"/>
      <c r="G1223" s="18"/>
      <c r="H1223" s="1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15"/>
      <c r="B1224" s="15"/>
      <c r="C1224" s="15"/>
      <c r="D1224" s="15"/>
      <c r="E1224" s="15"/>
      <c r="F1224" s="18"/>
      <c r="G1224" s="18"/>
      <c r="H1224" s="1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15"/>
      <c r="B1225" s="15"/>
      <c r="C1225" s="15"/>
      <c r="D1225" s="15"/>
      <c r="E1225" s="15"/>
      <c r="F1225" s="18"/>
      <c r="G1225" s="18"/>
      <c r="H1225" s="1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15"/>
      <c r="B1226" s="15"/>
      <c r="C1226" s="15"/>
      <c r="D1226" s="15"/>
      <c r="E1226" s="15"/>
      <c r="F1226" s="18"/>
      <c r="G1226" s="18"/>
      <c r="H1226" s="1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15"/>
      <c r="B1227" s="15"/>
      <c r="C1227" s="15"/>
      <c r="D1227" s="15"/>
      <c r="E1227" s="15"/>
      <c r="F1227" s="18"/>
      <c r="G1227" s="18"/>
      <c r="H1227" s="1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15"/>
      <c r="B1228" s="15"/>
      <c r="C1228" s="15"/>
      <c r="D1228" s="15"/>
      <c r="E1228" s="15"/>
      <c r="F1228" s="18"/>
      <c r="G1228" s="18"/>
      <c r="H1228" s="1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15"/>
      <c r="B1229" s="15"/>
      <c r="C1229" s="15"/>
      <c r="D1229" s="15"/>
      <c r="E1229" s="15"/>
      <c r="F1229" s="18"/>
      <c r="G1229" s="18"/>
      <c r="H1229" s="1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15"/>
      <c r="B1230" s="15"/>
      <c r="C1230" s="15"/>
      <c r="D1230" s="15"/>
      <c r="E1230" s="15"/>
      <c r="F1230" s="18"/>
      <c r="G1230" s="18"/>
      <c r="H1230" s="1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15"/>
      <c r="B1231" s="15"/>
      <c r="C1231" s="15"/>
      <c r="D1231" s="15"/>
      <c r="E1231" s="15"/>
      <c r="F1231" s="18"/>
      <c r="G1231" s="18"/>
      <c r="H1231" s="1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15"/>
      <c r="B1232" s="15"/>
      <c r="C1232" s="15"/>
      <c r="D1232" s="15"/>
      <c r="E1232" s="15"/>
      <c r="F1232" s="18"/>
      <c r="G1232" s="18"/>
      <c r="H1232" s="1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15"/>
      <c r="B1233" s="15"/>
      <c r="C1233" s="15"/>
      <c r="D1233" s="15"/>
      <c r="E1233" s="15"/>
      <c r="F1233" s="18"/>
      <c r="G1233" s="18"/>
      <c r="H1233" s="1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15"/>
      <c r="B1234" s="15"/>
      <c r="C1234" s="15"/>
      <c r="D1234" s="15"/>
      <c r="E1234" s="15"/>
      <c r="F1234" s="18"/>
      <c r="G1234" s="18"/>
      <c r="H1234" s="1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15"/>
      <c r="B1235" s="15"/>
      <c r="C1235" s="15"/>
      <c r="D1235" s="15"/>
      <c r="E1235" s="15"/>
      <c r="F1235" s="18"/>
      <c r="G1235" s="18"/>
      <c r="H1235" s="1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15"/>
      <c r="B1236" s="15"/>
      <c r="C1236" s="15"/>
      <c r="D1236" s="15"/>
      <c r="E1236" s="15"/>
      <c r="F1236" s="18"/>
      <c r="G1236" s="18"/>
      <c r="H1236" s="1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15"/>
      <c r="B1237" s="15"/>
      <c r="C1237" s="15"/>
      <c r="D1237" s="15"/>
      <c r="E1237" s="15"/>
      <c r="F1237" s="18"/>
      <c r="G1237" s="18"/>
      <c r="H1237" s="1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15"/>
      <c r="B1238" s="15"/>
      <c r="C1238" s="15"/>
      <c r="D1238" s="15"/>
      <c r="E1238" s="15"/>
      <c r="F1238" s="18"/>
      <c r="G1238" s="18"/>
      <c r="H1238" s="1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15"/>
      <c r="B1239" s="15"/>
      <c r="C1239" s="15"/>
      <c r="D1239" s="15"/>
      <c r="E1239" s="15"/>
      <c r="F1239" s="18"/>
      <c r="G1239" s="18"/>
      <c r="H1239" s="1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15"/>
      <c r="B1240" s="15"/>
      <c r="C1240" s="15"/>
      <c r="D1240" s="15"/>
      <c r="E1240" s="15"/>
      <c r="F1240" s="18"/>
      <c r="G1240" s="18"/>
      <c r="H1240" s="1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15"/>
      <c r="B1241" s="15"/>
      <c r="C1241" s="15"/>
      <c r="D1241" s="15"/>
      <c r="E1241" s="15"/>
      <c r="F1241" s="18"/>
      <c r="G1241" s="18"/>
      <c r="H1241" s="1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15"/>
      <c r="B1242" s="15"/>
      <c r="C1242" s="15"/>
      <c r="D1242" s="15"/>
      <c r="E1242" s="15"/>
      <c r="F1242" s="18"/>
      <c r="G1242" s="18"/>
      <c r="H1242" s="1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>
      <c r="A1243" s="15"/>
      <c r="B1243" s="15"/>
      <c r="C1243" s="15"/>
      <c r="D1243" s="15"/>
      <c r="E1243" s="15"/>
      <c r="F1243" s="18"/>
      <c r="G1243" s="18"/>
      <c r="H1243" s="1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>
      <c r="A1244" s="15"/>
      <c r="B1244" s="15"/>
      <c r="C1244" s="15"/>
      <c r="D1244" s="15"/>
      <c r="E1244" s="15"/>
      <c r="F1244" s="18"/>
      <c r="G1244" s="18"/>
      <c r="H1244" s="1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>
      <c r="A1245" s="15"/>
      <c r="B1245" s="15"/>
      <c r="C1245" s="15"/>
      <c r="D1245" s="15"/>
      <c r="E1245" s="15"/>
      <c r="F1245" s="18"/>
      <c r="G1245" s="18"/>
      <c r="H1245" s="1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>
      <c r="A1246" s="15"/>
      <c r="B1246" s="15"/>
      <c r="C1246" s="15"/>
      <c r="D1246" s="15"/>
      <c r="E1246" s="15"/>
      <c r="F1246" s="18"/>
      <c r="G1246" s="18"/>
      <c r="H1246" s="1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>
      <c r="A1247" s="15"/>
      <c r="B1247" s="15"/>
      <c r="C1247" s="15"/>
      <c r="D1247" s="15"/>
      <c r="E1247" s="15"/>
      <c r="F1247" s="18"/>
      <c r="G1247" s="18"/>
      <c r="H1247" s="1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>
      <c r="A1248" s="15"/>
      <c r="B1248" s="15"/>
      <c r="C1248" s="15"/>
      <c r="D1248" s="15"/>
      <c r="E1248" s="15"/>
      <c r="F1248" s="18"/>
      <c r="G1248" s="18"/>
      <c r="H1248" s="1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>
      <c r="A1249" s="15"/>
      <c r="B1249" s="15"/>
      <c r="C1249" s="15"/>
      <c r="D1249" s="15"/>
      <c r="E1249" s="15"/>
      <c r="F1249" s="18"/>
      <c r="G1249" s="18"/>
      <c r="H1249" s="1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>
      <c r="A1250" s="15"/>
      <c r="B1250" s="15"/>
      <c r="C1250" s="15"/>
      <c r="D1250" s="15"/>
      <c r="E1250" s="15"/>
      <c r="F1250" s="18"/>
      <c r="G1250" s="18"/>
      <c r="H1250" s="1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>
      <c r="A1251" s="15"/>
      <c r="B1251" s="15"/>
      <c r="C1251" s="15"/>
      <c r="D1251" s="15"/>
      <c r="E1251" s="15"/>
      <c r="F1251" s="18"/>
      <c r="G1251" s="18"/>
      <c r="H1251" s="1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>
      <c r="A1252" s="15"/>
      <c r="B1252" s="15"/>
      <c r="C1252" s="15"/>
      <c r="D1252" s="15"/>
      <c r="E1252" s="15"/>
      <c r="F1252" s="18"/>
      <c r="G1252" s="18"/>
      <c r="H1252" s="1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>
      <c r="A1253" s="15"/>
      <c r="B1253" s="15"/>
      <c r="C1253" s="15"/>
      <c r="D1253" s="15"/>
      <c r="E1253" s="15"/>
      <c r="F1253" s="18"/>
      <c r="G1253" s="18"/>
      <c r="H1253" s="1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>
      <c r="A1254" s="15"/>
      <c r="B1254" s="15"/>
      <c r="C1254" s="15"/>
      <c r="D1254" s="15"/>
      <c r="E1254" s="15"/>
      <c r="F1254" s="18"/>
      <c r="G1254" s="18"/>
      <c r="H1254" s="1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>
      <c r="A1255" s="15"/>
      <c r="B1255" s="15"/>
      <c r="C1255" s="15"/>
      <c r="D1255" s="15"/>
      <c r="E1255" s="15"/>
      <c r="F1255" s="18"/>
      <c r="G1255" s="18"/>
      <c r="H1255" s="1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>
      <c r="A1256" s="15"/>
      <c r="B1256" s="15"/>
      <c r="C1256" s="15"/>
      <c r="D1256" s="15"/>
      <c r="E1256" s="15"/>
      <c r="F1256" s="18"/>
      <c r="G1256" s="18"/>
      <c r="H1256" s="1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>
      <c r="A1257" s="15"/>
      <c r="B1257" s="15"/>
      <c r="C1257" s="15"/>
      <c r="D1257" s="15"/>
      <c r="E1257" s="15"/>
      <c r="F1257" s="18"/>
      <c r="G1257" s="18"/>
      <c r="H1257" s="1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>
      <c r="A1258" s="15"/>
      <c r="B1258" s="15"/>
      <c r="C1258" s="15"/>
      <c r="D1258" s="15"/>
      <c r="E1258" s="15"/>
      <c r="F1258" s="18"/>
      <c r="G1258" s="18"/>
      <c r="H1258" s="1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>
      <c r="A1259" s="15"/>
      <c r="B1259" s="15"/>
      <c r="C1259" s="15"/>
      <c r="D1259" s="15"/>
      <c r="E1259" s="15"/>
      <c r="F1259" s="18"/>
      <c r="G1259" s="18"/>
      <c r="H1259" s="1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>
      <c r="A1260" s="15"/>
      <c r="B1260" s="15"/>
      <c r="C1260" s="15"/>
      <c r="D1260" s="15"/>
      <c r="E1260" s="15"/>
      <c r="F1260" s="18"/>
      <c r="G1260" s="18"/>
      <c r="H1260" s="1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>
      <c r="A1261" s="15"/>
      <c r="B1261" s="15"/>
      <c r="C1261" s="15"/>
      <c r="D1261" s="15"/>
      <c r="E1261" s="15"/>
      <c r="F1261" s="18"/>
      <c r="G1261" s="18"/>
      <c r="H1261" s="1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>
      <c r="A1262" s="15"/>
      <c r="B1262" s="15"/>
      <c r="C1262" s="15"/>
      <c r="D1262" s="15"/>
      <c r="E1262" s="15"/>
      <c r="F1262" s="18"/>
      <c r="G1262" s="18"/>
      <c r="H1262" s="1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>
      <c r="A1263" s="15"/>
      <c r="B1263" s="15"/>
      <c r="C1263" s="15"/>
      <c r="D1263" s="15"/>
      <c r="E1263" s="15"/>
      <c r="F1263" s="18"/>
      <c r="G1263" s="18"/>
      <c r="H1263" s="1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>
      <c r="A1264" s="15"/>
      <c r="B1264" s="15"/>
      <c r="C1264" s="15"/>
      <c r="D1264" s="15"/>
      <c r="E1264" s="15"/>
      <c r="F1264" s="18"/>
      <c r="G1264" s="18"/>
      <c r="H1264" s="1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>
      <c r="A1265" s="15"/>
      <c r="B1265" s="15"/>
      <c r="C1265" s="15"/>
      <c r="D1265" s="15"/>
      <c r="E1265" s="15"/>
      <c r="F1265" s="18"/>
      <c r="G1265" s="18"/>
      <c r="H1265" s="1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>
      <c r="A1266" s="15"/>
      <c r="B1266" s="15"/>
      <c r="C1266" s="15"/>
      <c r="D1266" s="15"/>
      <c r="E1266" s="15"/>
      <c r="F1266" s="18"/>
      <c r="G1266" s="18"/>
      <c r="H1266" s="1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>
      <c r="A1267" s="15"/>
      <c r="B1267" s="15"/>
      <c r="C1267" s="15"/>
      <c r="D1267" s="15"/>
      <c r="E1267" s="15"/>
      <c r="F1267" s="18"/>
      <c r="G1267" s="18"/>
      <c r="H1267" s="1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>
      <c r="A1268" s="15"/>
      <c r="B1268" s="15"/>
      <c r="C1268" s="15"/>
      <c r="D1268" s="15"/>
      <c r="E1268" s="15"/>
      <c r="F1268" s="18"/>
      <c r="G1268" s="18"/>
      <c r="H1268" s="1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>
      <c r="A1269" s="15"/>
      <c r="B1269" s="15"/>
      <c r="C1269" s="15"/>
      <c r="D1269" s="15"/>
      <c r="E1269" s="15"/>
      <c r="F1269" s="18"/>
      <c r="G1269" s="18"/>
      <c r="H1269" s="1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>
      <c r="A1270" s="15"/>
      <c r="B1270" s="15"/>
      <c r="C1270" s="15"/>
      <c r="D1270" s="15"/>
      <c r="E1270" s="15"/>
      <c r="F1270" s="18"/>
      <c r="G1270" s="18"/>
      <c r="H1270" s="1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15"/>
      <c r="B1271" s="15"/>
      <c r="C1271" s="15"/>
      <c r="D1271" s="15"/>
      <c r="E1271" s="15"/>
      <c r="F1271" s="18"/>
      <c r="G1271" s="18"/>
      <c r="H1271" s="1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>
      <c r="A1272" s="15"/>
      <c r="B1272" s="15"/>
      <c r="C1272" s="15"/>
      <c r="D1272" s="15"/>
      <c r="E1272" s="15"/>
      <c r="F1272" s="18"/>
      <c r="G1272" s="18"/>
      <c r="H1272" s="1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>
      <c r="A1273" s="15"/>
      <c r="B1273" s="15"/>
      <c r="C1273" s="15"/>
      <c r="D1273" s="15"/>
      <c r="E1273" s="15"/>
      <c r="F1273" s="18"/>
      <c r="G1273" s="18"/>
      <c r="H1273" s="1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>
      <c r="A1274" s="15"/>
      <c r="B1274" s="15"/>
      <c r="C1274" s="15"/>
      <c r="D1274" s="15"/>
      <c r="E1274" s="15"/>
      <c r="F1274" s="18"/>
      <c r="G1274" s="18"/>
      <c r="H1274" s="1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>
      <c r="A1275" s="15"/>
      <c r="B1275" s="15"/>
      <c r="C1275" s="15"/>
      <c r="D1275" s="15"/>
      <c r="E1275" s="15"/>
      <c r="F1275" s="18"/>
      <c r="G1275" s="18"/>
      <c r="H1275" s="1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>
      <c r="A1276" s="15"/>
      <c r="B1276" s="15"/>
      <c r="C1276" s="15"/>
      <c r="D1276" s="15"/>
      <c r="E1276" s="15"/>
      <c r="F1276" s="18"/>
      <c r="G1276" s="18"/>
      <c r="H1276" s="1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>
      <c r="A1277" s="15"/>
      <c r="B1277" s="15"/>
      <c r="C1277" s="15"/>
      <c r="D1277" s="15"/>
      <c r="E1277" s="15"/>
      <c r="F1277" s="18"/>
      <c r="G1277" s="18"/>
      <c r="H1277" s="1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>
      <c r="A1278" s="15"/>
      <c r="B1278" s="15"/>
      <c r="C1278" s="15"/>
      <c r="D1278" s="15"/>
      <c r="E1278" s="15"/>
      <c r="F1278" s="18"/>
      <c r="G1278" s="18"/>
      <c r="H1278" s="1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>
      <c r="A1279" s="15"/>
      <c r="B1279" s="15"/>
      <c r="C1279" s="15"/>
      <c r="D1279" s="15"/>
      <c r="E1279" s="15"/>
      <c r="F1279" s="18"/>
      <c r="G1279" s="18"/>
      <c r="H1279" s="1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>
      <c r="A1280" s="15"/>
      <c r="B1280" s="15"/>
      <c r="C1280" s="15"/>
      <c r="D1280" s="15"/>
      <c r="E1280" s="15"/>
      <c r="F1280" s="18"/>
      <c r="G1280" s="18"/>
      <c r="H1280" s="1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>
      <c r="A1281" s="15"/>
      <c r="B1281" s="15"/>
      <c r="C1281" s="15"/>
      <c r="D1281" s="15"/>
      <c r="E1281" s="15"/>
      <c r="F1281" s="18"/>
      <c r="G1281" s="18"/>
      <c r="H1281" s="1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>
      <c r="A1282" s="15"/>
      <c r="B1282" s="15"/>
      <c r="C1282" s="15"/>
      <c r="D1282" s="15"/>
      <c r="E1282" s="15"/>
      <c r="F1282" s="18"/>
      <c r="G1282" s="18"/>
      <c r="H1282" s="1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>
      <c r="A1283" s="15"/>
      <c r="B1283" s="15"/>
      <c r="C1283" s="15"/>
      <c r="D1283" s="15"/>
      <c r="E1283" s="15"/>
      <c r="F1283" s="18"/>
      <c r="G1283" s="18"/>
      <c r="H1283" s="1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>
      <c r="A1284" s="15"/>
      <c r="B1284" s="15"/>
      <c r="C1284" s="15"/>
      <c r="D1284" s="15"/>
      <c r="E1284" s="15"/>
      <c r="F1284" s="18"/>
      <c r="G1284" s="18"/>
      <c r="H1284" s="1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>
      <c r="A1285" s="15"/>
      <c r="B1285" s="15"/>
      <c r="C1285" s="15"/>
      <c r="D1285" s="15"/>
      <c r="E1285" s="15"/>
      <c r="F1285" s="18"/>
      <c r="G1285" s="18"/>
      <c r="H1285" s="1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>
      <c r="A1286" s="15"/>
      <c r="B1286" s="15"/>
      <c r="C1286" s="15"/>
      <c r="D1286" s="15"/>
      <c r="E1286" s="15"/>
      <c r="F1286" s="18"/>
      <c r="G1286" s="18"/>
      <c r="H1286" s="1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>
      <c r="A1287" s="15"/>
      <c r="B1287" s="15"/>
      <c r="C1287" s="15"/>
      <c r="D1287" s="15"/>
      <c r="E1287" s="15"/>
      <c r="F1287" s="18"/>
      <c r="G1287" s="18"/>
      <c r="H1287" s="1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>
      <c r="A1288" s="15"/>
      <c r="B1288" s="15"/>
      <c r="C1288" s="15"/>
      <c r="D1288" s="15"/>
      <c r="E1288" s="15"/>
      <c r="F1288" s="18"/>
      <c r="G1288" s="18"/>
      <c r="H1288" s="1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>
      <c r="A1289" s="15"/>
      <c r="B1289" s="15"/>
      <c r="C1289" s="15"/>
      <c r="D1289" s="15"/>
      <c r="E1289" s="15"/>
      <c r="F1289" s="18"/>
      <c r="G1289" s="18"/>
      <c r="H1289" s="1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>
      <c r="A1290" s="15"/>
      <c r="B1290" s="15"/>
      <c r="C1290" s="15"/>
      <c r="D1290" s="15"/>
      <c r="E1290" s="15"/>
      <c r="F1290" s="18"/>
      <c r="G1290" s="18"/>
      <c r="H1290" s="1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>
      <c r="A1291" s="15"/>
      <c r="B1291" s="15"/>
      <c r="C1291" s="15"/>
      <c r="D1291" s="15"/>
      <c r="E1291" s="15"/>
      <c r="F1291" s="18"/>
      <c r="G1291" s="18"/>
      <c r="H1291" s="1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>
      <c r="A1292" s="15"/>
      <c r="B1292" s="15"/>
      <c r="C1292" s="15"/>
      <c r="D1292" s="15"/>
      <c r="E1292" s="15"/>
      <c r="F1292" s="18"/>
      <c r="G1292" s="18"/>
      <c r="H1292" s="1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>
      <c r="A1293" s="15"/>
      <c r="B1293" s="15"/>
      <c r="C1293" s="15"/>
      <c r="D1293" s="15"/>
      <c r="E1293" s="15"/>
      <c r="F1293" s="18"/>
      <c r="G1293" s="18"/>
      <c r="H1293" s="1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>
      <c r="A1294" s="15"/>
      <c r="B1294" s="15"/>
      <c r="C1294" s="15"/>
      <c r="D1294" s="15"/>
      <c r="E1294" s="15"/>
      <c r="F1294" s="18"/>
      <c r="G1294" s="18"/>
      <c r="H1294" s="1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>
      <c r="A1295" s="15"/>
      <c r="B1295" s="15"/>
      <c r="C1295" s="15"/>
      <c r="D1295" s="15"/>
      <c r="E1295" s="15"/>
      <c r="F1295" s="18"/>
      <c r="G1295" s="18"/>
      <c r="H1295" s="1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>
      <c r="A1296" s="15"/>
      <c r="B1296" s="15"/>
      <c r="C1296" s="15"/>
      <c r="D1296" s="15"/>
      <c r="E1296" s="15"/>
      <c r="F1296" s="18"/>
      <c r="G1296" s="18"/>
      <c r="H1296" s="1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>
      <c r="A1297" s="15"/>
      <c r="B1297" s="15"/>
      <c r="C1297" s="15"/>
      <c r="D1297" s="15"/>
      <c r="E1297" s="15"/>
      <c r="F1297" s="18"/>
      <c r="G1297" s="18"/>
      <c r="H1297" s="1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>
      <c r="A1298" s="15"/>
      <c r="B1298" s="15"/>
      <c r="C1298" s="15"/>
      <c r="D1298" s="15"/>
      <c r="E1298" s="15"/>
      <c r="F1298" s="18"/>
      <c r="G1298" s="18"/>
      <c r="H1298" s="1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>
      <c r="A1299" s="15"/>
      <c r="B1299" s="15"/>
      <c r="C1299" s="15"/>
      <c r="D1299" s="15"/>
      <c r="E1299" s="15"/>
      <c r="F1299" s="18"/>
      <c r="G1299" s="18"/>
      <c r="H1299" s="1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>
      <c r="A1300" s="15"/>
      <c r="B1300" s="15"/>
      <c r="C1300" s="15"/>
      <c r="D1300" s="15"/>
      <c r="E1300" s="15"/>
      <c r="F1300" s="18"/>
      <c r="G1300" s="18"/>
      <c r="H1300" s="1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>
      <c r="A1301" s="15"/>
      <c r="B1301" s="15"/>
      <c r="C1301" s="15"/>
      <c r="D1301" s="15"/>
      <c r="E1301" s="15"/>
      <c r="F1301" s="18"/>
      <c r="G1301" s="18"/>
      <c r="H1301" s="1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>
      <c r="A1302" s="15"/>
      <c r="B1302" s="15"/>
      <c r="C1302" s="15"/>
      <c r="D1302" s="15"/>
      <c r="E1302" s="15"/>
      <c r="F1302" s="18"/>
      <c r="G1302" s="18"/>
      <c r="H1302" s="1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>
      <c r="A1303" s="15"/>
      <c r="B1303" s="15"/>
      <c r="C1303" s="15"/>
      <c r="D1303" s="15"/>
      <c r="E1303" s="15"/>
      <c r="F1303" s="18"/>
      <c r="G1303" s="18"/>
      <c r="H1303" s="1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>
      <c r="A1304" s="15"/>
      <c r="B1304" s="15"/>
      <c r="C1304" s="15"/>
      <c r="D1304" s="15"/>
      <c r="E1304" s="15"/>
      <c r="F1304" s="18"/>
      <c r="G1304" s="18"/>
      <c r="H1304" s="1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>
      <c r="A1305" s="15"/>
      <c r="B1305" s="15"/>
      <c r="C1305" s="15"/>
      <c r="D1305" s="15"/>
      <c r="E1305" s="15"/>
      <c r="F1305" s="18"/>
      <c r="G1305" s="18"/>
      <c r="H1305" s="1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>
      <c r="A1306" s="15"/>
      <c r="B1306" s="15"/>
      <c r="C1306" s="15"/>
      <c r="D1306" s="15"/>
      <c r="E1306" s="15"/>
      <c r="F1306" s="18"/>
      <c r="G1306" s="18"/>
      <c r="H1306" s="1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>
      <c r="A1307" s="15"/>
      <c r="B1307" s="15"/>
      <c r="C1307" s="15"/>
      <c r="D1307" s="15"/>
      <c r="E1307" s="15"/>
      <c r="F1307" s="18"/>
      <c r="G1307" s="18"/>
      <c r="H1307" s="1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>
      <c r="A1308" s="15"/>
      <c r="B1308" s="15"/>
      <c r="C1308" s="15"/>
      <c r="D1308" s="15"/>
      <c r="E1308" s="15"/>
      <c r="F1308" s="18"/>
      <c r="G1308" s="18"/>
      <c r="H1308" s="1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>
      <c r="A1309" s="15"/>
      <c r="B1309" s="15"/>
      <c r="C1309" s="15"/>
      <c r="D1309" s="15"/>
      <c r="E1309" s="15"/>
      <c r="F1309" s="18"/>
      <c r="G1309" s="18"/>
      <c r="H1309" s="1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>
      <c r="A1310" s="15"/>
      <c r="B1310" s="15"/>
      <c r="C1310" s="15"/>
      <c r="D1310" s="15"/>
      <c r="E1310" s="15"/>
      <c r="F1310" s="18"/>
      <c r="G1310" s="18"/>
      <c r="H1310" s="1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>
      <c r="A1311" s="15"/>
      <c r="B1311" s="15"/>
      <c r="C1311" s="15"/>
      <c r="D1311" s="15"/>
      <c r="E1311" s="15"/>
      <c r="F1311" s="18"/>
      <c r="G1311" s="18"/>
      <c r="H1311" s="1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>
      <c r="A1312" s="15"/>
      <c r="B1312" s="15"/>
      <c r="C1312" s="15"/>
      <c r="D1312" s="15"/>
      <c r="E1312" s="15"/>
      <c r="F1312" s="18"/>
      <c r="G1312" s="18"/>
      <c r="H1312" s="1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>
      <c r="A1313" s="15"/>
      <c r="B1313" s="15"/>
      <c r="C1313" s="15"/>
      <c r="D1313" s="15"/>
      <c r="E1313" s="15"/>
      <c r="F1313" s="18"/>
      <c r="G1313" s="18"/>
      <c r="H1313" s="1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>
      <c r="A1314" s="15"/>
      <c r="B1314" s="15"/>
      <c r="C1314" s="15"/>
      <c r="D1314" s="15"/>
      <c r="E1314" s="15"/>
      <c r="F1314" s="18"/>
      <c r="G1314" s="18"/>
      <c r="H1314" s="1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>
      <c r="A1315" s="15"/>
      <c r="B1315" s="15"/>
      <c r="C1315" s="15"/>
      <c r="D1315" s="15"/>
      <c r="E1315" s="15"/>
      <c r="F1315" s="18"/>
      <c r="G1315" s="18"/>
      <c r="H1315" s="1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>
      <c r="A1316" s="15"/>
      <c r="B1316" s="15"/>
      <c r="C1316" s="15"/>
      <c r="D1316" s="15"/>
      <c r="E1316" s="15"/>
      <c r="F1316" s="18"/>
      <c r="G1316" s="18"/>
      <c r="H1316" s="1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>
      <c r="A1317" s="15"/>
      <c r="B1317" s="15"/>
      <c r="C1317" s="15"/>
      <c r="D1317" s="15"/>
      <c r="E1317" s="15"/>
      <c r="F1317" s="18"/>
      <c r="G1317" s="18"/>
      <c r="H1317" s="1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>
      <c r="A1318" s="15"/>
      <c r="B1318" s="15"/>
      <c r="C1318" s="15"/>
      <c r="D1318" s="15"/>
      <c r="E1318" s="15"/>
      <c r="F1318" s="18"/>
      <c r="G1318" s="18"/>
      <c r="H1318" s="1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>
      <c r="A1319" s="15"/>
      <c r="B1319" s="15"/>
      <c r="C1319" s="15"/>
      <c r="D1319" s="15"/>
      <c r="E1319" s="15"/>
      <c r="F1319" s="18"/>
      <c r="G1319" s="18"/>
      <c r="H1319" s="1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>
      <c r="A1320" s="15"/>
      <c r="B1320" s="15"/>
      <c r="C1320" s="15"/>
      <c r="D1320" s="15"/>
      <c r="E1320" s="15"/>
      <c r="F1320" s="18"/>
      <c r="G1320" s="18"/>
      <c r="H1320" s="1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>
      <c r="A1321" s="15"/>
      <c r="B1321" s="15"/>
      <c r="C1321" s="15"/>
      <c r="D1321" s="15"/>
      <c r="E1321" s="15"/>
      <c r="F1321" s="18"/>
      <c r="G1321" s="18"/>
      <c r="H1321" s="1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>
      <c r="A1322" s="15"/>
      <c r="B1322" s="15"/>
      <c r="C1322" s="15"/>
      <c r="D1322" s="15"/>
      <c r="E1322" s="15"/>
      <c r="F1322" s="18"/>
      <c r="G1322" s="18"/>
      <c r="H1322" s="1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>
      <c r="A1323" s="15"/>
      <c r="B1323" s="15"/>
      <c r="C1323" s="15"/>
      <c r="D1323" s="15"/>
      <c r="E1323" s="15"/>
      <c r="F1323" s="18"/>
      <c r="G1323" s="18"/>
      <c r="H1323" s="1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>
      <c r="A1324" s="15"/>
      <c r="B1324" s="15"/>
      <c r="C1324" s="15"/>
      <c r="D1324" s="15"/>
      <c r="E1324" s="15"/>
      <c r="F1324" s="18"/>
      <c r="G1324" s="18"/>
      <c r="H1324" s="1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>
      <c r="A1325" s="15"/>
      <c r="B1325" s="15"/>
      <c r="C1325" s="15"/>
      <c r="D1325" s="15"/>
      <c r="E1325" s="15"/>
      <c r="F1325" s="18"/>
      <c r="G1325" s="18"/>
      <c r="H1325" s="1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>
      <c r="A1326" s="15"/>
      <c r="B1326" s="15"/>
      <c r="C1326" s="15"/>
      <c r="D1326" s="15"/>
      <c r="E1326" s="15"/>
      <c r="F1326" s="18"/>
      <c r="G1326" s="18"/>
      <c r="H1326" s="1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>
      <c r="A1327" s="15"/>
      <c r="B1327" s="15"/>
      <c r="C1327" s="15"/>
      <c r="D1327" s="15"/>
      <c r="E1327" s="15"/>
      <c r="F1327" s="18"/>
      <c r="G1327" s="18"/>
      <c r="H1327" s="1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>
      <c r="A1328" s="15"/>
      <c r="B1328" s="15"/>
      <c r="C1328" s="15"/>
      <c r="D1328" s="15"/>
      <c r="E1328" s="15"/>
      <c r="F1328" s="18"/>
      <c r="G1328" s="18"/>
      <c r="H1328" s="1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>
      <c r="A1329" s="15"/>
      <c r="B1329" s="15"/>
      <c r="C1329" s="15"/>
      <c r="D1329" s="15"/>
      <c r="E1329" s="15"/>
      <c r="F1329" s="18"/>
      <c r="G1329" s="18"/>
      <c r="H1329" s="1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>
      <c r="A1330" s="15"/>
      <c r="B1330" s="15"/>
      <c r="C1330" s="15"/>
      <c r="D1330" s="15"/>
      <c r="E1330" s="15"/>
      <c r="F1330" s="18"/>
      <c r="G1330" s="18"/>
      <c r="H1330" s="1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>
      <c r="A1331" s="15"/>
      <c r="B1331" s="15"/>
      <c r="C1331" s="15"/>
      <c r="D1331" s="15"/>
      <c r="E1331" s="15"/>
      <c r="F1331" s="18"/>
      <c r="G1331" s="18"/>
      <c r="H1331" s="1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>
      <c r="A1332" s="15"/>
      <c r="B1332" s="15"/>
      <c r="C1332" s="15"/>
      <c r="D1332" s="15"/>
      <c r="E1332" s="15"/>
      <c r="F1332" s="18"/>
      <c r="G1332" s="18"/>
      <c r="H1332" s="1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>
      <c r="A1333" s="15"/>
      <c r="B1333" s="15"/>
      <c r="C1333" s="15"/>
      <c r="D1333" s="15"/>
      <c r="E1333" s="15"/>
      <c r="F1333" s="18"/>
      <c r="G1333" s="18"/>
      <c r="H1333" s="1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>
      <c r="A1334" s="15"/>
      <c r="B1334" s="15"/>
      <c r="C1334" s="15"/>
      <c r="D1334" s="15"/>
      <c r="E1334" s="15"/>
      <c r="F1334" s="18"/>
      <c r="G1334" s="18"/>
      <c r="H1334" s="1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>
      <c r="A1335" s="15"/>
      <c r="B1335" s="15"/>
      <c r="C1335" s="15"/>
      <c r="D1335" s="15"/>
      <c r="E1335" s="15"/>
      <c r="F1335" s="18"/>
      <c r="G1335" s="18"/>
      <c r="H1335" s="1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>
      <c r="A1336" s="15"/>
      <c r="B1336" s="15"/>
      <c r="C1336" s="15"/>
      <c r="D1336" s="15"/>
      <c r="E1336" s="15"/>
      <c r="F1336" s="18"/>
      <c r="G1336" s="18"/>
      <c r="H1336" s="1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>
      <c r="A1337" s="15"/>
      <c r="B1337" s="15"/>
      <c r="C1337" s="15"/>
      <c r="D1337" s="15"/>
      <c r="E1337" s="15"/>
      <c r="F1337" s="18"/>
      <c r="G1337" s="18"/>
      <c r="H1337" s="1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>
      <c r="A1338" s="15"/>
      <c r="B1338" s="15"/>
      <c r="C1338" s="15"/>
      <c r="D1338" s="15"/>
      <c r="E1338" s="15"/>
      <c r="F1338" s="18"/>
      <c r="G1338" s="18"/>
      <c r="H1338" s="1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>
      <c r="A1339" s="15"/>
      <c r="B1339" s="15"/>
      <c r="C1339" s="15"/>
      <c r="D1339" s="15"/>
      <c r="E1339" s="15"/>
      <c r="F1339" s="18"/>
      <c r="G1339" s="18"/>
      <c r="H1339" s="1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>
      <c r="A1340" s="15"/>
      <c r="B1340" s="15"/>
      <c r="C1340" s="15"/>
      <c r="D1340" s="15"/>
      <c r="E1340" s="15"/>
      <c r="F1340" s="18"/>
      <c r="G1340" s="18"/>
      <c r="H1340" s="1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>
      <c r="A1341" s="15"/>
      <c r="B1341" s="15"/>
      <c r="C1341" s="15"/>
      <c r="D1341" s="15"/>
      <c r="E1341" s="15"/>
      <c r="F1341" s="18"/>
      <c r="G1341" s="18"/>
      <c r="H1341" s="18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>
      <c r="A1342" s="15"/>
      <c r="B1342" s="15"/>
      <c r="C1342" s="15"/>
      <c r="D1342" s="15"/>
      <c r="E1342" s="15"/>
      <c r="F1342" s="18"/>
      <c r="G1342" s="18"/>
      <c r="H1342" s="1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>
      <c r="A1343" s="15"/>
      <c r="B1343" s="15"/>
      <c r="C1343" s="15"/>
      <c r="D1343" s="15"/>
      <c r="E1343" s="15"/>
      <c r="F1343" s="18"/>
      <c r="G1343" s="18"/>
      <c r="H1343" s="18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>
      <c r="A1344" s="15"/>
      <c r="B1344" s="15"/>
      <c r="C1344" s="15"/>
      <c r="D1344" s="15"/>
      <c r="E1344" s="15"/>
      <c r="F1344" s="18"/>
      <c r="G1344" s="18"/>
      <c r="H1344" s="1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>
      <c r="A1345" s="15"/>
      <c r="B1345" s="15"/>
      <c r="C1345" s="15"/>
      <c r="D1345" s="15"/>
      <c r="E1345" s="15"/>
      <c r="F1345" s="18"/>
      <c r="G1345" s="18"/>
      <c r="H1345" s="1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>
      <c r="A1346" s="15"/>
      <c r="B1346" s="15"/>
      <c r="C1346" s="15"/>
      <c r="D1346" s="15"/>
      <c r="E1346" s="15"/>
      <c r="F1346" s="18"/>
      <c r="G1346" s="18"/>
      <c r="H1346" s="1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>
      <c r="A1347" s="15"/>
      <c r="B1347" s="15"/>
      <c r="C1347" s="15"/>
      <c r="D1347" s="15"/>
      <c r="E1347" s="15"/>
      <c r="F1347" s="18"/>
      <c r="G1347" s="18"/>
      <c r="H1347" s="1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>
      <c r="A1348" s="15"/>
      <c r="B1348" s="15"/>
      <c r="C1348" s="15"/>
      <c r="D1348" s="15"/>
      <c r="E1348" s="15"/>
      <c r="F1348" s="18"/>
      <c r="G1348" s="18"/>
      <c r="H1348" s="1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>
      <c r="A1349" s="15"/>
      <c r="B1349" s="15"/>
      <c r="C1349" s="15"/>
      <c r="D1349" s="15"/>
      <c r="E1349" s="15"/>
      <c r="F1349" s="18"/>
      <c r="G1349" s="18"/>
      <c r="H1349" s="1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>
      <c r="A1350" s="15"/>
      <c r="B1350" s="15"/>
      <c r="C1350" s="15"/>
      <c r="D1350" s="15"/>
      <c r="E1350" s="15"/>
      <c r="F1350" s="18"/>
      <c r="G1350" s="18"/>
      <c r="H1350" s="18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>
      <c r="A1351" s="15"/>
      <c r="B1351" s="15"/>
      <c r="C1351" s="15"/>
      <c r="D1351" s="15"/>
      <c r="E1351" s="15"/>
      <c r="F1351" s="18"/>
      <c r="G1351" s="18"/>
      <c r="H1351" s="1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>
      <c r="A1352" s="15"/>
      <c r="B1352" s="15"/>
      <c r="C1352" s="15"/>
      <c r="D1352" s="15"/>
      <c r="E1352" s="15"/>
      <c r="F1352" s="18"/>
      <c r="G1352" s="18"/>
      <c r="H1352" s="18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>
      <c r="A1353" s="15"/>
      <c r="B1353" s="15"/>
      <c r="C1353" s="15"/>
      <c r="D1353" s="15"/>
      <c r="E1353" s="15"/>
      <c r="F1353" s="18"/>
      <c r="G1353" s="18"/>
      <c r="H1353" s="1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>
      <c r="A1354" s="15"/>
      <c r="B1354" s="15"/>
      <c r="C1354" s="15"/>
      <c r="D1354" s="15"/>
      <c r="E1354" s="15"/>
      <c r="F1354" s="18"/>
      <c r="G1354" s="18"/>
      <c r="H1354" s="1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>
      <c r="A1355" s="15"/>
      <c r="B1355" s="15"/>
      <c r="C1355" s="15"/>
      <c r="D1355" s="15"/>
      <c r="E1355" s="15"/>
      <c r="F1355" s="18"/>
      <c r="G1355" s="18"/>
      <c r="H1355" s="1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>
      <c r="A1356" s="15"/>
      <c r="B1356" s="15"/>
      <c r="C1356" s="15"/>
      <c r="D1356" s="15"/>
      <c r="E1356" s="15"/>
      <c r="F1356" s="18"/>
      <c r="G1356" s="18"/>
      <c r="H1356" s="1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>
      <c r="A1357" s="15"/>
      <c r="B1357" s="15"/>
      <c r="C1357" s="15"/>
      <c r="D1357" s="15"/>
      <c r="E1357" s="15"/>
      <c r="F1357" s="18"/>
      <c r="G1357" s="18"/>
      <c r="H1357" s="1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>
      <c r="A1358" s="15"/>
      <c r="B1358" s="15"/>
      <c r="C1358" s="15"/>
      <c r="D1358" s="15"/>
      <c r="E1358" s="15"/>
      <c r="F1358" s="18"/>
      <c r="G1358" s="18"/>
      <c r="H1358" s="1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>
      <c r="A1359" s="15"/>
      <c r="B1359" s="15"/>
      <c r="C1359" s="15"/>
      <c r="D1359" s="15"/>
      <c r="E1359" s="15"/>
      <c r="F1359" s="18"/>
      <c r="G1359" s="18"/>
      <c r="H1359" s="18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>
      <c r="A1360" s="15"/>
      <c r="B1360" s="15"/>
      <c r="C1360" s="15"/>
      <c r="D1360" s="15"/>
      <c r="E1360" s="15"/>
      <c r="F1360" s="18"/>
      <c r="G1360" s="18"/>
      <c r="H1360" s="1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>
      <c r="A1361" s="15"/>
      <c r="B1361" s="15"/>
      <c r="C1361" s="15"/>
      <c r="D1361" s="15"/>
      <c r="E1361" s="15"/>
      <c r="F1361" s="18"/>
      <c r="G1361" s="18"/>
      <c r="H1361" s="18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>
      <c r="A1362" s="15"/>
      <c r="B1362" s="15"/>
      <c r="C1362" s="15"/>
      <c r="D1362" s="15"/>
      <c r="E1362" s="15"/>
      <c r="F1362" s="18"/>
      <c r="G1362" s="18"/>
      <c r="H1362" s="1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>
      <c r="A1363" s="15"/>
      <c r="B1363" s="15"/>
      <c r="C1363" s="15"/>
      <c r="D1363" s="15"/>
      <c r="E1363" s="15"/>
      <c r="F1363" s="18"/>
      <c r="G1363" s="18"/>
      <c r="H1363" s="18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>
      <c r="A1364" s="15"/>
      <c r="B1364" s="15"/>
      <c r="C1364" s="15"/>
      <c r="D1364" s="15"/>
      <c r="E1364" s="15"/>
      <c r="F1364" s="18"/>
      <c r="G1364" s="18"/>
      <c r="H1364" s="1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>
      <c r="A1365" s="15"/>
      <c r="B1365" s="15"/>
      <c r="C1365" s="15"/>
      <c r="D1365" s="15"/>
      <c r="E1365" s="15"/>
      <c r="F1365" s="18"/>
      <c r="G1365" s="18"/>
      <c r="H1365" s="1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>
      <c r="A1366" s="15"/>
      <c r="B1366" s="15"/>
      <c r="C1366" s="15"/>
      <c r="D1366" s="15"/>
      <c r="E1366" s="15"/>
      <c r="F1366" s="18"/>
      <c r="G1366" s="18"/>
      <c r="H1366" s="1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>
      <c r="A1367" s="15"/>
      <c r="B1367" s="15"/>
      <c r="C1367" s="15"/>
      <c r="D1367" s="15"/>
      <c r="E1367" s="15"/>
      <c r="F1367" s="18"/>
      <c r="G1367" s="18"/>
      <c r="H1367" s="1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>
      <c r="A1368" s="15"/>
      <c r="B1368" s="15"/>
      <c r="C1368" s="15"/>
      <c r="D1368" s="15"/>
      <c r="E1368" s="15"/>
      <c r="F1368" s="18"/>
      <c r="G1368" s="18"/>
      <c r="H1368" s="1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>
      <c r="A1369" s="15"/>
      <c r="B1369" s="15"/>
      <c r="C1369" s="15"/>
      <c r="D1369" s="15"/>
      <c r="E1369" s="15"/>
      <c r="F1369" s="18"/>
      <c r="G1369" s="18"/>
      <c r="H1369" s="1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>
      <c r="A1370" s="15"/>
      <c r="B1370" s="15"/>
      <c r="C1370" s="15"/>
      <c r="D1370" s="15"/>
      <c r="E1370" s="15"/>
      <c r="F1370" s="18"/>
      <c r="G1370" s="18"/>
      <c r="H1370" s="18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>
      <c r="A1371" s="15"/>
      <c r="B1371" s="15"/>
      <c r="C1371" s="15"/>
      <c r="D1371" s="15"/>
      <c r="E1371" s="15"/>
      <c r="F1371" s="18"/>
      <c r="G1371" s="18"/>
      <c r="H1371" s="1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>
      <c r="A1372" s="15"/>
      <c r="B1372" s="15"/>
      <c r="C1372" s="15"/>
      <c r="D1372" s="15"/>
      <c r="E1372" s="15"/>
      <c r="F1372" s="18"/>
      <c r="G1372" s="18"/>
      <c r="H1372" s="18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>
      <c r="A1373" s="15"/>
      <c r="B1373" s="15"/>
      <c r="C1373" s="15"/>
      <c r="D1373" s="15"/>
      <c r="E1373" s="15"/>
      <c r="F1373" s="18"/>
      <c r="G1373" s="18"/>
      <c r="H1373" s="18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>
      <c r="A1374" s="15"/>
      <c r="B1374" s="15"/>
      <c r="C1374" s="15"/>
      <c r="D1374" s="15"/>
      <c r="E1374" s="15"/>
      <c r="F1374" s="18"/>
      <c r="G1374" s="18"/>
      <c r="H1374" s="18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>
      <c r="A1375" s="15"/>
      <c r="B1375" s="15"/>
      <c r="C1375" s="15"/>
      <c r="D1375" s="15"/>
      <c r="E1375" s="15"/>
      <c r="F1375" s="18"/>
      <c r="G1375" s="18"/>
      <c r="H1375" s="18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>
      <c r="A1376" s="15"/>
      <c r="B1376" s="15"/>
      <c r="C1376" s="15"/>
      <c r="D1376" s="15"/>
      <c r="E1376" s="15"/>
      <c r="F1376" s="18"/>
      <c r="G1376" s="18"/>
      <c r="H1376" s="18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>
      <c r="A1377" s="15"/>
      <c r="B1377" s="15"/>
      <c r="C1377" s="15"/>
      <c r="D1377" s="15"/>
      <c r="E1377" s="15"/>
      <c r="F1377" s="18"/>
      <c r="G1377" s="18"/>
      <c r="H1377" s="18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>
      <c r="A1378" s="15"/>
      <c r="B1378" s="15"/>
      <c r="C1378" s="15"/>
      <c r="D1378" s="15"/>
      <c r="E1378" s="15"/>
      <c r="F1378" s="18"/>
      <c r="G1378" s="18"/>
      <c r="H1378" s="18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>
      <c r="A1379" s="15"/>
      <c r="B1379" s="15"/>
      <c r="C1379" s="15"/>
      <c r="D1379" s="15"/>
      <c r="E1379" s="15"/>
      <c r="F1379" s="18"/>
      <c r="G1379" s="18"/>
      <c r="H1379" s="18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>
      <c r="A1380" s="15"/>
      <c r="B1380" s="15"/>
      <c r="C1380" s="15"/>
      <c r="D1380" s="15"/>
      <c r="E1380" s="15"/>
      <c r="F1380" s="18"/>
      <c r="G1380" s="18"/>
      <c r="H1380" s="18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>
      <c r="A1381" s="15"/>
      <c r="B1381" s="15"/>
      <c r="C1381" s="15"/>
      <c r="D1381" s="15"/>
      <c r="E1381" s="15"/>
      <c r="F1381" s="18"/>
      <c r="G1381" s="18"/>
      <c r="H1381" s="18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>
      <c r="A1382" s="15"/>
      <c r="B1382" s="15"/>
      <c r="C1382" s="15"/>
      <c r="D1382" s="15"/>
      <c r="E1382" s="15"/>
      <c r="F1382" s="18"/>
      <c r="G1382" s="18"/>
      <c r="H1382" s="18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>
      <c r="A1383" s="15"/>
      <c r="B1383" s="15"/>
      <c r="C1383" s="15"/>
      <c r="D1383" s="15"/>
      <c r="E1383" s="15"/>
      <c r="F1383" s="18"/>
      <c r="G1383" s="18"/>
      <c r="H1383" s="18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>
      <c r="A1384" s="15"/>
      <c r="B1384" s="15"/>
      <c r="C1384" s="15"/>
      <c r="D1384" s="15"/>
      <c r="E1384" s="15"/>
      <c r="F1384" s="18"/>
      <c r="G1384" s="18"/>
      <c r="H1384" s="18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>
      <c r="A1385" s="15"/>
      <c r="B1385" s="15"/>
      <c r="C1385" s="15"/>
      <c r="D1385" s="15"/>
      <c r="E1385" s="15"/>
      <c r="F1385" s="18"/>
      <c r="G1385" s="18"/>
      <c r="H1385" s="18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>
      <c r="A1386" s="15"/>
      <c r="B1386" s="15"/>
      <c r="C1386" s="15"/>
      <c r="D1386" s="15"/>
      <c r="E1386" s="15"/>
      <c r="F1386" s="18"/>
      <c r="G1386" s="18"/>
      <c r="H1386" s="18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>
      <c r="A1387" s="15"/>
      <c r="B1387" s="15"/>
      <c r="C1387" s="15"/>
      <c r="D1387" s="15"/>
      <c r="E1387" s="15"/>
      <c r="F1387" s="18"/>
      <c r="G1387" s="18"/>
      <c r="H1387" s="18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>
      <c r="A1388" s="15"/>
      <c r="B1388" s="15"/>
      <c r="C1388" s="15"/>
      <c r="D1388" s="15"/>
      <c r="E1388" s="15"/>
      <c r="F1388" s="18"/>
      <c r="G1388" s="18"/>
      <c r="H1388" s="18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>
      <c r="A1389" s="15"/>
      <c r="B1389" s="15"/>
      <c r="C1389" s="15"/>
      <c r="D1389" s="15"/>
      <c r="E1389" s="15"/>
      <c r="F1389" s="18"/>
      <c r="G1389" s="18"/>
      <c r="H1389" s="18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>
      <c r="A1390" s="15"/>
      <c r="B1390" s="15"/>
      <c r="C1390" s="15"/>
      <c r="D1390" s="15"/>
      <c r="E1390" s="15"/>
      <c r="F1390" s="18"/>
      <c r="G1390" s="18"/>
      <c r="H1390" s="18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>
      <c r="A1391" s="15"/>
      <c r="B1391" s="15"/>
      <c r="C1391" s="15"/>
      <c r="D1391" s="15"/>
      <c r="E1391" s="15"/>
      <c r="F1391" s="18"/>
      <c r="G1391" s="18"/>
      <c r="H1391" s="18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>
      <c r="A1392" s="15"/>
      <c r="B1392" s="15"/>
      <c r="C1392" s="15"/>
      <c r="D1392" s="15"/>
      <c r="E1392" s="15"/>
      <c r="F1392" s="18"/>
      <c r="G1392" s="18"/>
      <c r="H1392" s="18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>
      <c r="A1393" s="15"/>
      <c r="B1393" s="15"/>
      <c r="C1393" s="15"/>
      <c r="D1393" s="15"/>
      <c r="E1393" s="15"/>
      <c r="F1393" s="18"/>
      <c r="G1393" s="18"/>
      <c r="H1393" s="18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>
      <c r="A1394" s="15"/>
      <c r="B1394" s="15"/>
      <c r="C1394" s="15"/>
      <c r="D1394" s="15"/>
      <c r="E1394" s="15"/>
      <c r="F1394" s="18"/>
      <c r="G1394" s="18"/>
      <c r="H1394" s="18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>
      <c r="A1395" s="15"/>
      <c r="B1395" s="15"/>
      <c r="C1395" s="15"/>
      <c r="D1395" s="15"/>
      <c r="E1395" s="15"/>
      <c r="F1395" s="18"/>
      <c r="G1395" s="18"/>
      <c r="H1395" s="18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>
      <c r="A1396" s="15"/>
      <c r="B1396" s="15"/>
      <c r="C1396" s="15"/>
      <c r="D1396" s="15"/>
      <c r="E1396" s="15"/>
      <c r="F1396" s="18"/>
      <c r="G1396" s="18"/>
      <c r="H1396" s="18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>
      <c r="A1397" s="15"/>
      <c r="B1397" s="15"/>
      <c r="C1397" s="15"/>
      <c r="D1397" s="15"/>
      <c r="E1397" s="15"/>
      <c r="F1397" s="18"/>
      <c r="G1397" s="18"/>
      <c r="H1397" s="18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>
      <c r="A1398" s="15"/>
      <c r="B1398" s="15"/>
      <c r="C1398" s="15"/>
      <c r="D1398" s="15"/>
      <c r="E1398" s="15"/>
      <c r="F1398" s="18"/>
      <c r="G1398" s="18"/>
      <c r="H1398" s="18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>
      <c r="A1399" s="15"/>
      <c r="B1399" s="15"/>
      <c r="C1399" s="15"/>
      <c r="D1399" s="15"/>
      <c r="E1399" s="15"/>
      <c r="F1399" s="18"/>
      <c r="G1399" s="18"/>
      <c r="H1399" s="18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>
      <c r="A1400" s="15"/>
      <c r="B1400" s="15"/>
      <c r="C1400" s="15"/>
      <c r="D1400" s="15"/>
      <c r="E1400" s="15"/>
      <c r="F1400" s="18"/>
      <c r="G1400" s="18"/>
      <c r="H1400" s="18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>
      <c r="A1401" s="15"/>
      <c r="B1401" s="15"/>
      <c r="C1401" s="15"/>
      <c r="D1401" s="15"/>
      <c r="E1401" s="15"/>
      <c r="F1401" s="18"/>
      <c r="G1401" s="18"/>
      <c r="H1401" s="18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>
      <c r="A1402" s="15"/>
      <c r="B1402" s="15"/>
      <c r="C1402" s="15"/>
      <c r="D1402" s="15"/>
      <c r="E1402" s="15"/>
      <c r="F1402" s="18"/>
      <c r="G1402" s="18"/>
      <c r="H1402" s="18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>
      <c r="A1403" s="15"/>
      <c r="B1403" s="15"/>
      <c r="C1403" s="15"/>
      <c r="D1403" s="15"/>
      <c r="E1403" s="15"/>
      <c r="F1403" s="18"/>
      <c r="G1403" s="18"/>
      <c r="H1403" s="18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>
      <c r="A1404" s="15"/>
      <c r="B1404" s="15"/>
      <c r="C1404" s="15"/>
      <c r="D1404" s="15"/>
      <c r="E1404" s="15"/>
      <c r="F1404" s="18"/>
      <c r="G1404" s="18"/>
      <c r="H1404" s="18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>
      <c r="A1405" s="15"/>
      <c r="B1405" s="15"/>
      <c r="C1405" s="15"/>
      <c r="D1405" s="15"/>
      <c r="E1405" s="15"/>
      <c r="F1405" s="18"/>
      <c r="G1405" s="18"/>
      <c r="H1405" s="18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>
      <c r="A1406" s="15"/>
      <c r="B1406" s="15"/>
      <c r="C1406" s="15"/>
      <c r="D1406" s="15"/>
      <c r="E1406" s="15"/>
      <c r="F1406" s="18"/>
      <c r="G1406" s="18"/>
      <c r="H1406" s="18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>
      <c r="A1407" s="15"/>
      <c r="B1407" s="15"/>
      <c r="C1407" s="15"/>
      <c r="D1407" s="15"/>
      <c r="E1407" s="15"/>
      <c r="F1407" s="18"/>
      <c r="G1407" s="18"/>
      <c r="H1407" s="18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>
      <c r="A1408" s="15"/>
      <c r="B1408" s="15"/>
      <c r="C1408" s="15"/>
      <c r="D1408" s="15"/>
      <c r="E1408" s="15"/>
      <c r="F1408" s="18"/>
      <c r="G1408" s="18"/>
      <c r="H1408" s="18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>
      <c r="A1409" s="15"/>
      <c r="B1409" s="15"/>
      <c r="C1409" s="15"/>
      <c r="D1409" s="15"/>
      <c r="E1409" s="15"/>
      <c r="F1409" s="18"/>
      <c r="G1409" s="18"/>
      <c r="H1409" s="18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>
      <c r="A1410" s="15"/>
      <c r="B1410" s="15"/>
      <c r="C1410" s="15"/>
      <c r="D1410" s="15"/>
      <c r="E1410" s="15"/>
      <c r="F1410" s="18"/>
      <c r="G1410" s="18"/>
      <c r="H1410" s="18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>
      <c r="A1411" s="15"/>
      <c r="B1411" s="15"/>
      <c r="C1411" s="15"/>
      <c r="D1411" s="15"/>
      <c r="E1411" s="15"/>
      <c r="F1411" s="18"/>
      <c r="G1411" s="18"/>
      <c r="H1411" s="18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>
      <c r="A1412" s="15"/>
      <c r="B1412" s="15"/>
      <c r="C1412" s="15"/>
      <c r="D1412" s="15"/>
      <c r="E1412" s="15"/>
      <c r="F1412" s="18"/>
      <c r="G1412" s="18"/>
      <c r="H1412" s="18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>
      <c r="A1413" s="15"/>
      <c r="B1413" s="15"/>
      <c r="C1413" s="15"/>
      <c r="D1413" s="15"/>
      <c r="E1413" s="15"/>
      <c r="F1413" s="18"/>
      <c r="G1413" s="18"/>
      <c r="H1413" s="18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>
      <c r="A1414" s="15"/>
      <c r="B1414" s="15"/>
      <c r="C1414" s="15"/>
      <c r="D1414" s="15"/>
      <c r="E1414" s="15"/>
      <c r="F1414" s="18"/>
      <c r="G1414" s="18"/>
      <c r="H1414" s="18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>
      <c r="A1415" s="15"/>
      <c r="B1415" s="15"/>
      <c r="C1415" s="15"/>
      <c r="D1415" s="15"/>
      <c r="E1415" s="15"/>
      <c r="F1415" s="18"/>
      <c r="G1415" s="18"/>
      <c r="H1415" s="18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>
      <c r="A1416" s="15"/>
      <c r="B1416" s="15"/>
      <c r="C1416" s="15"/>
      <c r="D1416" s="15"/>
      <c r="E1416" s="15"/>
      <c r="F1416" s="18"/>
      <c r="G1416" s="18"/>
      <c r="H1416" s="18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>
      <c r="A1417" s="15"/>
      <c r="B1417" s="15"/>
      <c r="C1417" s="15"/>
      <c r="D1417" s="15"/>
      <c r="E1417" s="15"/>
      <c r="F1417" s="18"/>
      <c r="G1417" s="18"/>
      <c r="H1417" s="18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>
      <c r="A1418" s="15"/>
      <c r="B1418" s="15"/>
      <c r="C1418" s="15"/>
      <c r="D1418" s="15"/>
      <c r="E1418" s="15"/>
      <c r="F1418" s="18"/>
      <c r="G1418" s="18"/>
      <c r="H1418" s="18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>
      <c r="A1419" s="15"/>
      <c r="B1419" s="15"/>
      <c r="C1419" s="15"/>
      <c r="D1419" s="15"/>
      <c r="E1419" s="15"/>
      <c r="F1419" s="18"/>
      <c r="G1419" s="18"/>
      <c r="H1419" s="18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>
      <c r="A1420" s="15"/>
      <c r="B1420" s="15"/>
      <c r="C1420" s="15"/>
      <c r="D1420" s="15"/>
      <c r="E1420" s="15"/>
      <c r="F1420" s="18"/>
      <c r="G1420" s="18"/>
      <c r="H1420" s="18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>
      <c r="A1421" s="15"/>
      <c r="B1421" s="15"/>
      <c r="C1421" s="15"/>
      <c r="D1421" s="15"/>
      <c r="E1421" s="15"/>
      <c r="F1421" s="18"/>
      <c r="G1421" s="18"/>
      <c r="H1421" s="18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>
      <c r="A1422" s="15"/>
      <c r="B1422" s="15"/>
      <c r="C1422" s="15"/>
      <c r="D1422" s="15"/>
      <c r="E1422" s="15"/>
      <c r="F1422" s="18"/>
      <c r="G1422" s="18"/>
      <c r="H1422" s="18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>
      <c r="A1423" s="15"/>
      <c r="B1423" s="15"/>
      <c r="C1423" s="15"/>
      <c r="D1423" s="15"/>
      <c r="E1423" s="15"/>
      <c r="F1423" s="18"/>
      <c r="G1423" s="18"/>
      <c r="H1423" s="18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>
      <c r="A1424" s="15"/>
      <c r="B1424" s="15"/>
      <c r="C1424" s="15"/>
      <c r="D1424" s="15"/>
      <c r="E1424" s="15"/>
      <c r="F1424" s="18"/>
      <c r="G1424" s="18"/>
      <c r="H1424" s="18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>
      <c r="A1425" s="15"/>
      <c r="B1425" s="15"/>
      <c r="C1425" s="15"/>
      <c r="D1425" s="15"/>
      <c r="E1425" s="15"/>
      <c r="F1425" s="18"/>
      <c r="G1425" s="18"/>
      <c r="H1425" s="18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>
      <c r="A1426" s="15"/>
      <c r="B1426" s="15"/>
      <c r="C1426" s="15"/>
      <c r="D1426" s="15"/>
      <c r="E1426" s="15"/>
      <c r="F1426" s="18"/>
      <c r="G1426" s="18"/>
      <c r="H1426" s="18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>
      <c r="A1427" s="15"/>
      <c r="B1427" s="15"/>
      <c r="C1427" s="15"/>
      <c r="D1427" s="15"/>
      <c r="E1427" s="15"/>
      <c r="F1427" s="18"/>
      <c r="G1427" s="18"/>
      <c r="H1427" s="18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>
      <c r="A1428" s="15"/>
      <c r="B1428" s="15"/>
      <c r="C1428" s="15"/>
      <c r="D1428" s="15"/>
      <c r="E1428" s="15"/>
      <c r="F1428" s="18"/>
      <c r="G1428" s="18"/>
      <c r="H1428" s="18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>
      <c r="A1429" s="15"/>
      <c r="B1429" s="15"/>
      <c r="C1429" s="15"/>
      <c r="D1429" s="15"/>
      <c r="E1429" s="15"/>
      <c r="F1429" s="18"/>
      <c r="G1429" s="18"/>
      <c r="H1429" s="18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>
      <c r="A1430" s="15"/>
      <c r="B1430" s="15"/>
      <c r="C1430" s="15"/>
      <c r="D1430" s="15"/>
      <c r="E1430" s="15"/>
      <c r="F1430" s="18"/>
      <c r="G1430" s="18"/>
      <c r="H1430" s="18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>
      <c r="A1431" s="15"/>
      <c r="B1431" s="15"/>
      <c r="C1431" s="15"/>
      <c r="D1431" s="15"/>
      <c r="E1431" s="15"/>
      <c r="F1431" s="18"/>
      <c r="G1431" s="18"/>
      <c r="H1431" s="18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>
      <c r="A1432" s="15"/>
      <c r="B1432" s="15"/>
      <c r="C1432" s="15"/>
      <c r="D1432" s="15"/>
      <c r="E1432" s="15"/>
      <c r="F1432" s="18"/>
      <c r="G1432" s="18"/>
      <c r="H1432" s="18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>
      <c r="A1433" s="15"/>
      <c r="B1433" s="15"/>
      <c r="C1433" s="15"/>
      <c r="D1433" s="15"/>
      <c r="E1433" s="15"/>
      <c r="F1433" s="18"/>
      <c r="G1433" s="18"/>
      <c r="H1433" s="18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>
      <c r="A1434" s="15"/>
      <c r="B1434" s="15"/>
      <c r="C1434" s="15"/>
      <c r="D1434" s="15"/>
      <c r="E1434" s="15"/>
      <c r="F1434" s="18"/>
      <c r="G1434" s="18"/>
      <c r="H1434" s="18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>
      <c r="A1435" s="15"/>
      <c r="B1435" s="15"/>
      <c r="C1435" s="15"/>
      <c r="D1435" s="15"/>
      <c r="E1435" s="15"/>
      <c r="F1435" s="18"/>
      <c r="G1435" s="18"/>
      <c r="H1435" s="18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>
      <c r="A1436" s="15"/>
      <c r="B1436" s="15"/>
      <c r="C1436" s="15"/>
      <c r="D1436" s="15"/>
      <c r="E1436" s="15"/>
      <c r="F1436" s="18"/>
      <c r="G1436" s="18"/>
      <c r="H1436" s="18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>
      <c r="A1437" s="15"/>
      <c r="B1437" s="15"/>
      <c r="C1437" s="15"/>
      <c r="D1437" s="15"/>
      <c r="E1437" s="15"/>
      <c r="F1437" s="18"/>
      <c r="G1437" s="18"/>
      <c r="H1437" s="18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>
      <c r="A1438" s="15"/>
      <c r="B1438" s="15"/>
      <c r="C1438" s="15"/>
      <c r="D1438" s="15"/>
      <c r="E1438" s="15"/>
      <c r="F1438" s="18"/>
      <c r="G1438" s="18"/>
      <c r="H1438" s="18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>
      <c r="A1439" s="15"/>
      <c r="B1439" s="15"/>
      <c r="C1439" s="15"/>
      <c r="D1439" s="15"/>
      <c r="E1439" s="15"/>
      <c r="F1439" s="18"/>
      <c r="G1439" s="18"/>
      <c r="H1439" s="18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>
      <c r="A1440" s="15"/>
      <c r="B1440" s="15"/>
      <c r="C1440" s="15"/>
      <c r="D1440" s="15"/>
      <c r="E1440" s="15"/>
      <c r="F1440" s="18"/>
      <c r="G1440" s="18"/>
      <c r="H1440" s="18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>
      <c r="A1441" s="15"/>
      <c r="B1441" s="15"/>
      <c r="C1441" s="15"/>
      <c r="D1441" s="15"/>
      <c r="E1441" s="15"/>
      <c r="F1441" s="18"/>
      <c r="G1441" s="18"/>
      <c r="H1441" s="18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>
      <c r="A1442" s="15"/>
      <c r="B1442" s="15"/>
      <c r="C1442" s="15"/>
      <c r="D1442" s="15"/>
      <c r="E1442" s="15"/>
      <c r="F1442" s="18"/>
      <c r="G1442" s="18"/>
      <c r="H1442" s="18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>
      <c r="A1443" s="15"/>
      <c r="B1443" s="15"/>
      <c r="C1443" s="15"/>
      <c r="D1443" s="15"/>
      <c r="E1443" s="15"/>
      <c r="F1443" s="18"/>
      <c r="G1443" s="18"/>
      <c r="H1443" s="18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>
      <c r="A1444" s="15"/>
      <c r="B1444" s="15"/>
      <c r="C1444" s="15"/>
      <c r="D1444" s="15"/>
      <c r="E1444" s="15"/>
      <c r="F1444" s="18"/>
      <c r="G1444" s="18"/>
      <c r="H1444" s="18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>
      <c r="A1445" s="15"/>
      <c r="B1445" s="15"/>
      <c r="C1445" s="15"/>
      <c r="D1445" s="15"/>
      <c r="E1445" s="15"/>
      <c r="F1445" s="18"/>
      <c r="G1445" s="18"/>
      <c r="H1445" s="18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>
      <c r="A1446" s="15"/>
      <c r="B1446" s="15"/>
      <c r="C1446" s="15"/>
      <c r="D1446" s="15"/>
      <c r="E1446" s="15"/>
      <c r="F1446" s="18"/>
      <c r="G1446" s="18"/>
      <c r="H1446" s="18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>
      <c r="A1447" s="15"/>
      <c r="B1447" s="15"/>
      <c r="C1447" s="15"/>
      <c r="D1447" s="15"/>
      <c r="E1447" s="15"/>
      <c r="F1447" s="18"/>
      <c r="G1447" s="18"/>
      <c r="H1447" s="18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>
      <c r="A1448" s="15"/>
      <c r="B1448" s="15"/>
      <c r="C1448" s="15"/>
      <c r="D1448" s="15"/>
      <c r="E1448" s="15"/>
      <c r="F1448" s="18"/>
      <c r="G1448" s="18"/>
      <c r="H1448" s="18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>
      <c r="A1449" s="15"/>
      <c r="B1449" s="15"/>
      <c r="C1449" s="15"/>
      <c r="D1449" s="15"/>
      <c r="E1449" s="15"/>
      <c r="F1449" s="18"/>
      <c r="G1449" s="18"/>
      <c r="H1449" s="18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>
      <c r="A1450" s="15"/>
      <c r="B1450" s="15"/>
      <c r="C1450" s="15"/>
      <c r="D1450" s="15"/>
      <c r="E1450" s="15"/>
      <c r="F1450" s="18"/>
      <c r="G1450" s="18"/>
      <c r="H1450" s="18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>
      <c r="A1451" s="15"/>
      <c r="B1451" s="15"/>
      <c r="C1451" s="15"/>
      <c r="D1451" s="15"/>
      <c r="E1451" s="15"/>
      <c r="F1451" s="18"/>
      <c r="G1451" s="18"/>
      <c r="H1451" s="18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>
      <c r="A1452" s="15"/>
      <c r="B1452" s="15"/>
      <c r="C1452" s="15"/>
      <c r="D1452" s="15"/>
      <c r="E1452" s="15"/>
      <c r="F1452" s="18"/>
      <c r="G1452" s="18"/>
      <c r="H1452" s="18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>
      <c r="A1453" s="15"/>
      <c r="B1453" s="15"/>
      <c r="C1453" s="15"/>
      <c r="D1453" s="15"/>
      <c r="E1453" s="15"/>
      <c r="F1453" s="18"/>
      <c r="G1453" s="18"/>
      <c r="H1453" s="18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>
      <c r="A1454" s="15"/>
      <c r="B1454" s="15"/>
      <c r="C1454" s="15"/>
      <c r="D1454" s="15"/>
      <c r="E1454" s="15"/>
      <c r="F1454" s="18"/>
      <c r="G1454" s="18"/>
      <c r="H1454" s="18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>
      <c r="A1455" s="15"/>
      <c r="B1455" s="15"/>
      <c r="C1455" s="15"/>
      <c r="D1455" s="15"/>
      <c r="E1455" s="15"/>
      <c r="F1455" s="18"/>
      <c r="G1455" s="18"/>
      <c r="H1455" s="18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>
      <c r="A1456" s="15"/>
      <c r="B1456" s="15"/>
      <c r="C1456" s="15"/>
      <c r="D1456" s="15"/>
      <c r="E1456" s="15"/>
      <c r="F1456" s="18"/>
      <c r="G1456" s="18"/>
      <c r="H1456" s="18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>
      <c r="A1457" s="15"/>
      <c r="B1457" s="15"/>
      <c r="C1457" s="15"/>
      <c r="D1457" s="15"/>
      <c r="E1457" s="15"/>
      <c r="F1457" s="18"/>
      <c r="G1457" s="18"/>
      <c r="H1457" s="18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>
      <c r="A1458" s="15"/>
      <c r="B1458" s="15"/>
      <c r="C1458" s="15"/>
      <c r="D1458" s="15"/>
      <c r="E1458" s="15"/>
      <c r="F1458" s="18"/>
      <c r="G1458" s="18"/>
      <c r="H1458" s="18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>
      <c r="A1459" s="15"/>
      <c r="B1459" s="15"/>
      <c r="C1459" s="15"/>
      <c r="D1459" s="15"/>
      <c r="E1459" s="15"/>
      <c r="F1459" s="18"/>
      <c r="G1459" s="18"/>
      <c r="H1459" s="18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>
      <c r="A1460" s="15"/>
      <c r="B1460" s="15"/>
      <c r="C1460" s="15"/>
      <c r="D1460" s="15"/>
      <c r="E1460" s="15"/>
      <c r="F1460" s="18"/>
      <c r="G1460" s="18"/>
      <c r="H1460" s="18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>
      <c r="A1461" s="15"/>
      <c r="B1461" s="15"/>
      <c r="C1461" s="15"/>
      <c r="D1461" s="15"/>
      <c r="E1461" s="15"/>
      <c r="F1461" s="18"/>
      <c r="G1461" s="18"/>
      <c r="H1461" s="18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>
      <c r="A1462" s="15"/>
      <c r="B1462" s="15"/>
      <c r="C1462" s="15"/>
      <c r="D1462" s="15"/>
      <c r="E1462" s="15"/>
      <c r="F1462" s="18"/>
      <c r="G1462" s="18"/>
      <c r="H1462" s="18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>
      <c r="A1463" s="15"/>
      <c r="B1463" s="15"/>
      <c r="C1463" s="15"/>
      <c r="D1463" s="15"/>
      <c r="E1463" s="15"/>
      <c r="F1463" s="18"/>
      <c r="G1463" s="18"/>
      <c r="H1463" s="18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>
      <c r="A1464" s="15"/>
      <c r="B1464" s="15"/>
      <c r="C1464" s="15"/>
      <c r="D1464" s="15"/>
      <c r="E1464" s="15"/>
      <c r="F1464" s="18"/>
      <c r="G1464" s="18"/>
      <c r="H1464" s="18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>
      <c r="A1465" s="15"/>
      <c r="B1465" s="15"/>
      <c r="C1465" s="15"/>
      <c r="D1465" s="15"/>
      <c r="E1465" s="15"/>
      <c r="F1465" s="18"/>
      <c r="G1465" s="18"/>
      <c r="H1465" s="18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>
      <c r="A1466" s="15"/>
      <c r="B1466" s="15"/>
      <c r="C1466" s="15"/>
      <c r="D1466" s="15"/>
      <c r="E1466" s="15"/>
      <c r="F1466" s="18"/>
      <c r="G1466" s="18"/>
      <c r="H1466" s="18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>
      <c r="A1467" s="15"/>
      <c r="B1467" s="15"/>
      <c r="C1467" s="15"/>
      <c r="D1467" s="15"/>
      <c r="E1467" s="15"/>
      <c r="F1467" s="18"/>
      <c r="G1467" s="18"/>
      <c r="H1467" s="18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>
      <c r="A1468" s="15"/>
      <c r="B1468" s="15"/>
      <c r="C1468" s="15"/>
      <c r="D1468" s="15"/>
      <c r="E1468" s="15"/>
      <c r="F1468" s="18"/>
      <c r="G1468" s="18"/>
      <c r="H1468" s="18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>
      <c r="A1469" s="15"/>
      <c r="B1469" s="15"/>
      <c r="C1469" s="15"/>
      <c r="D1469" s="15"/>
      <c r="E1469" s="15"/>
      <c r="F1469" s="18"/>
      <c r="G1469" s="18"/>
      <c r="H1469" s="18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>
      <c r="A1470" s="15"/>
      <c r="B1470" s="15"/>
      <c r="C1470" s="15"/>
      <c r="D1470" s="15"/>
      <c r="E1470" s="15"/>
      <c r="F1470" s="18"/>
      <c r="G1470" s="18"/>
      <c r="H1470" s="18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>
      <c r="A1471" s="15"/>
      <c r="B1471" s="15"/>
      <c r="C1471" s="15"/>
      <c r="D1471" s="15"/>
      <c r="E1471" s="15"/>
      <c r="F1471" s="18"/>
      <c r="G1471" s="18"/>
      <c r="H1471" s="18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>
      <c r="A1472" s="15"/>
      <c r="B1472" s="15"/>
      <c r="C1472" s="15"/>
      <c r="D1472" s="15"/>
      <c r="E1472" s="15"/>
      <c r="F1472" s="18"/>
      <c r="G1472" s="18"/>
      <c r="H1472" s="18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>
      <c r="A1473" s="15"/>
      <c r="B1473" s="15"/>
      <c r="C1473" s="15"/>
      <c r="D1473" s="15"/>
      <c r="E1473" s="15"/>
      <c r="F1473" s="18"/>
      <c r="G1473" s="18"/>
      <c r="H1473" s="18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>
      <c r="A1474" s="15"/>
      <c r="B1474" s="15"/>
      <c r="C1474" s="15"/>
      <c r="D1474" s="15"/>
      <c r="E1474" s="15"/>
      <c r="F1474" s="18"/>
      <c r="G1474" s="18"/>
      <c r="H1474" s="18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>
      <c r="A1475" s="15"/>
      <c r="B1475" s="15"/>
      <c r="C1475" s="15"/>
      <c r="D1475" s="15"/>
      <c r="E1475" s="15"/>
      <c r="F1475" s="18"/>
      <c r="G1475" s="18"/>
      <c r="H1475" s="18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>
      <c r="A1476" s="15"/>
      <c r="B1476" s="15"/>
      <c r="C1476" s="15"/>
      <c r="D1476" s="15"/>
      <c r="E1476" s="15"/>
      <c r="F1476" s="18"/>
      <c r="G1476" s="18"/>
      <c r="H1476" s="18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>
      <c r="A1477" s="15"/>
      <c r="B1477" s="15"/>
      <c r="C1477" s="15"/>
      <c r="D1477" s="15"/>
      <c r="E1477" s="15"/>
      <c r="F1477" s="18"/>
      <c r="G1477" s="18"/>
      <c r="H1477" s="18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>
      <c r="A1478" s="15"/>
      <c r="B1478" s="15"/>
      <c r="C1478" s="15"/>
      <c r="D1478" s="15"/>
      <c r="E1478" s="15"/>
      <c r="F1478" s="18"/>
      <c r="G1478" s="18"/>
      <c r="H1478" s="18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>
      <c r="A1479" s="15"/>
      <c r="B1479" s="15"/>
      <c r="C1479" s="15"/>
      <c r="D1479" s="15"/>
      <c r="E1479" s="15"/>
      <c r="F1479" s="18"/>
      <c r="G1479" s="18"/>
      <c r="H1479" s="18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>
      <c r="A1480" s="15"/>
      <c r="B1480" s="15"/>
      <c r="C1480" s="15"/>
      <c r="D1480" s="15"/>
      <c r="E1480" s="15"/>
      <c r="F1480" s="18"/>
      <c r="G1480" s="18"/>
      <c r="H1480" s="18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>
      <c r="A1481" s="15"/>
      <c r="B1481" s="15"/>
      <c r="C1481" s="15"/>
      <c r="D1481" s="15"/>
      <c r="E1481" s="15"/>
      <c r="F1481" s="18"/>
      <c r="G1481" s="18"/>
      <c r="H1481" s="18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>
      <c r="A1482" s="15"/>
      <c r="B1482" s="15"/>
      <c r="C1482" s="15"/>
      <c r="D1482" s="15"/>
      <c r="E1482" s="15"/>
      <c r="F1482" s="18"/>
      <c r="G1482" s="18"/>
      <c r="H1482" s="18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>
      <c r="A1483" s="15"/>
      <c r="B1483" s="15"/>
      <c r="C1483" s="15"/>
      <c r="D1483" s="15"/>
      <c r="E1483" s="15"/>
      <c r="F1483" s="18"/>
      <c r="G1483" s="18"/>
      <c r="H1483" s="18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>
      <c r="A1484" s="15"/>
      <c r="B1484" s="15"/>
      <c r="C1484" s="15"/>
      <c r="D1484" s="15"/>
      <c r="E1484" s="15"/>
      <c r="F1484" s="18"/>
      <c r="G1484" s="18"/>
      <c r="H1484" s="18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>
      <c r="A1485" s="15"/>
      <c r="B1485" s="15"/>
      <c r="C1485" s="15"/>
      <c r="D1485" s="15"/>
      <c r="E1485" s="15"/>
      <c r="F1485" s="18"/>
      <c r="G1485" s="18"/>
      <c r="H1485" s="18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>
      <c r="A1486" s="15"/>
      <c r="B1486" s="15"/>
      <c r="C1486" s="15"/>
      <c r="D1486" s="15"/>
      <c r="E1486" s="15"/>
      <c r="F1486" s="18"/>
      <c r="G1486" s="18"/>
      <c r="H1486" s="18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>
      <c r="A1487" s="15"/>
      <c r="B1487" s="15"/>
      <c r="C1487" s="15"/>
      <c r="D1487" s="15"/>
      <c r="E1487" s="15"/>
      <c r="F1487" s="18"/>
      <c r="G1487" s="18"/>
      <c r="H1487" s="18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>
      <c r="A1488" s="15"/>
      <c r="B1488" s="15"/>
      <c r="C1488" s="15"/>
      <c r="D1488" s="15"/>
      <c r="E1488" s="15"/>
      <c r="F1488" s="18"/>
      <c r="G1488" s="18"/>
      <c r="H1488" s="18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>
      <c r="A1489" s="15"/>
      <c r="B1489" s="15"/>
      <c r="C1489" s="15"/>
      <c r="D1489" s="15"/>
      <c r="E1489" s="15"/>
      <c r="F1489" s="18"/>
      <c r="G1489" s="18"/>
      <c r="H1489" s="18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>
      <c r="A1490" s="15"/>
      <c r="B1490" s="15"/>
      <c r="C1490" s="15"/>
      <c r="D1490" s="15"/>
      <c r="E1490" s="15"/>
      <c r="F1490" s="18"/>
      <c r="G1490" s="18"/>
      <c r="H1490" s="18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>
      <c r="A1491" s="15"/>
      <c r="B1491" s="15"/>
      <c r="C1491" s="15"/>
      <c r="D1491" s="15"/>
      <c r="E1491" s="15"/>
      <c r="F1491" s="18"/>
      <c r="G1491" s="18"/>
      <c r="H1491" s="18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>
      <c r="A1492" s="15"/>
      <c r="B1492" s="15"/>
      <c r="C1492" s="15"/>
      <c r="D1492" s="15"/>
      <c r="E1492" s="15"/>
      <c r="F1492" s="18"/>
      <c r="G1492" s="18"/>
      <c r="H1492" s="18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>
      <c r="A1493" s="15"/>
      <c r="B1493" s="15"/>
      <c r="C1493" s="15"/>
      <c r="D1493" s="15"/>
      <c r="E1493" s="15"/>
      <c r="F1493" s="18"/>
      <c r="G1493" s="18"/>
      <c r="H1493" s="18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>
      <c r="A1494" s="15"/>
      <c r="B1494" s="15"/>
      <c r="C1494" s="15"/>
      <c r="D1494" s="15"/>
      <c r="E1494" s="15"/>
      <c r="F1494" s="18"/>
      <c r="G1494" s="18"/>
      <c r="H1494" s="18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>
      <c r="A1495" s="15"/>
      <c r="B1495" s="15"/>
      <c r="C1495" s="15"/>
      <c r="D1495" s="15"/>
      <c r="E1495" s="15"/>
      <c r="F1495" s="18"/>
      <c r="G1495" s="18"/>
      <c r="H1495" s="18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>
      <c r="A1496" s="15"/>
      <c r="B1496" s="15"/>
      <c r="C1496" s="15"/>
      <c r="D1496" s="15"/>
      <c r="E1496" s="15"/>
      <c r="F1496" s="18"/>
      <c r="G1496" s="18"/>
      <c r="H1496" s="18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>
      <c r="A1497" s="15"/>
      <c r="B1497" s="15"/>
      <c r="C1497" s="15"/>
      <c r="D1497" s="15"/>
      <c r="E1497" s="15"/>
      <c r="F1497" s="18"/>
      <c r="G1497" s="18"/>
      <c r="H1497" s="18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>
      <c r="A1498" s="15"/>
      <c r="B1498" s="15"/>
      <c r="C1498" s="15"/>
      <c r="D1498" s="15"/>
      <c r="E1498" s="15"/>
      <c r="F1498" s="18"/>
      <c r="G1498" s="18"/>
      <c r="H1498" s="18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>
      <c r="A1499" s="15"/>
      <c r="B1499" s="15"/>
      <c r="C1499" s="15"/>
      <c r="D1499" s="15"/>
      <c r="E1499" s="15"/>
      <c r="F1499" s="18"/>
      <c r="G1499" s="18"/>
      <c r="H1499" s="18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>
      <c r="A1500" s="15"/>
      <c r="B1500" s="15"/>
      <c r="C1500" s="15"/>
      <c r="D1500" s="15"/>
      <c r="E1500" s="15"/>
      <c r="F1500" s="18"/>
      <c r="G1500" s="18"/>
      <c r="H1500" s="18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>
      <c r="A1501" s="15"/>
      <c r="B1501" s="15"/>
      <c r="C1501" s="15"/>
      <c r="D1501" s="15"/>
      <c r="E1501" s="15"/>
      <c r="F1501" s="18"/>
      <c r="G1501" s="18"/>
      <c r="H1501" s="18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>
      <c r="A1502" s="15"/>
      <c r="B1502" s="15"/>
      <c r="C1502" s="15"/>
      <c r="D1502" s="15"/>
      <c r="E1502" s="15"/>
      <c r="F1502" s="18"/>
      <c r="G1502" s="18"/>
      <c r="H1502" s="18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>
      <c r="A1503" s="15"/>
      <c r="B1503" s="15"/>
      <c r="C1503" s="15"/>
      <c r="D1503" s="15"/>
      <c r="E1503" s="15"/>
      <c r="F1503" s="18"/>
      <c r="G1503" s="18"/>
      <c r="H1503" s="18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>
      <c r="A1504" s="15"/>
      <c r="B1504" s="15"/>
      <c r="C1504" s="15"/>
      <c r="D1504" s="15"/>
      <c r="E1504" s="15"/>
      <c r="F1504" s="18"/>
      <c r="G1504" s="18"/>
      <c r="H1504" s="18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>
      <c r="A1505" s="15"/>
      <c r="B1505" s="15"/>
      <c r="C1505" s="15"/>
      <c r="D1505" s="15"/>
      <c r="E1505" s="15"/>
      <c r="F1505" s="18"/>
      <c r="G1505" s="18"/>
      <c r="H1505" s="18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>
      <c r="A1506" s="15"/>
      <c r="B1506" s="15"/>
      <c r="C1506" s="15"/>
      <c r="D1506" s="15"/>
      <c r="E1506" s="15"/>
      <c r="F1506" s="18"/>
      <c r="G1506" s="18"/>
      <c r="H1506" s="18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>
      <c r="A1507" s="15"/>
      <c r="B1507" s="15"/>
      <c r="C1507" s="15"/>
      <c r="D1507" s="15"/>
      <c r="E1507" s="15"/>
      <c r="F1507" s="18"/>
      <c r="G1507" s="18"/>
      <c r="H1507" s="18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>
      <c r="A1508" s="15"/>
      <c r="B1508" s="15"/>
      <c r="C1508" s="15"/>
      <c r="D1508" s="15"/>
      <c r="E1508" s="15"/>
      <c r="F1508" s="18"/>
      <c r="G1508" s="18"/>
      <c r="H1508" s="18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>
      <c r="A1509" s="15"/>
      <c r="B1509" s="15"/>
      <c r="C1509" s="15"/>
      <c r="D1509" s="15"/>
      <c r="E1509" s="15"/>
      <c r="F1509" s="18"/>
      <c r="G1509" s="18"/>
      <c r="H1509" s="18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>
      <c r="A1510" s="15"/>
      <c r="B1510" s="15"/>
      <c r="C1510" s="15"/>
      <c r="D1510" s="15"/>
      <c r="E1510" s="15"/>
      <c r="F1510" s="18"/>
      <c r="G1510" s="18"/>
      <c r="H1510" s="18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>
      <c r="A1511" s="15"/>
      <c r="B1511" s="15"/>
      <c r="C1511" s="15"/>
      <c r="D1511" s="15"/>
      <c r="E1511" s="15"/>
      <c r="F1511" s="18"/>
      <c r="G1511" s="18"/>
      <c r="H1511" s="18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>
      <c r="A1512" s="15"/>
      <c r="B1512" s="15"/>
      <c r="C1512" s="15"/>
      <c r="D1512" s="15"/>
      <c r="E1512" s="15"/>
      <c r="F1512" s="18"/>
      <c r="G1512" s="18"/>
      <c r="H1512" s="18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>
      <c r="A1513" s="15"/>
      <c r="B1513" s="15"/>
      <c r="C1513" s="15"/>
      <c r="D1513" s="15"/>
      <c r="E1513" s="15"/>
      <c r="F1513" s="18"/>
      <c r="G1513" s="18"/>
      <c r="H1513" s="18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>
      <c r="A1514" s="15"/>
      <c r="B1514" s="15"/>
      <c r="C1514" s="15"/>
      <c r="D1514" s="15"/>
      <c r="E1514" s="15"/>
      <c r="F1514" s="18"/>
      <c r="G1514" s="18"/>
      <c r="H1514" s="18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>
      <c r="A1515" s="15"/>
      <c r="B1515" s="15"/>
      <c r="C1515" s="15"/>
      <c r="D1515" s="15"/>
      <c r="E1515" s="15"/>
      <c r="F1515" s="18"/>
      <c r="G1515" s="18"/>
      <c r="H1515" s="18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>
      <c r="A1516" s="15"/>
      <c r="B1516" s="15"/>
      <c r="C1516" s="15"/>
      <c r="D1516" s="15"/>
      <c r="E1516" s="15"/>
      <c r="F1516" s="18"/>
      <c r="G1516" s="18"/>
      <c r="H1516" s="18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>
      <c r="A1517" s="15"/>
      <c r="B1517" s="15"/>
      <c r="C1517" s="15"/>
      <c r="D1517" s="15"/>
      <c r="E1517" s="15"/>
      <c r="F1517" s="18"/>
      <c r="G1517" s="18"/>
      <c r="H1517" s="18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>
      <c r="A1518" s="15"/>
      <c r="B1518" s="15"/>
      <c r="C1518" s="15"/>
      <c r="D1518" s="15"/>
      <c r="E1518" s="15"/>
      <c r="F1518" s="18"/>
      <c r="G1518" s="18"/>
      <c r="H1518" s="18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>
      <c r="A1519" s="15"/>
      <c r="B1519" s="15"/>
      <c r="C1519" s="15"/>
      <c r="D1519" s="15"/>
      <c r="E1519" s="15"/>
      <c r="F1519" s="18"/>
      <c r="G1519" s="18"/>
      <c r="H1519" s="18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>
      <c r="A1520" s="15"/>
      <c r="B1520" s="15"/>
      <c r="C1520" s="15"/>
      <c r="D1520" s="15"/>
      <c r="E1520" s="15"/>
      <c r="F1520" s="18"/>
      <c r="G1520" s="18"/>
      <c r="H1520" s="18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>
      <c r="A1521" s="15"/>
      <c r="B1521" s="15"/>
      <c r="C1521" s="15"/>
      <c r="D1521" s="15"/>
      <c r="E1521" s="15"/>
      <c r="F1521" s="18"/>
      <c r="G1521" s="18"/>
      <c r="H1521" s="18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>
      <c r="A1522" s="15"/>
      <c r="B1522" s="15"/>
      <c r="C1522" s="15"/>
      <c r="D1522" s="15"/>
      <c r="E1522" s="15"/>
      <c r="F1522" s="18"/>
      <c r="G1522" s="18"/>
      <c r="H1522" s="18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>
      <c r="A1523" s="15"/>
      <c r="B1523" s="15"/>
      <c r="C1523" s="15"/>
      <c r="D1523" s="15"/>
      <c r="E1523" s="15"/>
      <c r="F1523" s="18"/>
      <c r="G1523" s="18"/>
      <c r="H1523" s="18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>
      <c r="A1524" s="15"/>
      <c r="B1524" s="15"/>
      <c r="C1524" s="15"/>
      <c r="D1524" s="15"/>
      <c r="E1524" s="15"/>
      <c r="F1524" s="18"/>
      <c r="G1524" s="18"/>
      <c r="H1524" s="18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>
      <c r="A1525" s="15"/>
      <c r="B1525" s="15"/>
      <c r="C1525" s="15"/>
      <c r="D1525" s="15"/>
      <c r="E1525" s="15"/>
      <c r="F1525" s="18"/>
      <c r="G1525" s="18"/>
      <c r="H1525" s="18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>
      <c r="A1526" s="15"/>
      <c r="B1526" s="15"/>
      <c r="C1526" s="15"/>
      <c r="D1526" s="15"/>
      <c r="E1526" s="15"/>
      <c r="F1526" s="18"/>
      <c r="G1526" s="18"/>
      <c r="H1526" s="18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>
      <c r="A1527" s="15"/>
      <c r="B1527" s="15"/>
      <c r="C1527" s="15"/>
      <c r="D1527" s="15"/>
      <c r="E1527" s="15"/>
      <c r="F1527" s="18"/>
      <c r="G1527" s="18"/>
      <c r="H1527" s="18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>
      <c r="A1528" s="15"/>
      <c r="B1528" s="15"/>
      <c r="C1528" s="15"/>
      <c r="D1528" s="15"/>
      <c r="E1528" s="15"/>
      <c r="F1528" s="18"/>
      <c r="G1528" s="18"/>
      <c r="H1528" s="18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>
      <c r="A1529" s="15"/>
      <c r="B1529" s="15"/>
      <c r="C1529" s="15"/>
      <c r="D1529" s="15"/>
      <c r="E1529" s="15"/>
      <c r="F1529" s="18"/>
      <c r="G1529" s="18"/>
      <c r="H1529" s="18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>
      <c r="A1530" s="15"/>
      <c r="B1530" s="15"/>
      <c r="C1530" s="15"/>
      <c r="D1530" s="15"/>
      <c r="E1530" s="15"/>
      <c r="F1530" s="18"/>
      <c r="G1530" s="18"/>
      <c r="H1530" s="18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>
      <c r="A1531" s="15"/>
      <c r="B1531" s="15"/>
      <c r="C1531" s="15"/>
      <c r="D1531" s="15"/>
      <c r="E1531" s="15"/>
      <c r="F1531" s="18"/>
      <c r="G1531" s="18"/>
      <c r="H1531" s="18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>
      <c r="A1532" s="15"/>
      <c r="B1532" s="15"/>
      <c r="C1532" s="15"/>
      <c r="D1532" s="15"/>
      <c r="E1532" s="15"/>
      <c r="F1532" s="18"/>
      <c r="G1532" s="18"/>
      <c r="H1532" s="18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>
      <c r="A1533" s="15"/>
      <c r="B1533" s="15"/>
      <c r="C1533" s="15"/>
      <c r="D1533" s="15"/>
      <c r="E1533" s="15"/>
      <c r="F1533" s="18"/>
      <c r="G1533" s="18"/>
      <c r="H1533" s="18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>
      <c r="A1534" s="15"/>
      <c r="B1534" s="15"/>
      <c r="C1534" s="15"/>
      <c r="D1534" s="15"/>
      <c r="E1534" s="15"/>
      <c r="F1534" s="18"/>
      <c r="G1534" s="18"/>
      <c r="H1534" s="18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>
      <c r="A1535" s="15"/>
      <c r="B1535" s="15"/>
      <c r="C1535" s="15"/>
      <c r="D1535" s="15"/>
      <c r="E1535" s="15"/>
      <c r="F1535" s="18"/>
      <c r="G1535" s="18"/>
      <c r="H1535" s="18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>
      <c r="A1536" s="15"/>
      <c r="B1536" s="15"/>
      <c r="C1536" s="15"/>
      <c r="D1536" s="15"/>
      <c r="E1536" s="15"/>
      <c r="F1536" s="18"/>
      <c r="G1536" s="18"/>
      <c r="H1536" s="18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>
      <c r="A1537" s="15"/>
      <c r="B1537" s="15"/>
      <c r="C1537" s="15"/>
      <c r="D1537" s="15"/>
      <c r="E1537" s="15"/>
      <c r="F1537" s="18"/>
      <c r="G1537" s="18"/>
      <c r="H1537" s="18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>
      <c r="A1538" s="15"/>
      <c r="B1538" s="15"/>
      <c r="C1538" s="15"/>
      <c r="D1538" s="15"/>
      <c r="E1538" s="15"/>
      <c r="F1538" s="18"/>
      <c r="G1538" s="18"/>
      <c r="H1538" s="18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>
      <c r="A1539" s="15"/>
      <c r="B1539" s="15"/>
      <c r="C1539" s="15"/>
      <c r="D1539" s="15"/>
      <c r="E1539" s="15"/>
      <c r="F1539" s="18"/>
      <c r="G1539" s="18"/>
      <c r="H1539" s="18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>
      <c r="A1540" s="15"/>
      <c r="B1540" s="15"/>
      <c r="C1540" s="15"/>
      <c r="D1540" s="15"/>
      <c r="E1540" s="15"/>
      <c r="F1540" s="18"/>
      <c r="G1540" s="18"/>
      <c r="H1540" s="18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>
      <c r="A1541" s="15"/>
      <c r="B1541" s="15"/>
      <c r="C1541" s="15"/>
      <c r="D1541" s="15"/>
      <c r="E1541" s="15"/>
      <c r="F1541" s="18"/>
      <c r="G1541" s="18"/>
      <c r="H1541" s="18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>
      <c r="A1542" s="15"/>
      <c r="B1542" s="15"/>
      <c r="C1542" s="15"/>
      <c r="D1542" s="15"/>
      <c r="E1542" s="15"/>
      <c r="F1542" s="18"/>
      <c r="G1542" s="18"/>
      <c r="H1542" s="18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>
      <c r="A1543" s="15"/>
      <c r="B1543" s="15"/>
      <c r="C1543" s="15"/>
      <c r="D1543" s="15"/>
      <c r="E1543" s="15"/>
      <c r="F1543" s="18"/>
      <c r="G1543" s="18"/>
      <c r="H1543" s="18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>
      <c r="A1544" s="15"/>
      <c r="B1544" s="15"/>
      <c r="C1544" s="15"/>
      <c r="D1544" s="15"/>
      <c r="E1544" s="15"/>
      <c r="F1544" s="18"/>
      <c r="G1544" s="18"/>
      <c r="H1544" s="18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>
      <c r="A1545" s="15"/>
      <c r="B1545" s="15"/>
      <c r="C1545" s="15"/>
      <c r="D1545" s="15"/>
      <c r="E1545" s="15"/>
      <c r="F1545" s="18"/>
      <c r="G1545" s="18"/>
      <c r="H1545" s="18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>
      <c r="A1546" s="15"/>
      <c r="B1546" s="15"/>
      <c r="C1546" s="15"/>
      <c r="D1546" s="15"/>
      <c r="E1546" s="15"/>
      <c r="F1546" s="18"/>
      <c r="G1546" s="18"/>
      <c r="H1546" s="18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>
      <c r="A1547" s="15"/>
      <c r="B1547" s="15"/>
      <c r="C1547" s="15"/>
      <c r="D1547" s="15"/>
      <c r="E1547" s="15"/>
      <c r="F1547" s="18"/>
      <c r="G1547" s="18"/>
      <c r="H1547" s="18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>
      <c r="A1548" s="15"/>
      <c r="B1548" s="15"/>
      <c r="C1548" s="15"/>
      <c r="D1548" s="15"/>
      <c r="E1548" s="15"/>
      <c r="F1548" s="18"/>
      <c r="G1548" s="18"/>
      <c r="H1548" s="18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>
      <c r="A1549" s="15"/>
      <c r="B1549" s="15"/>
      <c r="C1549" s="15"/>
      <c r="D1549" s="15"/>
      <c r="E1549" s="15"/>
      <c r="F1549" s="18"/>
      <c r="G1549" s="18"/>
      <c r="H1549" s="18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>
      <c r="A1550" s="15"/>
      <c r="B1550" s="15"/>
      <c r="C1550" s="15"/>
      <c r="D1550" s="15"/>
      <c r="E1550" s="15"/>
      <c r="F1550" s="18"/>
      <c r="G1550" s="18"/>
      <c r="H1550" s="18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>
      <c r="A1551" s="15"/>
      <c r="B1551" s="15"/>
      <c r="C1551" s="15"/>
      <c r="D1551" s="15"/>
      <c r="E1551" s="15"/>
      <c r="F1551" s="18"/>
      <c r="G1551" s="18"/>
      <c r="H1551" s="18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>
      <c r="A1552" s="15"/>
      <c r="B1552" s="15"/>
      <c r="C1552" s="15"/>
      <c r="D1552" s="15"/>
      <c r="E1552" s="15"/>
      <c r="F1552" s="18"/>
      <c r="G1552" s="18"/>
      <c r="H1552" s="18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>
      <c r="A1553" s="15"/>
      <c r="B1553" s="15"/>
      <c r="C1553" s="15"/>
      <c r="D1553" s="15"/>
      <c r="E1553" s="15"/>
      <c r="F1553" s="18"/>
      <c r="G1553" s="18"/>
      <c r="H1553" s="18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>
      <c r="A1554" s="15"/>
      <c r="B1554" s="15"/>
      <c r="C1554" s="15"/>
      <c r="D1554" s="15"/>
      <c r="E1554" s="15"/>
      <c r="F1554" s="18"/>
      <c r="G1554" s="18"/>
      <c r="H1554" s="18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>
      <c r="A1555" s="15"/>
      <c r="B1555" s="15"/>
      <c r="C1555" s="15"/>
      <c r="D1555" s="15"/>
      <c r="E1555" s="15"/>
      <c r="F1555" s="18"/>
      <c r="G1555" s="18"/>
      <c r="H1555" s="18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>
      <c r="A1556" s="15"/>
      <c r="B1556" s="15"/>
      <c r="C1556" s="15"/>
      <c r="D1556" s="15"/>
      <c r="E1556" s="15"/>
      <c r="F1556" s="18"/>
      <c r="G1556" s="18"/>
      <c r="H1556" s="18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>
      <c r="A1557" s="15"/>
      <c r="B1557" s="15"/>
      <c r="C1557" s="15"/>
      <c r="D1557" s="15"/>
      <c r="E1557" s="15"/>
      <c r="F1557" s="18"/>
      <c r="G1557" s="18"/>
      <c r="H1557" s="18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>
      <c r="A1558" s="15"/>
      <c r="B1558" s="15"/>
      <c r="C1558" s="15"/>
      <c r="D1558" s="15"/>
      <c r="E1558" s="15"/>
      <c r="F1558" s="18"/>
      <c r="G1558" s="18"/>
      <c r="H1558" s="18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>
      <c r="A1559" s="15"/>
      <c r="B1559" s="15"/>
      <c r="C1559" s="15"/>
      <c r="D1559" s="15"/>
      <c r="E1559" s="15"/>
      <c r="F1559" s="18"/>
      <c r="G1559" s="18"/>
      <c r="H1559" s="18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>
      <c r="A1560" s="15"/>
      <c r="B1560" s="15"/>
      <c r="C1560" s="15"/>
      <c r="D1560" s="15"/>
      <c r="E1560" s="15"/>
      <c r="F1560" s="18"/>
      <c r="G1560" s="18"/>
      <c r="H1560" s="18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>
      <c r="A1561" s="15"/>
      <c r="B1561" s="15"/>
      <c r="C1561" s="15"/>
      <c r="D1561" s="15"/>
      <c r="E1561" s="15"/>
      <c r="F1561" s="18"/>
      <c r="G1561" s="18"/>
      <c r="H1561" s="18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>
      <c r="A1562" s="15"/>
      <c r="B1562" s="15"/>
      <c r="C1562" s="15"/>
      <c r="D1562" s="15"/>
      <c r="E1562" s="15"/>
      <c r="F1562" s="18"/>
      <c r="G1562" s="18"/>
      <c r="H1562" s="18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>
      <c r="A1563" s="15"/>
      <c r="B1563" s="15"/>
      <c r="C1563" s="15"/>
      <c r="D1563" s="15"/>
      <c r="E1563" s="15"/>
      <c r="F1563" s="18"/>
      <c r="G1563" s="18"/>
      <c r="H1563" s="18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>
      <c r="A1564" s="15"/>
      <c r="B1564" s="15"/>
      <c r="C1564" s="15"/>
      <c r="D1564" s="15"/>
      <c r="E1564" s="15"/>
      <c r="F1564" s="18"/>
      <c r="G1564" s="18"/>
      <c r="H1564" s="18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>
      <c r="A1565" s="15"/>
      <c r="B1565" s="15"/>
      <c r="C1565" s="15"/>
      <c r="D1565" s="15"/>
      <c r="E1565" s="15"/>
      <c r="F1565" s="18"/>
      <c r="G1565" s="18"/>
      <c r="H1565" s="18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>
      <c r="A1566" s="15"/>
      <c r="B1566" s="15"/>
      <c r="C1566" s="15"/>
      <c r="D1566" s="15"/>
      <c r="E1566" s="15"/>
      <c r="F1566" s="18"/>
      <c r="G1566" s="18"/>
      <c r="H1566" s="18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>
      <c r="A1567" s="15"/>
      <c r="B1567" s="15"/>
      <c r="C1567" s="15"/>
      <c r="D1567" s="15"/>
      <c r="E1567" s="15"/>
      <c r="F1567" s="18"/>
      <c r="G1567" s="18"/>
      <c r="H1567" s="18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>
      <c r="A1568" s="15"/>
      <c r="B1568" s="15"/>
      <c r="C1568" s="15"/>
      <c r="D1568" s="15"/>
      <c r="E1568" s="15"/>
      <c r="F1568" s="18"/>
      <c r="G1568" s="18"/>
      <c r="H1568" s="18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>
      <c r="A1569" s="15"/>
      <c r="B1569" s="15"/>
      <c r="C1569" s="15"/>
      <c r="D1569" s="15"/>
      <c r="E1569" s="15"/>
      <c r="F1569" s="18"/>
      <c r="G1569" s="18"/>
      <c r="H1569" s="18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>
      <c r="A1570" s="15"/>
      <c r="B1570" s="15"/>
      <c r="C1570" s="15"/>
      <c r="D1570" s="15"/>
      <c r="E1570" s="15"/>
      <c r="F1570" s="18"/>
      <c r="G1570" s="18"/>
      <c r="H1570" s="18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>
      <c r="A1571" s="15"/>
      <c r="B1571" s="15"/>
      <c r="C1571" s="15"/>
      <c r="D1571" s="15"/>
      <c r="E1571" s="15"/>
      <c r="F1571" s="18"/>
      <c r="G1571" s="18"/>
      <c r="H1571" s="18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>
      <c r="A1572" s="15"/>
      <c r="B1572" s="15"/>
      <c r="C1572" s="15"/>
      <c r="D1572" s="15"/>
      <c r="E1572" s="15"/>
      <c r="F1572" s="18"/>
      <c r="G1572" s="18"/>
      <c r="H1572" s="18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>
      <c r="A1573" s="15"/>
      <c r="B1573" s="15"/>
      <c r="C1573" s="15"/>
      <c r="D1573" s="15"/>
      <c r="E1573" s="15"/>
      <c r="F1573" s="18"/>
      <c r="G1573" s="18"/>
      <c r="H1573" s="18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>
      <c r="A1574" s="15"/>
      <c r="B1574" s="15"/>
      <c r="C1574" s="15"/>
      <c r="D1574" s="15"/>
      <c r="E1574" s="15"/>
      <c r="F1574" s="18"/>
      <c r="G1574" s="18"/>
      <c r="H1574" s="18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>
      <c r="A1575" s="15"/>
      <c r="B1575" s="15"/>
      <c r="C1575" s="15"/>
      <c r="D1575" s="15"/>
      <c r="E1575" s="15"/>
      <c r="F1575" s="18"/>
      <c r="G1575" s="18"/>
      <c r="H1575" s="18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>
      <c r="A1576" s="15"/>
      <c r="B1576" s="15"/>
      <c r="C1576" s="15"/>
      <c r="D1576" s="15"/>
      <c r="E1576" s="15"/>
      <c r="F1576" s="18"/>
      <c r="G1576" s="18"/>
      <c r="H1576" s="18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>
      <c r="A1577" s="15"/>
      <c r="B1577" s="15"/>
      <c r="C1577" s="15"/>
      <c r="D1577" s="15"/>
      <c r="E1577" s="15"/>
      <c r="F1577" s="18"/>
      <c r="G1577" s="18"/>
      <c r="H1577" s="18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>
      <c r="A1578" s="15"/>
      <c r="B1578" s="15"/>
      <c r="C1578" s="15"/>
      <c r="D1578" s="15"/>
      <c r="E1578" s="15"/>
      <c r="F1578" s="18"/>
      <c r="G1578" s="18"/>
      <c r="H1578" s="18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>
      <c r="A1579" s="15"/>
      <c r="B1579" s="15"/>
      <c r="C1579" s="15"/>
      <c r="D1579" s="15"/>
      <c r="E1579" s="15"/>
      <c r="F1579" s="18"/>
      <c r="G1579" s="18"/>
      <c r="H1579" s="18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>
      <c r="A1580" s="15"/>
      <c r="B1580" s="15"/>
      <c r="C1580" s="15"/>
      <c r="D1580" s="15"/>
      <c r="E1580" s="15"/>
      <c r="F1580" s="18"/>
      <c r="G1580" s="18"/>
      <c r="H1580" s="18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>
      <c r="A1581" s="15"/>
      <c r="B1581" s="15"/>
      <c r="C1581" s="15"/>
      <c r="D1581" s="15"/>
      <c r="E1581" s="15"/>
      <c r="F1581" s="18"/>
      <c r="G1581" s="18"/>
      <c r="H1581" s="18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>
      <c r="A1582" s="15"/>
      <c r="B1582" s="15"/>
      <c r="C1582" s="15"/>
      <c r="D1582" s="15"/>
      <c r="E1582" s="15"/>
      <c r="F1582" s="18"/>
      <c r="G1582" s="18"/>
      <c r="H1582" s="18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>
      <c r="A1583" s="15"/>
      <c r="B1583" s="15"/>
      <c r="C1583" s="15"/>
      <c r="D1583" s="15"/>
      <c r="E1583" s="15"/>
      <c r="F1583" s="18"/>
      <c r="G1583" s="18"/>
      <c r="H1583" s="18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>
      <c r="A1584" s="15"/>
      <c r="B1584" s="15"/>
      <c r="C1584" s="15"/>
      <c r="D1584" s="15"/>
      <c r="E1584" s="15"/>
      <c r="F1584" s="18"/>
      <c r="G1584" s="18"/>
      <c r="H1584" s="18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>
      <c r="A1585" s="15"/>
      <c r="B1585" s="15"/>
      <c r="C1585" s="15"/>
      <c r="D1585" s="15"/>
      <c r="E1585" s="15"/>
      <c r="F1585" s="18"/>
      <c r="G1585" s="18"/>
      <c r="H1585" s="18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>
      <c r="A1586" s="15"/>
      <c r="B1586" s="15"/>
      <c r="C1586" s="15"/>
      <c r="D1586" s="15"/>
      <c r="E1586" s="15"/>
      <c r="F1586" s="18"/>
      <c r="G1586" s="18"/>
      <c r="H1586" s="18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>
      <c r="A1587" s="15"/>
      <c r="B1587" s="15"/>
      <c r="C1587" s="15"/>
      <c r="D1587" s="15"/>
      <c r="E1587" s="15"/>
      <c r="F1587" s="18"/>
      <c r="G1587" s="18"/>
      <c r="H1587" s="18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>
      <c r="A1588" s="15"/>
      <c r="B1588" s="15"/>
      <c r="C1588" s="15"/>
      <c r="D1588" s="15"/>
      <c r="E1588" s="15"/>
      <c r="F1588" s="18"/>
      <c r="G1588" s="18"/>
      <c r="H1588" s="18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>
      <c r="A1589" s="15"/>
      <c r="B1589" s="15"/>
      <c r="C1589" s="15"/>
      <c r="D1589" s="15"/>
      <c r="E1589" s="15"/>
      <c r="F1589" s="18"/>
      <c r="G1589" s="18"/>
      <c r="H1589" s="18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>
      <c r="A1590" s="15"/>
      <c r="B1590" s="15"/>
      <c r="C1590" s="15"/>
      <c r="D1590" s="15"/>
      <c r="E1590" s="15"/>
      <c r="F1590" s="18"/>
      <c r="G1590" s="18"/>
      <c r="H1590" s="18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>
      <c r="A1591" s="15"/>
      <c r="B1591" s="15"/>
      <c r="C1591" s="15"/>
      <c r="D1591" s="15"/>
      <c r="E1591" s="15"/>
      <c r="F1591" s="18"/>
      <c r="G1591" s="18"/>
      <c r="H1591" s="18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>
      <c r="A1592" s="15"/>
      <c r="B1592" s="15"/>
      <c r="C1592" s="15"/>
      <c r="D1592" s="15"/>
      <c r="E1592" s="15"/>
      <c r="F1592" s="18"/>
      <c r="G1592" s="18"/>
      <c r="H1592" s="18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>
      <c r="A1593" s="15"/>
      <c r="B1593" s="15"/>
      <c r="C1593" s="15"/>
      <c r="D1593" s="15"/>
      <c r="E1593" s="15"/>
      <c r="F1593" s="18"/>
      <c r="G1593" s="18"/>
      <c r="H1593" s="18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>
      <c r="A1594" s="15"/>
      <c r="B1594" s="15"/>
      <c r="C1594" s="15"/>
      <c r="D1594" s="15"/>
      <c r="E1594" s="15"/>
      <c r="F1594" s="18"/>
      <c r="G1594" s="18"/>
      <c r="H1594" s="18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>
      <c r="A1595" s="15"/>
      <c r="B1595" s="15"/>
      <c r="C1595" s="15"/>
      <c r="D1595" s="15"/>
      <c r="E1595" s="15"/>
      <c r="F1595" s="18"/>
      <c r="G1595" s="18"/>
      <c r="H1595" s="18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>
      <c r="A1596" s="15"/>
      <c r="B1596" s="15"/>
      <c r="C1596" s="15"/>
      <c r="D1596" s="15"/>
      <c r="E1596" s="15"/>
      <c r="F1596" s="18"/>
      <c r="G1596" s="18"/>
      <c r="H1596" s="18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>
      <c r="A1597" s="15"/>
      <c r="B1597" s="15"/>
      <c r="C1597" s="15"/>
      <c r="D1597" s="15"/>
      <c r="E1597" s="15"/>
      <c r="F1597" s="18"/>
      <c r="G1597" s="18"/>
      <c r="H1597" s="18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>
      <c r="A1598" s="15"/>
      <c r="B1598" s="15"/>
      <c r="C1598" s="15"/>
      <c r="D1598" s="15"/>
      <c r="E1598" s="15"/>
      <c r="F1598" s="18"/>
      <c r="G1598" s="18"/>
      <c r="H1598" s="18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>
      <c r="A1599" s="15"/>
      <c r="B1599" s="15"/>
      <c r="C1599" s="15"/>
      <c r="D1599" s="15"/>
      <c r="E1599" s="15"/>
      <c r="F1599" s="18"/>
      <c r="G1599" s="18"/>
      <c r="H1599" s="18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>
      <c r="A1600" s="15"/>
      <c r="B1600" s="15"/>
      <c r="C1600" s="15"/>
      <c r="D1600" s="15"/>
      <c r="E1600" s="15"/>
      <c r="F1600" s="18"/>
      <c r="G1600" s="18"/>
      <c r="H1600" s="18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>
      <c r="A1601" s="15"/>
      <c r="B1601" s="15"/>
      <c r="C1601" s="15"/>
      <c r="D1601" s="15"/>
      <c r="E1601" s="15"/>
      <c r="F1601" s="18"/>
      <c r="G1601" s="18"/>
      <c r="H1601" s="18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>
      <c r="A1602" s="15"/>
      <c r="B1602" s="15"/>
      <c r="C1602" s="15"/>
      <c r="D1602" s="15"/>
      <c r="E1602" s="15"/>
      <c r="F1602" s="18"/>
      <c r="G1602" s="18"/>
      <c r="H1602" s="18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>
      <c r="A1603" s="15"/>
      <c r="B1603" s="15"/>
      <c r="C1603" s="15"/>
      <c r="D1603" s="15"/>
      <c r="E1603" s="15"/>
      <c r="F1603" s="18"/>
      <c r="G1603" s="18"/>
      <c r="H1603" s="18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>
      <c r="A1604" s="15"/>
      <c r="B1604" s="15"/>
      <c r="C1604" s="15"/>
      <c r="D1604" s="15"/>
      <c r="E1604" s="15"/>
      <c r="F1604" s="18"/>
      <c r="G1604" s="18"/>
      <c r="H1604" s="18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>
      <c r="A1605" s="15"/>
      <c r="B1605" s="15"/>
      <c r="C1605" s="15"/>
      <c r="D1605" s="15"/>
      <c r="E1605" s="15"/>
      <c r="F1605" s="18"/>
      <c r="G1605" s="18"/>
      <c r="H1605" s="18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>
      <c r="A1606" s="15"/>
      <c r="B1606" s="15"/>
      <c r="C1606" s="15"/>
      <c r="D1606" s="15"/>
      <c r="E1606" s="15"/>
      <c r="F1606" s="18"/>
      <c r="G1606" s="18"/>
      <c r="H1606" s="18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>
      <c r="A1607" s="15"/>
      <c r="B1607" s="15"/>
      <c r="C1607" s="15"/>
      <c r="D1607" s="15"/>
      <c r="E1607" s="15"/>
      <c r="F1607" s="18"/>
      <c r="G1607" s="18"/>
      <c r="H1607" s="18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>
      <c r="A1608" s="15"/>
      <c r="B1608" s="15"/>
      <c r="C1608" s="15"/>
      <c r="D1608" s="15"/>
      <c r="E1608" s="15"/>
      <c r="F1608" s="18"/>
      <c r="G1608" s="18"/>
      <c r="H1608" s="18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>
      <c r="A1609" s="15"/>
      <c r="B1609" s="15"/>
      <c r="C1609" s="15"/>
      <c r="D1609" s="15"/>
      <c r="E1609" s="15"/>
      <c r="F1609" s="18"/>
      <c r="G1609" s="18"/>
      <c r="H1609" s="18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>
      <c r="A1610" s="15"/>
      <c r="B1610" s="15"/>
      <c r="C1610" s="15"/>
      <c r="D1610" s="15"/>
      <c r="E1610" s="15"/>
      <c r="F1610" s="18"/>
      <c r="G1610" s="18"/>
      <c r="H1610" s="18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>
      <c r="A1611" s="15"/>
      <c r="B1611" s="15"/>
      <c r="C1611" s="15"/>
      <c r="D1611" s="15"/>
      <c r="E1611" s="15"/>
      <c r="F1611" s="18"/>
      <c r="G1611" s="18"/>
      <c r="H1611" s="18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>
      <c r="A1612" s="15"/>
      <c r="B1612" s="15"/>
      <c r="C1612" s="15"/>
      <c r="D1612" s="15"/>
      <c r="E1612" s="15"/>
      <c r="F1612" s="18"/>
      <c r="G1612" s="18"/>
      <c r="H1612" s="18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>
      <c r="A1613" s="15"/>
      <c r="B1613" s="15"/>
      <c r="C1613" s="15"/>
      <c r="D1613" s="15"/>
      <c r="E1613" s="15"/>
      <c r="F1613" s="18"/>
      <c r="G1613" s="18"/>
      <c r="H1613" s="18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>
      <c r="A1614" s="15"/>
      <c r="B1614" s="15"/>
      <c r="C1614" s="15"/>
      <c r="D1614" s="15"/>
      <c r="E1614" s="15"/>
      <c r="F1614" s="18"/>
      <c r="G1614" s="18"/>
      <c r="H1614" s="18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>
      <c r="A1615" s="15"/>
      <c r="B1615" s="15"/>
      <c r="C1615" s="15"/>
      <c r="D1615" s="15"/>
      <c r="E1615" s="15"/>
      <c r="F1615" s="18"/>
      <c r="G1615" s="18"/>
      <c r="H1615" s="18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>
      <c r="A1616" s="15"/>
      <c r="B1616" s="15"/>
      <c r="C1616" s="15"/>
      <c r="D1616" s="15"/>
      <c r="E1616" s="15"/>
      <c r="F1616" s="18"/>
      <c r="G1616" s="18"/>
      <c r="H1616" s="18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>
      <c r="A1617" s="15"/>
      <c r="B1617" s="15"/>
      <c r="C1617" s="15"/>
      <c r="D1617" s="15"/>
      <c r="E1617" s="15"/>
      <c r="F1617" s="18"/>
      <c r="G1617" s="18"/>
      <c r="H1617" s="18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>
      <c r="A1618" s="15"/>
      <c r="B1618" s="15"/>
      <c r="C1618" s="15"/>
      <c r="D1618" s="15"/>
      <c r="E1618" s="15"/>
      <c r="F1618" s="18"/>
      <c r="G1618" s="18"/>
      <c r="H1618" s="18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>
      <c r="A1619" s="15"/>
      <c r="B1619" s="15"/>
      <c r="C1619" s="15"/>
      <c r="D1619" s="15"/>
      <c r="E1619" s="15"/>
      <c r="F1619" s="18"/>
      <c r="G1619" s="18"/>
      <c r="H1619" s="18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>
      <c r="A1620" s="15"/>
      <c r="B1620" s="15"/>
      <c r="C1620" s="15"/>
      <c r="D1620" s="15"/>
      <c r="E1620" s="15"/>
      <c r="F1620" s="18"/>
      <c r="G1620" s="18"/>
      <c r="H1620" s="18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>
      <c r="A1621" s="15"/>
      <c r="B1621" s="15"/>
      <c r="C1621" s="15"/>
      <c r="D1621" s="15"/>
      <c r="E1621" s="15"/>
      <c r="F1621" s="18"/>
      <c r="G1621" s="18"/>
      <c r="H1621" s="18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>
      <c r="A1622" s="15"/>
      <c r="B1622" s="15"/>
      <c r="C1622" s="15"/>
      <c r="D1622" s="15"/>
      <c r="E1622" s="15"/>
      <c r="F1622" s="18"/>
      <c r="G1622" s="18"/>
      <c r="H1622" s="18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>
      <c r="A1623" s="15"/>
      <c r="B1623" s="15"/>
      <c r="C1623" s="15"/>
      <c r="D1623" s="15"/>
      <c r="E1623" s="15"/>
      <c r="F1623" s="18"/>
      <c r="G1623" s="18"/>
      <c r="H1623" s="18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>
      <c r="A1624" s="15"/>
      <c r="B1624" s="15"/>
      <c r="C1624" s="15"/>
      <c r="D1624" s="15"/>
      <c r="E1624" s="15"/>
      <c r="F1624" s="18"/>
      <c r="G1624" s="18"/>
      <c r="H1624" s="18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>
      <c r="A1625" s="15"/>
      <c r="B1625" s="15"/>
      <c r="C1625" s="15"/>
      <c r="D1625" s="15"/>
      <c r="E1625" s="15"/>
      <c r="F1625" s="18"/>
      <c r="G1625" s="18"/>
      <c r="H1625" s="18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>
      <c r="A1626" s="15"/>
      <c r="B1626" s="15"/>
      <c r="C1626" s="15"/>
      <c r="D1626" s="15"/>
      <c r="E1626" s="15"/>
      <c r="F1626" s="18"/>
      <c r="G1626" s="18"/>
      <c r="H1626" s="18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>
      <c r="A1627" s="15"/>
      <c r="B1627" s="15"/>
      <c r="C1627" s="15"/>
      <c r="D1627" s="15"/>
      <c r="E1627" s="15"/>
      <c r="F1627" s="18"/>
      <c r="G1627" s="18"/>
      <c r="H1627" s="18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>
      <c r="A1628" s="15"/>
      <c r="B1628" s="15"/>
      <c r="C1628" s="15"/>
      <c r="D1628" s="15"/>
      <c r="E1628" s="15"/>
      <c r="F1628" s="18"/>
      <c r="G1628" s="18"/>
      <c r="H1628" s="18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>
      <c r="A1629" s="15"/>
      <c r="B1629" s="15"/>
      <c r="C1629" s="15"/>
      <c r="D1629" s="15"/>
      <c r="E1629" s="15"/>
      <c r="F1629" s="18"/>
      <c r="G1629" s="18"/>
      <c r="H1629" s="18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>
      <c r="A1630" s="15"/>
      <c r="B1630" s="15"/>
      <c r="C1630" s="15"/>
      <c r="D1630" s="15"/>
      <c r="E1630" s="15"/>
      <c r="F1630" s="18"/>
      <c r="G1630" s="18"/>
      <c r="H1630" s="18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>
      <c r="A1631" s="15"/>
      <c r="B1631" s="15"/>
      <c r="C1631" s="15"/>
      <c r="D1631" s="15"/>
      <c r="E1631" s="15"/>
      <c r="F1631" s="18"/>
      <c r="G1631" s="18"/>
      <c r="H1631" s="18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>
      <c r="A1632" s="15"/>
      <c r="B1632" s="15"/>
      <c r="C1632" s="15"/>
      <c r="D1632" s="15"/>
      <c r="E1632" s="15"/>
      <c r="F1632" s="18"/>
      <c r="G1632" s="18"/>
      <c r="H1632" s="18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>
      <c r="A1633" s="15"/>
      <c r="B1633" s="15"/>
      <c r="C1633" s="15"/>
      <c r="D1633" s="15"/>
      <c r="E1633" s="15"/>
      <c r="F1633" s="18"/>
      <c r="G1633" s="18"/>
      <c r="H1633" s="18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>
      <c r="A1634" s="15"/>
      <c r="B1634" s="15"/>
      <c r="C1634" s="15"/>
      <c r="D1634" s="15"/>
      <c r="E1634" s="15"/>
      <c r="F1634" s="18"/>
      <c r="G1634" s="18"/>
      <c r="H1634" s="18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>
      <c r="A1635" s="15"/>
      <c r="B1635" s="15"/>
      <c r="C1635" s="15"/>
      <c r="D1635" s="15"/>
      <c r="E1635" s="15"/>
      <c r="F1635" s="18"/>
      <c r="G1635" s="18"/>
      <c r="H1635" s="18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>
      <c r="A1636" s="15"/>
      <c r="B1636" s="15"/>
      <c r="C1636" s="15"/>
      <c r="D1636" s="15"/>
      <c r="E1636" s="15"/>
      <c r="F1636" s="18"/>
      <c r="G1636" s="18"/>
      <c r="H1636" s="18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>
      <c r="A1637" s="15"/>
      <c r="B1637" s="15"/>
      <c r="C1637" s="15"/>
      <c r="D1637" s="15"/>
      <c r="E1637" s="15"/>
      <c r="F1637" s="18"/>
      <c r="G1637" s="18"/>
      <c r="H1637" s="18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>
      <c r="A1638" s="15"/>
      <c r="B1638" s="15"/>
      <c r="C1638" s="15"/>
      <c r="D1638" s="15"/>
      <c r="E1638" s="15"/>
      <c r="F1638" s="18"/>
      <c r="G1638" s="18"/>
      <c r="H1638" s="18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>
      <c r="A1639" s="15"/>
      <c r="B1639" s="15"/>
      <c r="C1639" s="15"/>
      <c r="D1639" s="15"/>
      <c r="E1639" s="15"/>
      <c r="F1639" s="18"/>
      <c r="G1639" s="18"/>
      <c r="H1639" s="18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>
      <c r="A1640" s="15"/>
      <c r="B1640" s="15"/>
      <c r="C1640" s="15"/>
      <c r="D1640" s="15"/>
      <c r="E1640" s="15"/>
      <c r="F1640" s="18"/>
      <c r="G1640" s="18"/>
      <c r="H1640" s="18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>
      <c r="A1641" s="15"/>
      <c r="B1641" s="15"/>
      <c r="C1641" s="15"/>
      <c r="D1641" s="15"/>
      <c r="E1641" s="15"/>
      <c r="F1641" s="18"/>
      <c r="G1641" s="18"/>
      <c r="H1641" s="18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>
      <c r="A1642" s="15"/>
      <c r="B1642" s="15"/>
      <c r="C1642" s="15"/>
      <c r="D1642" s="15"/>
      <c r="E1642" s="15"/>
      <c r="F1642" s="18"/>
      <c r="G1642" s="18"/>
      <c r="H1642" s="18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>
      <c r="A1643" s="15"/>
      <c r="B1643" s="15"/>
      <c r="C1643" s="15"/>
      <c r="D1643" s="15"/>
      <c r="E1643" s="15"/>
      <c r="F1643" s="18"/>
      <c r="G1643" s="18"/>
      <c r="H1643" s="18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>
      <c r="A1644" s="15"/>
      <c r="B1644" s="15"/>
      <c r="C1644" s="15"/>
      <c r="D1644" s="15"/>
      <c r="E1644" s="15"/>
      <c r="F1644" s="18"/>
      <c r="G1644" s="18"/>
      <c r="H1644" s="18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>
      <c r="A1645" s="15"/>
      <c r="B1645" s="15"/>
      <c r="C1645" s="15"/>
      <c r="D1645" s="15"/>
      <c r="E1645" s="15"/>
      <c r="F1645" s="18"/>
      <c r="G1645" s="18"/>
      <c r="H1645" s="18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>
      <c r="A1646" s="15"/>
      <c r="B1646" s="15"/>
      <c r="C1646" s="15"/>
      <c r="D1646" s="15"/>
      <c r="E1646" s="15"/>
      <c r="F1646" s="18"/>
      <c r="G1646" s="18"/>
      <c r="H1646" s="18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>
      <c r="A1647" s="15"/>
      <c r="B1647" s="15"/>
      <c r="C1647" s="15"/>
      <c r="D1647" s="15"/>
      <c r="E1647" s="15"/>
      <c r="F1647" s="18"/>
      <c r="G1647" s="18"/>
      <c r="H1647" s="18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>
      <c r="A1648" s="15"/>
      <c r="B1648" s="15"/>
      <c r="C1648" s="15"/>
      <c r="D1648" s="15"/>
      <c r="E1648" s="15"/>
      <c r="F1648" s="18"/>
      <c r="G1648" s="18"/>
      <c r="H1648" s="18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>
      <c r="A1649" s="15"/>
      <c r="B1649" s="15"/>
      <c r="C1649" s="15"/>
      <c r="D1649" s="15"/>
      <c r="E1649" s="15"/>
      <c r="F1649" s="18"/>
      <c r="G1649" s="18"/>
      <c r="H1649" s="18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>
      <c r="A1650" s="15"/>
      <c r="B1650" s="15"/>
      <c r="C1650" s="15"/>
      <c r="D1650" s="15"/>
      <c r="E1650" s="15"/>
      <c r="F1650" s="18"/>
      <c r="G1650" s="18"/>
      <c r="H1650" s="18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>
      <c r="A1651" s="15"/>
      <c r="B1651" s="15"/>
      <c r="C1651" s="15"/>
      <c r="D1651" s="15"/>
      <c r="E1651" s="15"/>
      <c r="F1651" s="18"/>
      <c r="G1651" s="18"/>
      <c r="H1651" s="18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>
      <c r="A1652" s="15"/>
      <c r="B1652" s="15"/>
      <c r="C1652" s="15"/>
      <c r="D1652" s="15"/>
      <c r="E1652" s="15"/>
      <c r="F1652" s="18"/>
      <c r="G1652" s="18"/>
      <c r="H1652" s="18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>
      <c r="A1653" s="15"/>
      <c r="B1653" s="15"/>
      <c r="C1653" s="15"/>
      <c r="D1653" s="15"/>
      <c r="E1653" s="15"/>
      <c r="F1653" s="18"/>
      <c r="G1653" s="18"/>
      <c r="H1653" s="18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>
      <c r="A1654" s="15"/>
      <c r="B1654" s="15"/>
      <c r="C1654" s="15"/>
      <c r="D1654" s="15"/>
      <c r="E1654" s="15"/>
      <c r="F1654" s="18"/>
      <c r="G1654" s="18"/>
      <c r="H1654" s="18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>
      <c r="A1655" s="15"/>
      <c r="B1655" s="15"/>
      <c r="C1655" s="15"/>
      <c r="D1655" s="15"/>
      <c r="E1655" s="15"/>
      <c r="F1655" s="18"/>
      <c r="G1655" s="18"/>
      <c r="H1655" s="18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>
      <c r="A1656" s="15"/>
      <c r="B1656" s="15"/>
      <c r="C1656" s="15"/>
      <c r="D1656" s="15"/>
      <c r="E1656" s="15"/>
      <c r="F1656" s="18"/>
      <c r="G1656" s="18"/>
      <c r="H1656" s="18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>
      <c r="A1657" s="15"/>
      <c r="B1657" s="15"/>
      <c r="C1657" s="15"/>
      <c r="D1657" s="15"/>
      <c r="E1657" s="15"/>
      <c r="F1657" s="18"/>
      <c r="G1657" s="18"/>
      <c r="H1657" s="18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>
      <c r="A1658" s="15"/>
      <c r="B1658" s="15"/>
      <c r="C1658" s="15"/>
      <c r="D1658" s="15"/>
      <c r="E1658" s="15"/>
      <c r="F1658" s="18"/>
      <c r="G1658" s="18"/>
      <c r="H1658" s="18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>
      <c r="A1659" s="15"/>
      <c r="B1659" s="15"/>
      <c r="C1659" s="15"/>
      <c r="D1659" s="15"/>
      <c r="E1659" s="15"/>
      <c r="F1659" s="18"/>
      <c r="G1659" s="18"/>
      <c r="H1659" s="18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>
      <c r="A1660" s="15"/>
      <c r="B1660" s="15"/>
      <c r="C1660" s="15"/>
      <c r="D1660" s="15"/>
      <c r="E1660" s="15"/>
      <c r="F1660" s="18"/>
      <c r="G1660" s="18"/>
      <c r="H1660" s="18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>
      <c r="A1661" s="15"/>
      <c r="B1661" s="15"/>
      <c r="C1661" s="15"/>
      <c r="D1661" s="15"/>
      <c r="E1661" s="15"/>
      <c r="F1661" s="18"/>
      <c r="G1661" s="18"/>
      <c r="H1661" s="18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>
      <c r="A1662" s="15"/>
      <c r="B1662" s="15"/>
      <c r="C1662" s="15"/>
      <c r="D1662" s="15"/>
      <c r="E1662" s="15"/>
      <c r="F1662" s="18"/>
      <c r="G1662" s="18"/>
      <c r="H1662" s="18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>
      <c r="A1663" s="15"/>
      <c r="B1663" s="15"/>
      <c r="C1663" s="15"/>
      <c r="D1663" s="15"/>
      <c r="E1663" s="15"/>
      <c r="F1663" s="18"/>
      <c r="G1663" s="18"/>
      <c r="H1663" s="18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>
      <c r="A1664" s="15"/>
      <c r="B1664" s="15"/>
      <c r="C1664" s="15"/>
      <c r="D1664" s="15"/>
      <c r="E1664" s="15"/>
      <c r="F1664" s="18"/>
      <c r="G1664" s="18"/>
      <c r="H1664" s="18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>
      <c r="A1665" s="15"/>
      <c r="B1665" s="15"/>
      <c r="C1665" s="15"/>
      <c r="D1665" s="15"/>
      <c r="E1665" s="15"/>
      <c r="F1665" s="18"/>
      <c r="G1665" s="18"/>
      <c r="H1665" s="18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>
      <c r="A1666" s="15"/>
      <c r="B1666" s="15"/>
      <c r="C1666" s="15"/>
      <c r="D1666" s="15"/>
      <c r="E1666" s="15"/>
      <c r="F1666" s="18"/>
      <c r="G1666" s="18"/>
      <c r="H1666" s="18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>
      <c r="A1667" s="15"/>
      <c r="B1667" s="15"/>
      <c r="C1667" s="15"/>
      <c r="D1667" s="15"/>
      <c r="E1667" s="15"/>
      <c r="F1667" s="18"/>
      <c r="G1667" s="18"/>
      <c r="H1667" s="18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>
      <c r="A1668" s="15"/>
      <c r="B1668" s="15"/>
      <c r="C1668" s="15"/>
      <c r="D1668" s="15"/>
      <c r="E1668" s="15"/>
      <c r="F1668" s="18"/>
      <c r="G1668" s="18"/>
      <c r="H1668" s="18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>
      <c r="A1669" s="15"/>
      <c r="B1669" s="15"/>
      <c r="C1669" s="15"/>
      <c r="D1669" s="15"/>
      <c r="E1669" s="15"/>
      <c r="F1669" s="18"/>
      <c r="G1669" s="18"/>
      <c r="H1669" s="18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>
      <c r="A1670" s="15"/>
      <c r="B1670" s="15"/>
      <c r="C1670" s="15"/>
      <c r="D1670" s="15"/>
      <c r="E1670" s="15"/>
      <c r="F1670" s="18"/>
      <c r="G1670" s="18"/>
      <c r="H1670" s="18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>
      <c r="A1671" s="15"/>
      <c r="B1671" s="15"/>
      <c r="C1671" s="15"/>
      <c r="D1671" s="15"/>
      <c r="E1671" s="15"/>
      <c r="F1671" s="18"/>
      <c r="G1671" s="18"/>
      <c r="H1671" s="18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>
      <c r="A1672" s="15"/>
      <c r="B1672" s="15"/>
      <c r="C1672" s="15"/>
      <c r="D1672" s="15"/>
      <c r="E1672" s="15"/>
      <c r="F1672" s="18"/>
      <c r="G1672" s="18"/>
      <c r="H1672" s="18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>
      <c r="A1673" s="15"/>
      <c r="B1673" s="15"/>
      <c r="C1673" s="15"/>
      <c r="D1673" s="15"/>
      <c r="E1673" s="15"/>
      <c r="F1673" s="18"/>
      <c r="G1673" s="18"/>
      <c r="H1673" s="18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>
      <c r="A1674" s="15"/>
      <c r="B1674" s="15"/>
      <c r="C1674" s="15"/>
      <c r="D1674" s="15"/>
      <c r="E1674" s="15"/>
      <c r="F1674" s="18"/>
      <c r="G1674" s="18"/>
      <c r="H1674" s="18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>
      <c r="A1675" s="15"/>
      <c r="B1675" s="15"/>
      <c r="C1675" s="15"/>
      <c r="D1675" s="15"/>
      <c r="E1675" s="15"/>
      <c r="F1675" s="18"/>
      <c r="G1675" s="18"/>
      <c r="H1675" s="18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>
      <c r="A1676" s="15"/>
      <c r="B1676" s="15"/>
      <c r="C1676" s="15"/>
      <c r="D1676" s="15"/>
      <c r="E1676" s="15"/>
      <c r="F1676" s="18"/>
      <c r="G1676" s="18"/>
      <c r="H1676" s="18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>
      <c r="A1677" s="15"/>
      <c r="B1677" s="15"/>
      <c r="C1677" s="15"/>
      <c r="D1677" s="15"/>
      <c r="E1677" s="15"/>
      <c r="F1677" s="18"/>
      <c r="G1677" s="18"/>
      <c r="H1677" s="18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>
      <c r="A1678" s="15"/>
      <c r="B1678" s="15"/>
      <c r="C1678" s="15"/>
      <c r="D1678" s="15"/>
      <c r="E1678" s="15"/>
      <c r="F1678" s="18"/>
      <c r="G1678" s="18"/>
      <c r="H1678" s="18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>
      <c r="A1679" s="15"/>
      <c r="B1679" s="15"/>
      <c r="C1679" s="15"/>
      <c r="D1679" s="15"/>
      <c r="E1679" s="15"/>
      <c r="F1679" s="18"/>
      <c r="G1679" s="18"/>
      <c r="H1679" s="18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>
      <c r="A1680" s="15"/>
      <c r="B1680" s="15"/>
      <c r="C1680" s="15"/>
      <c r="D1680" s="15"/>
      <c r="E1680" s="15"/>
      <c r="F1680" s="18"/>
      <c r="G1680" s="18"/>
      <c r="H1680" s="18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>
      <c r="A1681" s="15"/>
      <c r="B1681" s="15"/>
      <c r="C1681" s="15"/>
      <c r="D1681" s="15"/>
      <c r="E1681" s="15"/>
      <c r="F1681" s="18"/>
      <c r="G1681" s="18"/>
      <c r="H1681" s="18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>
      <c r="A1682" s="15"/>
      <c r="B1682" s="15"/>
      <c r="C1682" s="15"/>
      <c r="D1682" s="15"/>
      <c r="E1682" s="15"/>
      <c r="F1682" s="18"/>
      <c r="G1682" s="18"/>
      <c r="H1682" s="18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>
      <c r="A1683" s="15"/>
      <c r="B1683" s="15"/>
      <c r="C1683" s="15"/>
      <c r="D1683" s="15"/>
      <c r="E1683" s="15"/>
      <c r="F1683" s="18"/>
      <c r="G1683" s="18"/>
      <c r="H1683" s="18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>
      <c r="A1684" s="15"/>
      <c r="B1684" s="15"/>
      <c r="C1684" s="15"/>
      <c r="D1684" s="15"/>
      <c r="E1684" s="15"/>
      <c r="F1684" s="18"/>
      <c r="G1684" s="18"/>
      <c r="H1684" s="18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>
      <c r="A1685" s="15"/>
      <c r="B1685" s="15"/>
      <c r="C1685" s="15"/>
      <c r="D1685" s="15"/>
      <c r="E1685" s="15"/>
      <c r="F1685" s="18"/>
      <c r="G1685" s="18"/>
      <c r="H1685" s="18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>
      <c r="A1686" s="15"/>
      <c r="B1686" s="15"/>
      <c r="C1686" s="15"/>
      <c r="D1686" s="15"/>
      <c r="E1686" s="15"/>
      <c r="F1686" s="18"/>
      <c r="G1686" s="18"/>
      <c r="H1686" s="18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>
      <c r="A1687" s="15"/>
      <c r="B1687" s="15"/>
      <c r="C1687" s="15"/>
      <c r="D1687" s="15"/>
      <c r="E1687" s="15"/>
      <c r="F1687" s="18"/>
      <c r="G1687" s="18"/>
      <c r="H1687" s="18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>
      <c r="A1688" s="15"/>
      <c r="B1688" s="15"/>
      <c r="C1688" s="15"/>
      <c r="D1688" s="15"/>
      <c r="E1688" s="15"/>
      <c r="F1688" s="18"/>
      <c r="G1688" s="18"/>
      <c r="H1688" s="18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>
      <c r="A1689" s="15"/>
      <c r="B1689" s="15"/>
      <c r="C1689" s="15"/>
      <c r="D1689" s="15"/>
      <c r="E1689" s="15"/>
      <c r="F1689" s="18"/>
      <c r="G1689" s="18"/>
      <c r="H1689" s="18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>
      <c r="A1690" s="15"/>
      <c r="B1690" s="15"/>
      <c r="C1690" s="15"/>
      <c r="D1690" s="15"/>
      <c r="E1690" s="15"/>
      <c r="F1690" s="18"/>
      <c r="G1690" s="18"/>
      <c r="H1690" s="18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>
      <c r="A1691" s="15"/>
      <c r="B1691" s="15"/>
      <c r="C1691" s="15"/>
      <c r="D1691" s="15"/>
      <c r="E1691" s="15"/>
      <c r="F1691" s="18"/>
      <c r="G1691" s="18"/>
      <c r="H1691" s="18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>
      <c r="A1692" s="15"/>
      <c r="B1692" s="15"/>
      <c r="C1692" s="15"/>
      <c r="D1692" s="15"/>
      <c r="E1692" s="15"/>
      <c r="F1692" s="18"/>
      <c r="G1692" s="18"/>
      <c r="H1692" s="18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>
      <c r="A1693" s="15"/>
      <c r="B1693" s="15"/>
      <c r="C1693" s="15"/>
      <c r="D1693" s="15"/>
      <c r="E1693" s="15"/>
      <c r="F1693" s="18"/>
      <c r="G1693" s="18"/>
      <c r="H1693" s="18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>
      <c r="A1694" s="15"/>
      <c r="B1694" s="15"/>
      <c r="C1694" s="15"/>
      <c r="D1694" s="15"/>
      <c r="E1694" s="15"/>
      <c r="F1694" s="18"/>
      <c r="G1694" s="18"/>
      <c r="H1694" s="18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</sheetData>
  <mergeCells count="2">
    <mergeCell ref="A2:B2"/>
    <mergeCell ref="C2:H2"/>
  </mergeCells>
  <hyperlinks>
    <hyperlink r:id="rId1" ref="F4"/>
    <hyperlink r:id="rId2" ref="G4"/>
    <hyperlink r:id="rId3" ref="H4"/>
    <hyperlink r:id="rId4" ref="F5"/>
    <hyperlink r:id="rId5" ref="H5"/>
    <hyperlink r:id="rId6" ref="F6"/>
    <hyperlink r:id="rId7" ref="F7"/>
    <hyperlink r:id="rId8" ref="G7"/>
    <hyperlink r:id="rId9" ref="F8"/>
    <hyperlink r:id="rId10" ref="G8"/>
    <hyperlink r:id="rId11" ref="F9"/>
    <hyperlink r:id="rId12" ref="G9"/>
    <hyperlink r:id="rId13" ref="F10"/>
    <hyperlink r:id="rId14" ref="G10"/>
    <hyperlink r:id="rId15" ref="F11"/>
    <hyperlink r:id="rId16" ref="H11"/>
    <hyperlink r:id="rId17" ref="F12"/>
    <hyperlink r:id="rId18" ref="G12"/>
    <hyperlink r:id="rId19" ref="F13"/>
    <hyperlink r:id="rId20" ref="G13"/>
    <hyperlink r:id="rId21" ref="F14"/>
    <hyperlink r:id="rId22" ref="G14"/>
    <hyperlink r:id="rId23" ref="H14"/>
    <hyperlink r:id="rId24" ref="F15"/>
    <hyperlink r:id="rId25" ref="G15"/>
    <hyperlink r:id="rId26" ref="F16"/>
    <hyperlink r:id="rId27" ref="G16"/>
    <hyperlink r:id="rId28" ref="F17"/>
    <hyperlink r:id="rId29" ref="G17"/>
    <hyperlink r:id="rId30" ref="H17"/>
    <hyperlink r:id="rId31" ref="F18"/>
    <hyperlink r:id="rId32" ref="G18"/>
    <hyperlink r:id="rId33" ref="F19"/>
    <hyperlink r:id="rId34" ref="H19"/>
    <hyperlink r:id="rId35" ref="F20"/>
    <hyperlink r:id="rId36" ref="G20"/>
    <hyperlink r:id="rId37" ref="H20"/>
    <hyperlink r:id="rId38" ref="F21"/>
    <hyperlink r:id="rId39" ref="H21"/>
    <hyperlink r:id="rId40" ref="F22"/>
    <hyperlink r:id="rId41" ref="H22"/>
    <hyperlink r:id="rId42" ref="F23"/>
    <hyperlink r:id="rId43" ref="G23"/>
    <hyperlink r:id="rId44" ref="H23"/>
    <hyperlink r:id="rId45" ref="F24"/>
    <hyperlink r:id="rId46" ref="F25"/>
    <hyperlink r:id="rId47" ref="G25"/>
    <hyperlink r:id="rId48" ref="F26"/>
    <hyperlink r:id="rId49" ref="G26"/>
    <hyperlink r:id="rId50" ref="H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H30"/>
    <hyperlink r:id="rId60" ref="F31"/>
    <hyperlink r:id="rId61" ref="G31"/>
    <hyperlink r:id="rId62" ref="H31"/>
    <hyperlink r:id="rId63" ref="F32"/>
    <hyperlink r:id="rId64" ref="H32"/>
    <hyperlink r:id="rId65" ref="F33"/>
    <hyperlink r:id="rId66" ref="G33"/>
    <hyperlink r:id="rId67" ref="H33"/>
    <hyperlink r:id="rId68" ref="F34"/>
    <hyperlink r:id="rId69" ref="G34"/>
    <hyperlink r:id="rId70" ref="F35"/>
    <hyperlink r:id="rId71" ref="G35"/>
    <hyperlink r:id="rId72" ref="F36"/>
    <hyperlink r:id="rId73" ref="F37"/>
    <hyperlink r:id="rId74" ref="G37"/>
    <hyperlink r:id="rId75" ref="H37"/>
    <hyperlink r:id="rId76" ref="F38"/>
    <hyperlink r:id="rId77" ref="H38"/>
    <hyperlink r:id="rId78" ref="F39"/>
    <hyperlink r:id="rId79" ref="G39"/>
    <hyperlink r:id="rId80" ref="H39"/>
    <hyperlink r:id="rId81" ref="F40"/>
    <hyperlink r:id="rId82" ref="G40"/>
    <hyperlink r:id="rId83" ref="H40"/>
    <hyperlink r:id="rId84" ref="F41"/>
    <hyperlink r:id="rId85" ref="F42"/>
    <hyperlink r:id="rId86" ref="G42"/>
    <hyperlink r:id="rId87" ref="H42"/>
    <hyperlink r:id="rId88" ref="F43"/>
    <hyperlink r:id="rId89" ref="G43"/>
    <hyperlink r:id="rId90" ref="H43"/>
    <hyperlink r:id="rId91" ref="F44"/>
    <hyperlink r:id="rId92" ref="G44"/>
    <hyperlink r:id="rId93" ref="F45"/>
    <hyperlink r:id="rId94" ref="G45"/>
    <hyperlink r:id="rId95" ref="H45"/>
    <hyperlink r:id="rId96" ref="F46"/>
    <hyperlink r:id="rId97" ref="G46"/>
    <hyperlink r:id="rId98" ref="F47"/>
    <hyperlink r:id="rId99" ref="G47"/>
    <hyperlink r:id="rId100" ref="H47"/>
    <hyperlink r:id="rId101" ref="F48"/>
    <hyperlink r:id="rId102" ref="G48"/>
    <hyperlink r:id="rId103" ref="F49"/>
    <hyperlink r:id="rId104" ref="G49"/>
    <hyperlink r:id="rId105" ref="H49"/>
    <hyperlink r:id="rId106" ref="F50"/>
    <hyperlink r:id="rId107" ref="G50"/>
    <hyperlink r:id="rId108" ref="H50"/>
    <hyperlink r:id="rId109" ref="F51"/>
    <hyperlink r:id="rId110" ref="G51"/>
    <hyperlink r:id="rId111" ref="F52"/>
    <hyperlink r:id="rId112" ref="G52"/>
    <hyperlink r:id="rId113" ref="H52"/>
    <hyperlink r:id="rId114" ref="F53"/>
    <hyperlink r:id="rId115" ref="G53"/>
    <hyperlink r:id="rId116" ref="H53"/>
    <hyperlink r:id="rId117" ref="F54"/>
    <hyperlink r:id="rId118" ref="F55"/>
    <hyperlink r:id="rId119" ref="F56"/>
    <hyperlink r:id="rId120" ref="G56"/>
    <hyperlink r:id="rId121" ref="H56"/>
    <hyperlink r:id="rId122" ref="F57"/>
    <hyperlink r:id="rId123" ref="G57"/>
    <hyperlink r:id="rId124" ref="F58"/>
    <hyperlink r:id="rId125" ref="H58"/>
    <hyperlink r:id="rId126" ref="F59"/>
    <hyperlink r:id="rId127" ref="G59"/>
    <hyperlink r:id="rId128" ref="H59"/>
    <hyperlink r:id="rId129" ref="F60"/>
    <hyperlink r:id="rId130" ref="G60"/>
    <hyperlink r:id="rId131" ref="H60"/>
    <hyperlink r:id="rId132" ref="F61"/>
    <hyperlink r:id="rId133" ref="F62"/>
    <hyperlink r:id="rId134" ref="G62"/>
    <hyperlink r:id="rId135" ref="H62"/>
    <hyperlink r:id="rId136" ref="F63"/>
    <hyperlink r:id="rId137" ref="G63"/>
    <hyperlink r:id="rId138" ref="F64"/>
    <hyperlink r:id="rId139" ref="G64"/>
    <hyperlink r:id="rId140" ref="H64"/>
    <hyperlink r:id="rId141" ref="F65"/>
    <hyperlink r:id="rId142" ref="G65"/>
    <hyperlink r:id="rId143" ref="F66"/>
    <hyperlink r:id="rId144" ref="G66"/>
    <hyperlink r:id="rId145" ref="H66"/>
    <hyperlink r:id="rId146" ref="F67"/>
    <hyperlink r:id="rId147" ref="G67"/>
    <hyperlink r:id="rId148" ref="F68"/>
    <hyperlink r:id="rId149" ref="G68"/>
    <hyperlink r:id="rId150" ref="H68"/>
    <hyperlink r:id="rId151" ref="F69"/>
    <hyperlink r:id="rId152" ref="G69"/>
    <hyperlink r:id="rId153" ref="H69"/>
    <hyperlink r:id="rId154" ref="F70"/>
    <hyperlink r:id="rId155" ref="G70"/>
    <hyperlink r:id="rId156" ref="H70"/>
    <hyperlink r:id="rId157" ref="F71"/>
    <hyperlink r:id="rId158" ref="G71"/>
    <hyperlink r:id="rId159" ref="H71"/>
    <hyperlink r:id="rId160" ref="F72"/>
    <hyperlink r:id="rId161" ref="F73"/>
    <hyperlink r:id="rId162" ref="G73"/>
    <hyperlink r:id="rId163" ref="F74"/>
    <hyperlink r:id="rId164" ref="G74"/>
    <hyperlink r:id="rId165" ref="F75"/>
    <hyperlink r:id="rId166" ref="H75"/>
    <hyperlink r:id="rId167" ref="F76"/>
    <hyperlink r:id="rId168" ref="F77"/>
    <hyperlink r:id="rId169" ref="G77"/>
    <hyperlink r:id="rId170" ref="H77"/>
    <hyperlink r:id="rId171" ref="F78"/>
    <hyperlink r:id="rId172" ref="G78"/>
    <hyperlink r:id="rId173" ref="F79"/>
    <hyperlink r:id="rId174" ref="G79"/>
    <hyperlink r:id="rId175" ref="H79"/>
    <hyperlink r:id="rId176" ref="F80"/>
    <hyperlink r:id="rId177" ref="G80"/>
    <hyperlink r:id="rId178" ref="H80"/>
    <hyperlink r:id="rId179" ref="F81"/>
    <hyperlink r:id="rId180" ref="G81"/>
    <hyperlink r:id="rId181" ref="H81"/>
    <hyperlink r:id="rId182" ref="F82"/>
    <hyperlink r:id="rId183" ref="G82"/>
    <hyperlink r:id="rId184" ref="H82"/>
    <hyperlink r:id="rId185" ref="F83"/>
    <hyperlink r:id="rId186" ref="G83"/>
    <hyperlink r:id="rId187" ref="H83"/>
    <hyperlink r:id="rId188" ref="F84"/>
    <hyperlink r:id="rId189" ref="G84"/>
    <hyperlink r:id="rId190" ref="F85"/>
    <hyperlink r:id="rId191" ref="F86"/>
    <hyperlink r:id="rId192" ref="G86"/>
    <hyperlink r:id="rId193" ref="H86"/>
    <hyperlink r:id="rId194" ref="F87"/>
    <hyperlink r:id="rId195" ref="G87"/>
    <hyperlink r:id="rId196" ref="F88"/>
    <hyperlink r:id="rId197" ref="G88"/>
    <hyperlink r:id="rId198" ref="F89"/>
    <hyperlink r:id="rId199" ref="F90"/>
    <hyperlink r:id="rId200" ref="G90"/>
    <hyperlink r:id="rId201" ref="H90"/>
    <hyperlink r:id="rId202" ref="F91"/>
    <hyperlink r:id="rId203" ref="G91"/>
    <hyperlink r:id="rId204" ref="H91"/>
    <hyperlink r:id="rId205" ref="F92"/>
    <hyperlink r:id="rId206" ref="G92"/>
    <hyperlink r:id="rId207" ref="F93"/>
    <hyperlink r:id="rId208" ref="G93"/>
    <hyperlink r:id="rId209" ref="H93"/>
    <hyperlink r:id="rId210" ref="F94"/>
    <hyperlink r:id="rId211" ref="G94"/>
    <hyperlink r:id="rId212" ref="F95"/>
    <hyperlink r:id="rId213" ref="G95"/>
    <hyperlink r:id="rId214" ref="H95"/>
    <hyperlink r:id="rId215" ref="F96"/>
    <hyperlink r:id="rId216" ref="F97"/>
    <hyperlink r:id="rId217" ref="F98"/>
    <hyperlink r:id="rId218" ref="G98"/>
    <hyperlink r:id="rId219" ref="F99"/>
    <hyperlink r:id="rId220" ref="G99"/>
    <hyperlink r:id="rId221" ref="H99"/>
    <hyperlink r:id="rId222" ref="F100"/>
    <hyperlink r:id="rId223" ref="G100"/>
    <hyperlink r:id="rId224" ref="F101"/>
    <hyperlink r:id="rId225" ref="G101"/>
    <hyperlink r:id="rId226" ref="F102"/>
    <hyperlink r:id="rId227" ref="G102"/>
    <hyperlink r:id="rId228" ref="H102"/>
    <hyperlink r:id="rId229" ref="F103"/>
    <hyperlink r:id="rId230" ref="G103"/>
    <hyperlink r:id="rId231" ref="H103"/>
    <hyperlink r:id="rId232" ref="F104"/>
    <hyperlink r:id="rId233" ref="G104"/>
    <hyperlink r:id="rId234" ref="F105"/>
    <hyperlink r:id="rId235" ref="G105"/>
    <hyperlink r:id="rId236" ref="H105"/>
    <hyperlink r:id="rId237" ref="F106"/>
    <hyperlink r:id="rId238" ref="G106"/>
    <hyperlink r:id="rId239" ref="H106"/>
    <hyperlink r:id="rId240" ref="F107"/>
    <hyperlink r:id="rId241" ref="G107"/>
    <hyperlink r:id="rId242" ref="H107"/>
    <hyperlink r:id="rId243" ref="F108"/>
    <hyperlink r:id="rId244" ref="H108"/>
    <hyperlink r:id="rId245" ref="F109"/>
    <hyperlink r:id="rId246" ref="G109"/>
    <hyperlink r:id="rId247" ref="F110"/>
    <hyperlink r:id="rId248" ref="H110"/>
    <hyperlink r:id="rId249" ref="F111"/>
    <hyperlink r:id="rId250" ref="G111"/>
    <hyperlink r:id="rId251" ref="F112"/>
    <hyperlink r:id="rId252" ref="G112"/>
    <hyperlink r:id="rId253" ref="H112"/>
    <hyperlink r:id="rId254" ref="F113"/>
    <hyperlink r:id="rId255" ref="G113"/>
    <hyperlink r:id="rId256" ref="F114"/>
    <hyperlink r:id="rId257" ref="G114"/>
    <hyperlink r:id="rId258" ref="H114"/>
    <hyperlink r:id="rId259" ref="F115"/>
    <hyperlink r:id="rId260" ref="G115"/>
    <hyperlink r:id="rId261" ref="F116"/>
    <hyperlink r:id="rId262" ref="G116"/>
    <hyperlink r:id="rId263" ref="F117"/>
    <hyperlink r:id="rId264" ref="G117"/>
    <hyperlink r:id="rId265" ref="F118"/>
    <hyperlink r:id="rId266" ref="G118"/>
    <hyperlink r:id="rId267" ref="H118"/>
    <hyperlink r:id="rId268" ref="F119"/>
    <hyperlink r:id="rId269" ref="G119"/>
    <hyperlink r:id="rId270" ref="F120"/>
    <hyperlink r:id="rId271" ref="H120"/>
    <hyperlink r:id="rId272" ref="F121"/>
    <hyperlink r:id="rId273" ref="G121"/>
    <hyperlink r:id="rId274" ref="H121"/>
    <hyperlink r:id="rId275" ref="F122"/>
    <hyperlink r:id="rId276" ref="H122"/>
    <hyperlink r:id="rId277" ref="F123"/>
    <hyperlink r:id="rId278" ref="G123"/>
    <hyperlink r:id="rId279" ref="F124"/>
    <hyperlink r:id="rId280" ref="G124"/>
    <hyperlink r:id="rId281" ref="H124"/>
    <hyperlink r:id="rId282" ref="F125"/>
    <hyperlink r:id="rId283" ref="G125"/>
    <hyperlink r:id="rId284" ref="H125"/>
    <hyperlink r:id="rId285" ref="F126"/>
    <hyperlink r:id="rId286" ref="G126"/>
    <hyperlink r:id="rId287" ref="H126"/>
    <hyperlink r:id="rId288" ref="F127"/>
    <hyperlink r:id="rId289" ref="G127"/>
    <hyperlink r:id="rId290" ref="H127"/>
    <hyperlink r:id="rId291" ref="F128"/>
    <hyperlink r:id="rId292" ref="G128"/>
    <hyperlink r:id="rId293" ref="H128"/>
    <hyperlink r:id="rId294" ref="F129"/>
    <hyperlink r:id="rId295" ref="F130"/>
    <hyperlink r:id="rId296" ref="G130"/>
    <hyperlink r:id="rId297" ref="F131"/>
    <hyperlink r:id="rId298" ref="G131"/>
    <hyperlink r:id="rId299" ref="H131"/>
    <hyperlink r:id="rId300" ref="F132"/>
    <hyperlink r:id="rId301" ref="H132"/>
    <hyperlink r:id="rId302" ref="F133"/>
    <hyperlink r:id="rId303" ref="H133"/>
    <hyperlink r:id="rId304" ref="F134"/>
    <hyperlink r:id="rId305" ref="G134"/>
    <hyperlink r:id="rId306" ref="H134"/>
    <hyperlink r:id="rId307" ref="F135"/>
    <hyperlink r:id="rId308" ref="H135"/>
    <hyperlink r:id="rId309" ref="F136"/>
    <hyperlink r:id="rId310" ref="G136"/>
    <hyperlink r:id="rId311" ref="H136"/>
    <hyperlink r:id="rId312" ref="F137"/>
    <hyperlink r:id="rId313" ref="F138"/>
    <hyperlink r:id="rId314" ref="G138"/>
    <hyperlink r:id="rId315" ref="H138"/>
    <hyperlink r:id="rId316" ref="F139"/>
    <hyperlink r:id="rId317" ref="H139"/>
    <hyperlink r:id="rId318" ref="F140"/>
    <hyperlink r:id="rId319" ref="F141"/>
    <hyperlink r:id="rId320" ref="G141"/>
    <hyperlink r:id="rId321" ref="H141"/>
    <hyperlink r:id="rId322" ref="F142"/>
    <hyperlink r:id="rId323" ref="G142"/>
    <hyperlink r:id="rId324" ref="H142"/>
    <hyperlink r:id="rId325" ref="F143"/>
    <hyperlink r:id="rId326" ref="H143"/>
    <hyperlink r:id="rId327" ref="F144"/>
    <hyperlink r:id="rId328" ref="G144"/>
    <hyperlink r:id="rId329" ref="H144"/>
    <hyperlink r:id="rId330" ref="F145"/>
    <hyperlink r:id="rId331" ref="G145"/>
    <hyperlink r:id="rId332" ref="H145"/>
    <hyperlink r:id="rId333" ref="F146"/>
    <hyperlink r:id="rId334" ref="H146"/>
    <hyperlink r:id="rId335" ref="F147"/>
    <hyperlink r:id="rId336" ref="H147"/>
    <hyperlink r:id="rId337" ref="F148"/>
    <hyperlink r:id="rId338" ref="H148"/>
    <hyperlink r:id="rId339" ref="F149"/>
    <hyperlink r:id="rId340" ref="G149"/>
    <hyperlink r:id="rId341" ref="H149"/>
    <hyperlink r:id="rId342" ref="F150"/>
    <hyperlink r:id="rId343" ref="G150"/>
    <hyperlink r:id="rId344" ref="F151"/>
    <hyperlink r:id="rId345" ref="H151"/>
    <hyperlink r:id="rId346" ref="F152"/>
    <hyperlink r:id="rId347" ref="G152"/>
    <hyperlink r:id="rId348" ref="H152"/>
    <hyperlink r:id="rId349" ref="F153"/>
    <hyperlink r:id="rId350" ref="H153"/>
    <hyperlink r:id="rId351" ref="F154"/>
    <hyperlink r:id="rId352" ref="G154"/>
    <hyperlink r:id="rId353" ref="H154"/>
    <hyperlink r:id="rId354" ref="F155"/>
    <hyperlink r:id="rId355" ref="G155"/>
    <hyperlink r:id="rId356" ref="F156"/>
    <hyperlink r:id="rId357" ref="G156"/>
    <hyperlink r:id="rId358" ref="F157"/>
    <hyperlink r:id="rId359" ref="G157"/>
    <hyperlink r:id="rId360" ref="F158"/>
    <hyperlink r:id="rId361" ref="G158"/>
    <hyperlink r:id="rId362" ref="H158"/>
    <hyperlink r:id="rId363" ref="F159"/>
    <hyperlink r:id="rId364" ref="F160"/>
    <hyperlink r:id="rId365" ref="F161"/>
    <hyperlink r:id="rId366" ref="H161"/>
    <hyperlink r:id="rId367" ref="F162"/>
    <hyperlink r:id="rId368" ref="G162"/>
    <hyperlink r:id="rId369" ref="H162"/>
    <hyperlink r:id="rId370" ref="F163"/>
    <hyperlink r:id="rId371" ref="G163"/>
    <hyperlink r:id="rId372" ref="F164"/>
    <hyperlink r:id="rId373" ref="G164"/>
    <hyperlink r:id="rId374" ref="H164"/>
    <hyperlink r:id="rId375" ref="F165"/>
    <hyperlink r:id="rId376" ref="H165"/>
    <hyperlink r:id="rId377" ref="F166"/>
    <hyperlink r:id="rId378" ref="G166"/>
    <hyperlink r:id="rId379" ref="H166"/>
    <hyperlink r:id="rId380" ref="F167"/>
    <hyperlink r:id="rId381" ref="G167"/>
    <hyperlink r:id="rId382" ref="F168"/>
    <hyperlink r:id="rId383" ref="G168"/>
    <hyperlink r:id="rId384" ref="H168"/>
    <hyperlink r:id="rId385" ref="F169"/>
    <hyperlink r:id="rId386" ref="G169"/>
    <hyperlink r:id="rId387" ref="F170"/>
    <hyperlink r:id="rId388" ref="G170"/>
    <hyperlink r:id="rId389" ref="H170"/>
    <hyperlink r:id="rId390" ref="F171"/>
    <hyperlink r:id="rId391" ref="H171"/>
    <hyperlink r:id="rId392" ref="F172"/>
    <hyperlink r:id="rId393" ref="G172"/>
    <hyperlink r:id="rId394" ref="H172"/>
    <hyperlink r:id="rId395" ref="F173"/>
    <hyperlink r:id="rId396" ref="G173"/>
    <hyperlink r:id="rId397" ref="H173"/>
    <hyperlink r:id="rId398" ref="F174"/>
    <hyperlink r:id="rId399" ref="G174"/>
    <hyperlink r:id="rId400" ref="H174"/>
    <hyperlink r:id="rId401" ref="F175"/>
    <hyperlink r:id="rId402" ref="F176"/>
    <hyperlink r:id="rId403" ref="G176"/>
    <hyperlink r:id="rId404" ref="H176"/>
    <hyperlink r:id="rId405" ref="F177"/>
    <hyperlink r:id="rId406" ref="G177"/>
    <hyperlink r:id="rId407" ref="H177"/>
    <hyperlink r:id="rId408" ref="F178"/>
    <hyperlink r:id="rId409" ref="F179"/>
    <hyperlink r:id="rId410" ref="G179"/>
    <hyperlink r:id="rId411" ref="H179"/>
    <hyperlink r:id="rId412" ref="F180"/>
    <hyperlink r:id="rId413" ref="G180"/>
    <hyperlink r:id="rId414" ref="H180"/>
    <hyperlink r:id="rId415" ref="F181"/>
    <hyperlink r:id="rId416" ref="G181"/>
    <hyperlink r:id="rId417" ref="F182"/>
    <hyperlink r:id="rId418" ref="F183"/>
    <hyperlink r:id="rId419" ref="G183"/>
    <hyperlink r:id="rId420" ref="H183"/>
    <hyperlink r:id="rId421" ref="F184"/>
    <hyperlink r:id="rId422" ref="G184"/>
    <hyperlink r:id="rId423" ref="H184"/>
    <hyperlink r:id="rId424" ref="F185"/>
    <hyperlink r:id="rId425" ref="G185"/>
    <hyperlink r:id="rId426" ref="F186"/>
    <hyperlink r:id="rId427" ref="H186"/>
    <hyperlink r:id="rId428" ref="F187"/>
    <hyperlink r:id="rId429" ref="F188"/>
    <hyperlink r:id="rId430" ref="G188"/>
    <hyperlink r:id="rId431" ref="H188"/>
    <hyperlink r:id="rId432" ref="F189"/>
    <hyperlink r:id="rId433" ref="G189"/>
    <hyperlink r:id="rId434" ref="H189"/>
    <hyperlink r:id="rId435" ref="F190"/>
    <hyperlink r:id="rId436" ref="G190"/>
    <hyperlink r:id="rId437" ref="H190"/>
    <hyperlink r:id="rId438" ref="F191"/>
    <hyperlink r:id="rId439" ref="G191"/>
    <hyperlink r:id="rId440" ref="F192"/>
    <hyperlink r:id="rId441" ref="G192"/>
    <hyperlink r:id="rId442" ref="F193"/>
    <hyperlink r:id="rId443" ref="G193"/>
    <hyperlink r:id="rId444" ref="F194"/>
    <hyperlink r:id="rId445" ref="G194"/>
    <hyperlink r:id="rId446" ref="F195"/>
    <hyperlink r:id="rId447" ref="F196"/>
    <hyperlink r:id="rId448" ref="H196"/>
    <hyperlink r:id="rId449" ref="F197"/>
    <hyperlink r:id="rId450" ref="G197"/>
    <hyperlink r:id="rId451" ref="H197"/>
    <hyperlink r:id="rId452" ref="F198"/>
    <hyperlink r:id="rId453" ref="G198"/>
    <hyperlink r:id="rId454" ref="H198"/>
    <hyperlink r:id="rId455" ref="F199"/>
    <hyperlink r:id="rId456" ref="G199"/>
    <hyperlink r:id="rId457" ref="H199"/>
    <hyperlink r:id="rId458" ref="F200"/>
    <hyperlink r:id="rId459" ref="F201"/>
    <hyperlink r:id="rId460" ref="G201"/>
    <hyperlink r:id="rId461" ref="F202"/>
    <hyperlink r:id="rId462" ref="G202"/>
    <hyperlink r:id="rId463" ref="F203"/>
    <hyperlink r:id="rId464" ref="G203"/>
    <hyperlink r:id="rId465" ref="H203"/>
    <hyperlink r:id="rId466" ref="F204"/>
    <hyperlink r:id="rId467" ref="G204"/>
    <hyperlink r:id="rId468" ref="H204"/>
    <hyperlink r:id="rId469" ref="F205"/>
    <hyperlink r:id="rId470" ref="G205"/>
    <hyperlink r:id="rId471" ref="H205"/>
    <hyperlink r:id="rId472" ref="F206"/>
    <hyperlink r:id="rId473" ref="G206"/>
    <hyperlink r:id="rId474" ref="H206"/>
    <hyperlink r:id="rId475" ref="F207"/>
    <hyperlink r:id="rId476" ref="G207"/>
    <hyperlink r:id="rId477" ref="H207"/>
    <hyperlink r:id="rId478" ref="F208"/>
    <hyperlink r:id="rId479" ref="G208"/>
    <hyperlink r:id="rId480" ref="H208"/>
    <hyperlink r:id="rId481" ref="F209"/>
    <hyperlink r:id="rId482" ref="F210"/>
    <hyperlink r:id="rId483" ref="G210"/>
    <hyperlink r:id="rId484" ref="H210"/>
    <hyperlink r:id="rId485" ref="F211"/>
    <hyperlink r:id="rId486" ref="G211"/>
    <hyperlink r:id="rId487" ref="H211"/>
    <hyperlink r:id="rId488" ref="F212"/>
    <hyperlink r:id="rId489" ref="G212"/>
    <hyperlink r:id="rId490" ref="H212"/>
    <hyperlink r:id="rId491" ref="F213"/>
    <hyperlink r:id="rId492" ref="G213"/>
    <hyperlink r:id="rId493" ref="H213"/>
    <hyperlink r:id="rId494" ref="F214"/>
    <hyperlink r:id="rId495" ref="G214"/>
    <hyperlink r:id="rId496" ref="H214"/>
    <hyperlink r:id="rId497" ref="F215"/>
    <hyperlink r:id="rId498" ref="G215"/>
    <hyperlink r:id="rId499" ref="F216"/>
    <hyperlink r:id="rId500" ref="G216"/>
    <hyperlink r:id="rId501" ref="H216"/>
    <hyperlink r:id="rId502" ref="F217"/>
    <hyperlink r:id="rId503" ref="G217"/>
    <hyperlink r:id="rId504" ref="H217"/>
    <hyperlink r:id="rId505" ref="F218"/>
    <hyperlink r:id="rId506" ref="F219"/>
    <hyperlink r:id="rId507" ref="G219"/>
    <hyperlink r:id="rId508" ref="F220"/>
    <hyperlink r:id="rId509" ref="F221"/>
    <hyperlink r:id="rId510" ref="H221"/>
    <hyperlink r:id="rId511" ref="F222"/>
    <hyperlink r:id="rId512" ref="G222"/>
    <hyperlink r:id="rId513" ref="H222"/>
    <hyperlink r:id="rId514" ref="F223"/>
    <hyperlink r:id="rId515" ref="G223"/>
    <hyperlink r:id="rId516" ref="F224"/>
    <hyperlink r:id="rId517" ref="G224"/>
    <hyperlink r:id="rId518" ref="H224"/>
    <hyperlink r:id="rId519" ref="F225"/>
    <hyperlink r:id="rId520" ref="G225"/>
    <hyperlink r:id="rId521" ref="H225"/>
    <hyperlink r:id="rId522" ref="F226"/>
    <hyperlink r:id="rId523" ref="G226"/>
    <hyperlink r:id="rId524" ref="H226"/>
    <hyperlink r:id="rId525" ref="F227"/>
    <hyperlink r:id="rId526" ref="H227"/>
    <hyperlink r:id="rId527" ref="F228"/>
    <hyperlink r:id="rId528" ref="G228"/>
    <hyperlink r:id="rId529" ref="H228"/>
    <hyperlink r:id="rId530" ref="F229"/>
    <hyperlink r:id="rId531" ref="G229"/>
    <hyperlink r:id="rId532" ref="H229"/>
    <hyperlink r:id="rId533" ref="F230"/>
    <hyperlink r:id="rId534" ref="F231"/>
    <hyperlink r:id="rId535" ref="G231"/>
    <hyperlink r:id="rId536" ref="F232"/>
    <hyperlink r:id="rId537" ref="G232"/>
    <hyperlink r:id="rId538" ref="H232"/>
    <hyperlink r:id="rId539" ref="F233"/>
    <hyperlink r:id="rId540" ref="G233"/>
    <hyperlink r:id="rId541" ref="H233"/>
    <hyperlink r:id="rId542" ref="F234"/>
    <hyperlink r:id="rId543" ref="G234"/>
    <hyperlink r:id="rId544" ref="F235"/>
    <hyperlink r:id="rId545" ref="F236"/>
    <hyperlink r:id="rId546" ref="H236"/>
    <hyperlink r:id="rId547" ref="F237"/>
    <hyperlink r:id="rId548" ref="G237"/>
    <hyperlink r:id="rId549" ref="H237"/>
    <hyperlink r:id="rId550" ref="F238"/>
    <hyperlink r:id="rId551" ref="H238"/>
    <hyperlink r:id="rId552" ref="F239"/>
    <hyperlink r:id="rId553" ref="G239"/>
    <hyperlink r:id="rId554" ref="H239"/>
    <hyperlink r:id="rId555" ref="F240"/>
    <hyperlink r:id="rId556" ref="G240"/>
    <hyperlink r:id="rId557" ref="H240"/>
    <hyperlink r:id="rId558" ref="F241"/>
    <hyperlink r:id="rId559" ref="G241"/>
    <hyperlink r:id="rId560" ref="H241"/>
    <hyperlink r:id="rId561" ref="F242"/>
    <hyperlink r:id="rId562" ref="G242"/>
    <hyperlink r:id="rId563" ref="H242"/>
    <hyperlink r:id="rId564" ref="F243"/>
    <hyperlink r:id="rId565" ref="F244"/>
    <hyperlink r:id="rId566" ref="G244"/>
    <hyperlink r:id="rId567" ref="H244"/>
    <hyperlink r:id="rId568" ref="F245"/>
    <hyperlink r:id="rId569" ref="F246"/>
    <hyperlink r:id="rId570" ref="G246"/>
    <hyperlink r:id="rId571" ref="H246"/>
    <hyperlink r:id="rId572" ref="F247"/>
    <hyperlink r:id="rId573" ref="G247"/>
    <hyperlink r:id="rId574" ref="H247"/>
    <hyperlink r:id="rId575" ref="F248"/>
    <hyperlink r:id="rId576" ref="G248"/>
    <hyperlink r:id="rId577" ref="F249"/>
    <hyperlink r:id="rId578" ref="G249"/>
    <hyperlink r:id="rId579" ref="H249"/>
    <hyperlink r:id="rId580" ref="F250"/>
    <hyperlink r:id="rId581" ref="G250"/>
    <hyperlink r:id="rId582" ref="H250"/>
    <hyperlink r:id="rId583" ref="F251"/>
    <hyperlink r:id="rId584" ref="F252"/>
    <hyperlink r:id="rId585" ref="G252"/>
    <hyperlink r:id="rId586" ref="H252"/>
    <hyperlink r:id="rId587" ref="F253"/>
    <hyperlink r:id="rId588" ref="G253"/>
    <hyperlink r:id="rId589" ref="F254"/>
    <hyperlink r:id="rId590" ref="G254"/>
    <hyperlink r:id="rId591" ref="F255"/>
    <hyperlink r:id="rId592" ref="G255"/>
    <hyperlink r:id="rId593" ref="H255"/>
    <hyperlink r:id="rId594" ref="F256"/>
    <hyperlink r:id="rId595" ref="F257"/>
    <hyperlink r:id="rId596" ref="G257"/>
    <hyperlink r:id="rId597" ref="F258"/>
    <hyperlink r:id="rId598" ref="F259"/>
    <hyperlink r:id="rId599" ref="G259"/>
    <hyperlink r:id="rId600" ref="F260"/>
    <hyperlink r:id="rId601" ref="F261"/>
    <hyperlink r:id="rId602" ref="H261"/>
    <hyperlink r:id="rId603" ref="F262"/>
    <hyperlink r:id="rId604" ref="G262"/>
    <hyperlink r:id="rId605" ref="H262"/>
    <hyperlink r:id="rId606" ref="F263"/>
    <hyperlink r:id="rId607" ref="G263"/>
    <hyperlink r:id="rId608" ref="F264"/>
    <hyperlink r:id="rId609" ref="H264"/>
    <hyperlink r:id="rId610" ref="F265"/>
    <hyperlink r:id="rId611" ref="G265"/>
    <hyperlink r:id="rId612" ref="H265"/>
    <hyperlink r:id="rId613" ref="F266"/>
    <hyperlink r:id="rId614" ref="G266"/>
    <hyperlink r:id="rId615" ref="F267"/>
    <hyperlink r:id="rId616" ref="G267"/>
    <hyperlink r:id="rId617" ref="H267"/>
    <hyperlink r:id="rId618" ref="F268"/>
    <hyperlink r:id="rId619" ref="H268"/>
    <hyperlink r:id="rId620" ref="F269"/>
    <hyperlink r:id="rId621" ref="H269"/>
    <hyperlink r:id="rId622" ref="F270"/>
    <hyperlink r:id="rId623" ref="G270"/>
    <hyperlink r:id="rId624" ref="H270"/>
    <hyperlink r:id="rId625" ref="F271"/>
    <hyperlink r:id="rId626" ref="G271"/>
    <hyperlink r:id="rId627" ref="F272"/>
    <hyperlink r:id="rId628" ref="G272"/>
    <hyperlink r:id="rId629" ref="F273"/>
    <hyperlink r:id="rId630" ref="G273"/>
    <hyperlink r:id="rId631" ref="F274"/>
    <hyperlink r:id="rId632" ref="G274"/>
    <hyperlink r:id="rId633" ref="H274"/>
    <hyperlink r:id="rId634" ref="F275"/>
    <hyperlink r:id="rId635" ref="H275"/>
    <hyperlink r:id="rId636" ref="F276"/>
    <hyperlink r:id="rId637" ref="H276"/>
    <hyperlink r:id="rId638" ref="F277"/>
    <hyperlink r:id="rId639" ref="F278"/>
    <hyperlink r:id="rId640" ref="G278"/>
    <hyperlink r:id="rId641" ref="H278"/>
    <hyperlink r:id="rId642" ref="F279"/>
    <hyperlink r:id="rId643" ref="G279"/>
    <hyperlink r:id="rId644" ref="F280"/>
    <hyperlink r:id="rId645" ref="G280"/>
    <hyperlink r:id="rId646" ref="H280"/>
    <hyperlink r:id="rId647" ref="F281"/>
    <hyperlink r:id="rId648" ref="G281"/>
    <hyperlink r:id="rId649" ref="F282"/>
    <hyperlink r:id="rId650" ref="G282"/>
    <hyperlink r:id="rId651" ref="H282"/>
    <hyperlink r:id="rId652" ref="F283"/>
    <hyperlink r:id="rId653" ref="G283"/>
    <hyperlink r:id="rId654" ref="F284"/>
    <hyperlink r:id="rId655" ref="G284"/>
    <hyperlink r:id="rId656" ref="H284"/>
    <hyperlink r:id="rId657" ref="F285"/>
    <hyperlink r:id="rId658" ref="G285"/>
    <hyperlink r:id="rId659" ref="F286"/>
    <hyperlink r:id="rId660" ref="G286"/>
    <hyperlink r:id="rId661" ref="F287"/>
    <hyperlink r:id="rId662" ref="G287"/>
    <hyperlink r:id="rId663" ref="H287"/>
    <hyperlink r:id="rId664" ref="F288"/>
    <hyperlink r:id="rId665" ref="G288"/>
    <hyperlink r:id="rId666" ref="F289"/>
    <hyperlink r:id="rId667" ref="G289"/>
    <hyperlink r:id="rId668" ref="F290"/>
    <hyperlink r:id="rId669" ref="F291"/>
    <hyperlink r:id="rId670" ref="F292"/>
    <hyperlink r:id="rId671" ref="G292"/>
    <hyperlink r:id="rId672" ref="H292"/>
    <hyperlink r:id="rId673" ref="F293"/>
    <hyperlink r:id="rId674" ref="H293"/>
    <hyperlink r:id="rId675" ref="F294"/>
    <hyperlink r:id="rId676" ref="F295"/>
    <hyperlink r:id="rId677" ref="G295"/>
    <hyperlink r:id="rId678" ref="F296"/>
    <hyperlink r:id="rId679" ref="G296"/>
    <hyperlink r:id="rId680" ref="H296"/>
    <hyperlink r:id="rId681" ref="F297"/>
    <hyperlink r:id="rId682" ref="G297"/>
    <hyperlink r:id="rId683" ref="H297"/>
    <hyperlink r:id="rId684" ref="F298"/>
    <hyperlink r:id="rId685" ref="F299"/>
    <hyperlink r:id="rId686" ref="F300"/>
    <hyperlink r:id="rId687" ref="G300"/>
    <hyperlink r:id="rId688" ref="H300"/>
    <hyperlink r:id="rId689" ref="F301"/>
    <hyperlink r:id="rId690" ref="F302"/>
    <hyperlink r:id="rId691" ref="G302"/>
    <hyperlink r:id="rId692" ref="F303"/>
    <hyperlink r:id="rId693" ref="G303"/>
    <hyperlink r:id="rId694" ref="H303"/>
    <hyperlink r:id="rId695" ref="F304"/>
    <hyperlink r:id="rId696" ref="G304"/>
    <hyperlink r:id="rId697" ref="H304"/>
    <hyperlink r:id="rId698" ref="F305"/>
    <hyperlink r:id="rId699" ref="F306"/>
    <hyperlink r:id="rId700" ref="G306"/>
    <hyperlink r:id="rId701" ref="H306"/>
    <hyperlink r:id="rId702" ref="F307"/>
    <hyperlink r:id="rId703" ref="H307"/>
    <hyperlink r:id="rId704" ref="F308"/>
    <hyperlink r:id="rId705" ref="G308"/>
    <hyperlink r:id="rId706" ref="H308"/>
    <hyperlink r:id="rId707" ref="F309"/>
    <hyperlink r:id="rId708" ref="G309"/>
    <hyperlink r:id="rId709" ref="F310"/>
    <hyperlink r:id="rId710" ref="F311"/>
    <hyperlink r:id="rId711" ref="F312"/>
    <hyperlink r:id="rId712" ref="G312"/>
    <hyperlink r:id="rId713" ref="F313"/>
    <hyperlink r:id="rId714" ref="G313"/>
    <hyperlink r:id="rId715" ref="F314"/>
    <hyperlink r:id="rId716" ref="G314"/>
    <hyperlink r:id="rId717" ref="F315"/>
    <hyperlink r:id="rId718" ref="G315"/>
    <hyperlink r:id="rId719" ref="H315"/>
    <hyperlink r:id="rId720" ref="F316"/>
    <hyperlink r:id="rId721" ref="H316"/>
    <hyperlink r:id="rId722" ref="F317"/>
    <hyperlink r:id="rId723" ref="F318"/>
    <hyperlink r:id="rId724" ref="G318"/>
    <hyperlink r:id="rId725" ref="H318"/>
    <hyperlink r:id="rId726" ref="F319"/>
    <hyperlink r:id="rId727" ref="G319"/>
    <hyperlink r:id="rId728" ref="H319"/>
    <hyperlink r:id="rId729" ref="F320"/>
    <hyperlink r:id="rId730" ref="F321"/>
    <hyperlink r:id="rId731" ref="G321"/>
    <hyperlink r:id="rId732" ref="H321"/>
    <hyperlink r:id="rId733" ref="F322"/>
    <hyperlink r:id="rId734" ref="H322"/>
    <hyperlink r:id="rId735" ref="F323"/>
    <hyperlink r:id="rId736" ref="G323"/>
    <hyperlink r:id="rId737" ref="F324"/>
    <hyperlink r:id="rId738" ref="H324"/>
    <hyperlink r:id="rId739" ref="F325"/>
    <hyperlink r:id="rId740" ref="H325"/>
    <hyperlink r:id="rId741" ref="F326"/>
    <hyperlink r:id="rId742" ref="H326"/>
    <hyperlink r:id="rId743" ref="F327"/>
    <hyperlink r:id="rId744" ref="F328"/>
    <hyperlink r:id="rId745" ref="F329"/>
    <hyperlink r:id="rId746" ref="G329"/>
    <hyperlink r:id="rId747" ref="H329"/>
    <hyperlink r:id="rId748" ref="F330"/>
    <hyperlink r:id="rId749" ref="G330"/>
    <hyperlink r:id="rId750" ref="H330"/>
    <hyperlink r:id="rId751" ref="F331"/>
    <hyperlink r:id="rId752" ref="G331"/>
    <hyperlink r:id="rId753" ref="H331"/>
    <hyperlink r:id="rId754" ref="F332"/>
    <hyperlink r:id="rId755" ref="G332"/>
    <hyperlink r:id="rId756" ref="H332"/>
    <hyperlink r:id="rId757" ref="F333"/>
    <hyperlink r:id="rId758" ref="F334"/>
    <hyperlink r:id="rId759" ref="F335"/>
    <hyperlink r:id="rId760" ref="G335"/>
    <hyperlink r:id="rId761" ref="F336"/>
    <hyperlink r:id="rId762" ref="F337"/>
    <hyperlink r:id="rId763" ref="H337"/>
    <hyperlink r:id="rId764" ref="F338"/>
    <hyperlink r:id="rId765" ref="G338"/>
    <hyperlink r:id="rId766" ref="H338"/>
    <hyperlink r:id="rId767" ref="F339"/>
    <hyperlink r:id="rId768" ref="G339"/>
    <hyperlink r:id="rId769" ref="H339"/>
    <hyperlink r:id="rId770" ref="F340"/>
    <hyperlink r:id="rId771" ref="G340"/>
    <hyperlink r:id="rId772" ref="F341"/>
    <hyperlink r:id="rId773" ref="G341"/>
    <hyperlink r:id="rId774" ref="F342"/>
    <hyperlink r:id="rId775" ref="G342"/>
    <hyperlink r:id="rId776" ref="F343"/>
    <hyperlink r:id="rId777" ref="G343"/>
    <hyperlink r:id="rId778" ref="H343"/>
    <hyperlink r:id="rId779" ref="F344"/>
    <hyperlink r:id="rId780" ref="G344"/>
    <hyperlink r:id="rId781" ref="H344"/>
    <hyperlink r:id="rId782" ref="F345"/>
    <hyperlink r:id="rId783" ref="F346"/>
    <hyperlink r:id="rId784" ref="G346"/>
    <hyperlink r:id="rId785" ref="F347"/>
    <hyperlink r:id="rId786" ref="G347"/>
    <hyperlink r:id="rId787" ref="F348"/>
    <hyperlink r:id="rId788" ref="G348"/>
    <hyperlink r:id="rId789" ref="H348"/>
    <hyperlink r:id="rId790" ref="F349"/>
    <hyperlink r:id="rId791" ref="H349"/>
    <hyperlink r:id="rId792" ref="F350"/>
    <hyperlink r:id="rId793" ref="G350"/>
    <hyperlink r:id="rId794" ref="F351"/>
    <hyperlink r:id="rId795" ref="G351"/>
    <hyperlink r:id="rId796" ref="H351"/>
    <hyperlink r:id="rId797" ref="F352"/>
    <hyperlink r:id="rId798" ref="F353"/>
    <hyperlink r:id="rId799" ref="G353"/>
    <hyperlink r:id="rId800" ref="H353"/>
    <hyperlink r:id="rId801" ref="F354"/>
    <hyperlink r:id="rId802" ref="F355"/>
    <hyperlink r:id="rId803" ref="F356"/>
    <hyperlink r:id="rId804" ref="H356"/>
    <hyperlink r:id="rId805" ref="F357"/>
    <hyperlink r:id="rId806" ref="F358"/>
    <hyperlink r:id="rId807" ref="G358"/>
    <hyperlink r:id="rId808" ref="H358"/>
    <hyperlink r:id="rId809" ref="F359"/>
    <hyperlink r:id="rId810" ref="G359"/>
    <hyperlink r:id="rId811" ref="F360"/>
    <hyperlink r:id="rId812" ref="G360"/>
    <hyperlink r:id="rId813" ref="H360"/>
    <hyperlink r:id="rId814" ref="F361"/>
    <hyperlink r:id="rId815" ref="G361"/>
    <hyperlink r:id="rId816" ref="H361"/>
    <hyperlink r:id="rId817" ref="F362"/>
    <hyperlink r:id="rId818" ref="G362"/>
    <hyperlink r:id="rId819" ref="H362"/>
    <hyperlink r:id="rId820" ref="F363"/>
    <hyperlink r:id="rId821" ref="G363"/>
    <hyperlink r:id="rId822" ref="F364"/>
    <hyperlink r:id="rId823" ref="F365"/>
    <hyperlink r:id="rId824" ref="H365"/>
    <hyperlink r:id="rId825" ref="F366"/>
    <hyperlink r:id="rId826" ref="F367"/>
    <hyperlink r:id="rId827" ref="G367"/>
    <hyperlink r:id="rId828" ref="H367"/>
    <hyperlink r:id="rId829" ref="F368"/>
    <hyperlink r:id="rId830" ref="G368"/>
    <hyperlink r:id="rId831" ref="H368"/>
    <hyperlink r:id="rId832" ref="F369"/>
    <hyperlink r:id="rId833" ref="H369"/>
    <hyperlink r:id="rId834" ref="F370"/>
    <hyperlink r:id="rId835" ref="G370"/>
    <hyperlink r:id="rId836" ref="H370"/>
    <hyperlink r:id="rId837" ref="F371"/>
    <hyperlink r:id="rId838" ref="F372"/>
    <hyperlink r:id="rId839" ref="G372"/>
    <hyperlink r:id="rId840" ref="F373"/>
    <hyperlink r:id="rId841" ref="G373"/>
    <hyperlink r:id="rId842" ref="H373"/>
    <hyperlink r:id="rId843" ref="F374"/>
    <hyperlink r:id="rId844" ref="G374"/>
    <hyperlink r:id="rId845" ref="F375"/>
    <hyperlink r:id="rId846" ref="G375"/>
    <hyperlink r:id="rId847" ref="F376"/>
    <hyperlink r:id="rId848" ref="H376"/>
    <hyperlink r:id="rId849" ref="F377"/>
    <hyperlink r:id="rId850" ref="G377"/>
    <hyperlink r:id="rId851" ref="H377"/>
    <hyperlink r:id="rId852" ref="F378"/>
    <hyperlink r:id="rId853" ref="G378"/>
    <hyperlink r:id="rId854" ref="F379"/>
    <hyperlink r:id="rId855" ref="G379"/>
    <hyperlink r:id="rId856" ref="H379"/>
    <hyperlink r:id="rId857" ref="F380"/>
    <hyperlink r:id="rId858" ref="G380"/>
    <hyperlink r:id="rId859" ref="H380"/>
    <hyperlink r:id="rId860" ref="F381"/>
    <hyperlink r:id="rId861" ref="G381"/>
    <hyperlink r:id="rId862" ref="H381"/>
    <hyperlink r:id="rId863" ref="F382"/>
    <hyperlink r:id="rId864" ref="F383"/>
    <hyperlink r:id="rId865" ref="G383"/>
    <hyperlink r:id="rId866" ref="H383"/>
    <hyperlink r:id="rId867" ref="F384"/>
    <hyperlink r:id="rId868" ref="G384"/>
    <hyperlink r:id="rId869" ref="F385"/>
    <hyperlink r:id="rId870" ref="H385"/>
    <hyperlink r:id="rId871" ref="F386"/>
    <hyperlink r:id="rId872" ref="H386"/>
    <hyperlink r:id="rId873" ref="F387"/>
    <hyperlink r:id="rId874" ref="F388"/>
    <hyperlink r:id="rId875" ref="F389"/>
    <hyperlink r:id="rId876" ref="H389"/>
    <hyperlink r:id="rId877" ref="F390"/>
    <hyperlink r:id="rId878" ref="G390"/>
    <hyperlink r:id="rId879" ref="H390"/>
    <hyperlink r:id="rId880" ref="F391"/>
    <hyperlink r:id="rId881" ref="G391"/>
    <hyperlink r:id="rId882" ref="F392"/>
    <hyperlink r:id="rId883" ref="H392"/>
    <hyperlink r:id="rId884" ref="F393"/>
    <hyperlink r:id="rId885" ref="F394"/>
    <hyperlink r:id="rId886" ref="H394"/>
    <hyperlink r:id="rId887" ref="F395"/>
    <hyperlink r:id="rId888" ref="G395"/>
    <hyperlink r:id="rId889" ref="H395"/>
    <hyperlink r:id="rId890" ref="F396"/>
    <hyperlink r:id="rId891" ref="G396"/>
    <hyperlink r:id="rId892" ref="H396"/>
    <hyperlink r:id="rId893" ref="F397"/>
    <hyperlink r:id="rId894" ref="G397"/>
    <hyperlink r:id="rId895" ref="F398"/>
    <hyperlink r:id="rId896" ref="F399"/>
    <hyperlink r:id="rId897" ref="F400"/>
    <hyperlink r:id="rId898" ref="G400"/>
    <hyperlink r:id="rId899" ref="H400"/>
    <hyperlink r:id="rId900" ref="F401"/>
    <hyperlink r:id="rId901" ref="G401"/>
    <hyperlink r:id="rId902" ref="H401"/>
    <hyperlink r:id="rId903" ref="F402"/>
    <hyperlink r:id="rId904" ref="F403"/>
    <hyperlink r:id="rId905" ref="G403"/>
    <hyperlink r:id="rId906" ref="H403"/>
    <hyperlink r:id="rId907" ref="F404"/>
    <hyperlink r:id="rId908" ref="G404"/>
    <hyperlink r:id="rId909" ref="H404"/>
    <hyperlink r:id="rId910" ref="F405"/>
    <hyperlink r:id="rId911" ref="G405"/>
    <hyperlink r:id="rId912" ref="F406"/>
    <hyperlink r:id="rId913" ref="G406"/>
    <hyperlink r:id="rId914" ref="H406"/>
    <hyperlink r:id="rId915" ref="F407"/>
    <hyperlink r:id="rId916" ref="G407"/>
    <hyperlink r:id="rId917" ref="H407"/>
    <hyperlink r:id="rId918" ref="F408"/>
    <hyperlink r:id="rId919" ref="G408"/>
    <hyperlink r:id="rId920" ref="F409"/>
    <hyperlink r:id="rId921" ref="F410"/>
    <hyperlink r:id="rId922" ref="G410"/>
    <hyperlink r:id="rId923" ref="H410"/>
    <hyperlink r:id="rId924" ref="F411"/>
    <hyperlink r:id="rId925" ref="G411"/>
    <hyperlink r:id="rId926" ref="F412"/>
    <hyperlink r:id="rId927" ref="G412"/>
    <hyperlink r:id="rId928" ref="F413"/>
    <hyperlink r:id="rId929" ref="G413"/>
    <hyperlink r:id="rId930" ref="H413"/>
    <hyperlink r:id="rId931" ref="F414"/>
    <hyperlink r:id="rId932" ref="H414"/>
    <hyperlink r:id="rId933" ref="F415"/>
    <hyperlink r:id="rId934" ref="G415"/>
    <hyperlink r:id="rId935" ref="F416"/>
    <hyperlink r:id="rId936" ref="G416"/>
    <hyperlink r:id="rId937" ref="F417"/>
    <hyperlink r:id="rId938" ref="G417"/>
    <hyperlink r:id="rId939" ref="F418"/>
    <hyperlink r:id="rId940" ref="G418"/>
    <hyperlink r:id="rId941" ref="F419"/>
    <hyperlink r:id="rId942" ref="G419"/>
    <hyperlink r:id="rId943" ref="F420"/>
    <hyperlink r:id="rId944" ref="H420"/>
    <hyperlink r:id="rId945" ref="F421"/>
    <hyperlink r:id="rId946" ref="G421"/>
    <hyperlink r:id="rId947" ref="H421"/>
    <hyperlink r:id="rId948" ref="F422"/>
    <hyperlink r:id="rId949" ref="G422"/>
    <hyperlink r:id="rId950" ref="F423"/>
    <hyperlink r:id="rId951" ref="G423"/>
    <hyperlink r:id="rId952" ref="H423"/>
    <hyperlink r:id="rId953" ref="F424"/>
    <hyperlink r:id="rId954" ref="G424"/>
    <hyperlink r:id="rId955" ref="H424"/>
    <hyperlink r:id="rId956" ref="F425"/>
    <hyperlink r:id="rId957" ref="F426"/>
    <hyperlink r:id="rId958" ref="G426"/>
    <hyperlink r:id="rId959" ref="H426"/>
    <hyperlink r:id="rId960" ref="F427"/>
    <hyperlink r:id="rId961" ref="G427"/>
    <hyperlink r:id="rId962" ref="H427"/>
    <hyperlink r:id="rId963" ref="F428"/>
    <hyperlink r:id="rId964" ref="F429"/>
    <hyperlink r:id="rId965" ref="G429"/>
    <hyperlink r:id="rId966" ref="H429"/>
    <hyperlink r:id="rId967" ref="F430"/>
    <hyperlink r:id="rId968" ref="F431"/>
    <hyperlink r:id="rId969" ref="F432"/>
    <hyperlink r:id="rId970" ref="F433"/>
    <hyperlink r:id="rId971" ref="G433"/>
    <hyperlink r:id="rId972" ref="H433"/>
    <hyperlink r:id="rId973" ref="F434"/>
    <hyperlink r:id="rId974" ref="H434"/>
    <hyperlink r:id="rId975" ref="F435"/>
    <hyperlink r:id="rId976" ref="G435"/>
    <hyperlink r:id="rId977" ref="F436"/>
    <hyperlink r:id="rId978" ref="G436"/>
    <hyperlink r:id="rId979" ref="H436"/>
    <hyperlink r:id="rId980" ref="F437"/>
    <hyperlink r:id="rId981" ref="G437"/>
    <hyperlink r:id="rId982" ref="F438"/>
    <hyperlink r:id="rId983" ref="H438"/>
    <hyperlink r:id="rId984" ref="F439"/>
    <hyperlink r:id="rId985" ref="G439"/>
    <hyperlink r:id="rId986" ref="H439"/>
    <hyperlink r:id="rId987" ref="F440"/>
    <hyperlink r:id="rId988" ref="F441"/>
    <hyperlink r:id="rId989" ref="G441"/>
    <hyperlink r:id="rId990" ref="H441"/>
    <hyperlink r:id="rId991" ref="F442"/>
    <hyperlink r:id="rId992" ref="G442"/>
    <hyperlink r:id="rId993" ref="H442"/>
    <hyperlink r:id="rId994" ref="F443"/>
    <hyperlink r:id="rId995" ref="G443"/>
    <hyperlink r:id="rId996" ref="F444"/>
    <hyperlink r:id="rId997" ref="F445"/>
    <hyperlink r:id="rId998" ref="H445"/>
    <hyperlink r:id="rId999" ref="F446"/>
    <hyperlink r:id="rId1000" ref="G446"/>
    <hyperlink r:id="rId1001" ref="F447"/>
    <hyperlink r:id="rId1002" ref="F448"/>
    <hyperlink r:id="rId1003" ref="F449"/>
    <hyperlink r:id="rId1004" ref="G449"/>
    <hyperlink r:id="rId1005" ref="H449"/>
    <hyperlink r:id="rId1006" ref="F450"/>
    <hyperlink r:id="rId1007" ref="G450"/>
    <hyperlink r:id="rId1008" ref="H450"/>
    <hyperlink r:id="rId1009" ref="F451"/>
    <hyperlink r:id="rId1010" ref="H451"/>
    <hyperlink r:id="rId1011" ref="F452"/>
    <hyperlink r:id="rId1012" ref="G452"/>
    <hyperlink r:id="rId1013" ref="H452"/>
    <hyperlink r:id="rId1014" ref="F453"/>
    <hyperlink r:id="rId1015" ref="G453"/>
    <hyperlink r:id="rId1016" ref="H453"/>
    <hyperlink r:id="rId1017" ref="F454"/>
    <hyperlink r:id="rId1018" ref="G454"/>
    <hyperlink r:id="rId1019" ref="F455"/>
    <hyperlink r:id="rId1020" ref="G455"/>
    <hyperlink r:id="rId1021" ref="H455"/>
    <hyperlink r:id="rId1022" ref="F456"/>
    <hyperlink r:id="rId1023" ref="G456"/>
    <hyperlink r:id="rId1024" ref="H456"/>
    <hyperlink r:id="rId1025" ref="F457"/>
    <hyperlink r:id="rId1026" ref="G457"/>
    <hyperlink r:id="rId1027" ref="H457"/>
    <hyperlink r:id="rId1028" ref="F458"/>
    <hyperlink r:id="rId1029" ref="G458"/>
    <hyperlink r:id="rId1030" ref="H458"/>
    <hyperlink r:id="rId1031" ref="F459"/>
    <hyperlink r:id="rId1032" ref="F460"/>
    <hyperlink r:id="rId1033" ref="G460"/>
    <hyperlink r:id="rId1034" ref="F461"/>
    <hyperlink r:id="rId1035" ref="G461"/>
    <hyperlink r:id="rId1036" ref="H461"/>
    <hyperlink r:id="rId1037" ref="F462"/>
    <hyperlink r:id="rId1038" ref="G462"/>
    <hyperlink r:id="rId1039" ref="H462"/>
    <hyperlink r:id="rId1040" ref="F463"/>
    <hyperlink r:id="rId1041" ref="G463"/>
    <hyperlink r:id="rId1042" ref="F464"/>
    <hyperlink r:id="rId1043" ref="H464"/>
    <hyperlink r:id="rId1044" ref="F465"/>
    <hyperlink r:id="rId1045" ref="G465"/>
    <hyperlink r:id="rId1046" ref="H465"/>
    <hyperlink r:id="rId1047" ref="F466"/>
    <hyperlink r:id="rId1048" ref="G466"/>
    <hyperlink r:id="rId1049" ref="H466"/>
    <hyperlink r:id="rId1050" ref="F467"/>
    <hyperlink r:id="rId1051" ref="H467"/>
    <hyperlink r:id="rId1052" ref="F468"/>
    <hyperlink r:id="rId1053" ref="G468"/>
    <hyperlink r:id="rId1054" ref="H468"/>
    <hyperlink r:id="rId1055" ref="F469"/>
    <hyperlink r:id="rId1056" ref="G469"/>
    <hyperlink r:id="rId1057" ref="H469"/>
    <hyperlink r:id="rId1058" ref="F470"/>
    <hyperlink r:id="rId1059" ref="G470"/>
    <hyperlink r:id="rId1060" ref="F471"/>
    <hyperlink r:id="rId1061" ref="F472"/>
    <hyperlink r:id="rId1062" ref="H472"/>
    <hyperlink r:id="rId1063" ref="F473"/>
    <hyperlink r:id="rId1064" ref="F474"/>
    <hyperlink r:id="rId1065" ref="G474"/>
    <hyperlink r:id="rId1066" ref="F475"/>
    <hyperlink r:id="rId1067" ref="H475"/>
    <hyperlink r:id="rId1068" ref="F476"/>
    <hyperlink r:id="rId1069" ref="H476"/>
    <hyperlink r:id="rId1070" ref="F477"/>
    <hyperlink r:id="rId1071" ref="F478"/>
    <hyperlink r:id="rId1072" ref="H478"/>
    <hyperlink r:id="rId1073" ref="F479"/>
    <hyperlink r:id="rId1074" ref="H479"/>
    <hyperlink r:id="rId1075" ref="F480"/>
    <hyperlink r:id="rId1076" ref="G480"/>
    <hyperlink r:id="rId1077" ref="F481"/>
    <hyperlink r:id="rId1078" ref="G481"/>
    <hyperlink r:id="rId1079" ref="H481"/>
    <hyperlink r:id="rId1080" ref="F482"/>
    <hyperlink r:id="rId1081" ref="F483"/>
    <hyperlink r:id="rId1082" ref="F484"/>
    <hyperlink r:id="rId1083" ref="H484"/>
    <hyperlink r:id="rId1084" ref="F485"/>
    <hyperlink r:id="rId1085" ref="F486"/>
    <hyperlink r:id="rId1086" ref="H486"/>
    <hyperlink r:id="rId1087" ref="F487"/>
    <hyperlink r:id="rId1088" ref="G487"/>
    <hyperlink r:id="rId1089" ref="H487"/>
    <hyperlink r:id="rId1090" ref="F488"/>
    <hyperlink r:id="rId1091" ref="G488"/>
    <hyperlink r:id="rId1092" ref="H488"/>
    <hyperlink r:id="rId1093" ref="F489"/>
    <hyperlink r:id="rId1094" ref="F490"/>
    <hyperlink r:id="rId1095" ref="H490"/>
    <hyperlink r:id="rId1096" ref="F491"/>
    <hyperlink r:id="rId1097" ref="G491"/>
    <hyperlink r:id="rId1098" ref="F492"/>
    <hyperlink r:id="rId1099" ref="G492"/>
    <hyperlink r:id="rId1100" ref="F493"/>
    <hyperlink r:id="rId1101" ref="F494"/>
    <hyperlink r:id="rId1102" ref="F495"/>
    <hyperlink r:id="rId1103" ref="G495"/>
    <hyperlink r:id="rId1104" ref="F496"/>
    <hyperlink r:id="rId1105" ref="G496"/>
    <hyperlink r:id="rId1106" ref="H496"/>
    <hyperlink r:id="rId1107" ref="F497"/>
    <hyperlink r:id="rId1108" ref="F498"/>
    <hyperlink r:id="rId1109" ref="G498"/>
    <hyperlink r:id="rId1110" ref="H498"/>
    <hyperlink r:id="rId1111" ref="F499"/>
    <hyperlink r:id="rId1112" ref="H499"/>
    <hyperlink r:id="rId1113" ref="F500"/>
    <hyperlink r:id="rId1114" ref="H500"/>
    <hyperlink r:id="rId1115" ref="F501"/>
    <hyperlink r:id="rId1116" ref="G501"/>
    <hyperlink r:id="rId1117" ref="F502"/>
    <hyperlink r:id="rId1118" ref="H502"/>
    <hyperlink r:id="rId1119" ref="F503"/>
    <hyperlink r:id="rId1120" ref="G503"/>
    <hyperlink r:id="rId1121" ref="F504"/>
    <hyperlink r:id="rId1122" ref="G504"/>
    <hyperlink r:id="rId1123" ref="H504"/>
    <hyperlink r:id="rId1124" ref="F505"/>
    <hyperlink r:id="rId1125" ref="G505"/>
    <hyperlink r:id="rId1126" ref="H505"/>
    <hyperlink r:id="rId1127" ref="F506"/>
    <hyperlink r:id="rId1128" ref="H506"/>
    <hyperlink r:id="rId1129" ref="F507"/>
    <hyperlink r:id="rId1130" ref="G507"/>
    <hyperlink r:id="rId1131" ref="H507"/>
    <hyperlink r:id="rId1132" ref="F508"/>
    <hyperlink r:id="rId1133" ref="G508"/>
    <hyperlink r:id="rId1134" ref="H508"/>
    <hyperlink r:id="rId1135" ref="F509"/>
    <hyperlink r:id="rId1136" ref="G509"/>
    <hyperlink r:id="rId1137" ref="H509"/>
    <hyperlink r:id="rId1138" ref="F510"/>
    <hyperlink r:id="rId1139" ref="G510"/>
    <hyperlink r:id="rId1140" ref="H510"/>
    <hyperlink r:id="rId1141" ref="F511"/>
    <hyperlink r:id="rId1142" ref="G511"/>
    <hyperlink r:id="rId1143" ref="F512"/>
    <hyperlink r:id="rId1144" ref="H512"/>
    <hyperlink r:id="rId1145" ref="F513"/>
    <hyperlink r:id="rId1146" ref="G513"/>
    <hyperlink r:id="rId1147" ref="H513"/>
    <hyperlink r:id="rId1148" ref="F514"/>
    <hyperlink r:id="rId1149" ref="F515"/>
    <hyperlink r:id="rId1150" ref="H515"/>
    <hyperlink r:id="rId1151" ref="F516"/>
    <hyperlink r:id="rId1152" ref="H516"/>
    <hyperlink r:id="rId1153" ref="F517"/>
    <hyperlink r:id="rId1154" ref="H517"/>
    <hyperlink r:id="rId1155" ref="F518"/>
    <hyperlink r:id="rId1156" ref="G518"/>
    <hyperlink r:id="rId1157" ref="F519"/>
    <hyperlink r:id="rId1158" ref="F520"/>
    <hyperlink r:id="rId1159" ref="G520"/>
    <hyperlink r:id="rId1160" ref="F521"/>
    <hyperlink r:id="rId1161" ref="G521"/>
    <hyperlink r:id="rId1162" ref="H521"/>
    <hyperlink r:id="rId1163" ref="F522"/>
    <hyperlink r:id="rId1164" ref="F523"/>
    <hyperlink r:id="rId1165" ref="G523"/>
    <hyperlink r:id="rId1166" ref="H523"/>
    <hyperlink r:id="rId1167" ref="F524"/>
    <hyperlink r:id="rId1168" ref="H524"/>
    <hyperlink r:id="rId1169" ref="F525"/>
    <hyperlink r:id="rId1170" ref="H525"/>
    <hyperlink r:id="rId1171" ref="F526"/>
    <hyperlink r:id="rId1172" ref="F527"/>
    <hyperlink r:id="rId1173" ref="G527"/>
    <hyperlink r:id="rId1174" ref="H527"/>
    <hyperlink r:id="rId1175" ref="F528"/>
    <hyperlink r:id="rId1176" ref="G528"/>
    <hyperlink r:id="rId1177" ref="H528"/>
    <hyperlink r:id="rId1178" ref="F529"/>
    <hyperlink r:id="rId1179" ref="H529"/>
    <hyperlink r:id="rId1180" ref="F530"/>
    <hyperlink r:id="rId1181" ref="G530"/>
    <hyperlink r:id="rId1182" ref="F531"/>
    <hyperlink r:id="rId1183" ref="G531"/>
    <hyperlink r:id="rId1184" ref="F532"/>
    <hyperlink r:id="rId1185" ref="G532"/>
    <hyperlink r:id="rId1186" ref="F533"/>
    <hyperlink r:id="rId1187" ref="H533"/>
    <hyperlink r:id="rId1188" ref="F534"/>
    <hyperlink r:id="rId1189" ref="G534"/>
    <hyperlink r:id="rId1190" ref="H534"/>
    <hyperlink r:id="rId1191" ref="F535"/>
    <hyperlink r:id="rId1192" ref="F536"/>
    <hyperlink r:id="rId1193" ref="H536"/>
    <hyperlink r:id="rId1194" ref="F537"/>
    <hyperlink r:id="rId1195" ref="H537"/>
    <hyperlink r:id="rId1196" ref="F538"/>
    <hyperlink r:id="rId1197" ref="G538"/>
    <hyperlink r:id="rId1198" ref="H538"/>
    <hyperlink r:id="rId1199" ref="F539"/>
    <hyperlink r:id="rId1200" ref="G539"/>
    <hyperlink r:id="rId1201" ref="H539"/>
    <hyperlink r:id="rId1202" ref="F540"/>
    <hyperlink r:id="rId1203" ref="G540"/>
    <hyperlink r:id="rId1204" ref="F541"/>
    <hyperlink r:id="rId1205" ref="H541"/>
    <hyperlink r:id="rId1206" ref="F542"/>
    <hyperlink r:id="rId1207" ref="G542"/>
    <hyperlink r:id="rId1208" ref="H542"/>
    <hyperlink r:id="rId1209" ref="F543"/>
    <hyperlink r:id="rId1210" ref="F544"/>
    <hyperlink r:id="rId1211" ref="F545"/>
    <hyperlink r:id="rId1212" ref="G545"/>
    <hyperlink r:id="rId1213" ref="H545"/>
    <hyperlink r:id="rId1214" ref="F546"/>
    <hyperlink r:id="rId1215" ref="H546"/>
    <hyperlink r:id="rId1216" ref="F547"/>
    <hyperlink r:id="rId1217" ref="F548"/>
    <hyperlink r:id="rId1218" ref="F549"/>
    <hyperlink r:id="rId1219" ref="F550"/>
    <hyperlink r:id="rId1220" ref="H550"/>
    <hyperlink r:id="rId1221" ref="F551"/>
    <hyperlink r:id="rId1222" ref="G551"/>
    <hyperlink r:id="rId1223" ref="F552"/>
    <hyperlink r:id="rId1224" ref="G552"/>
    <hyperlink r:id="rId1225" ref="F553"/>
    <hyperlink r:id="rId1226" ref="G553"/>
    <hyperlink r:id="rId1227" ref="H553"/>
    <hyperlink r:id="rId1228" ref="F554"/>
    <hyperlink r:id="rId1229" ref="G554"/>
    <hyperlink r:id="rId1230" ref="H554"/>
    <hyperlink r:id="rId1231" ref="F555"/>
    <hyperlink r:id="rId1232" ref="F556"/>
    <hyperlink r:id="rId1233" ref="G556"/>
    <hyperlink r:id="rId1234" ref="H556"/>
    <hyperlink r:id="rId1235" ref="F557"/>
    <hyperlink r:id="rId1236" ref="G557"/>
    <hyperlink r:id="rId1237" ref="H557"/>
    <hyperlink r:id="rId1238" ref="F558"/>
    <hyperlink r:id="rId1239" ref="F559"/>
    <hyperlink r:id="rId1240" ref="H559"/>
    <hyperlink r:id="rId1241" ref="F560"/>
    <hyperlink r:id="rId1242" ref="F561"/>
    <hyperlink r:id="rId1243" ref="G561"/>
    <hyperlink r:id="rId1244" ref="H561"/>
    <hyperlink r:id="rId1245" ref="F562"/>
    <hyperlink r:id="rId1246" ref="G562"/>
    <hyperlink r:id="rId1247" ref="H562"/>
    <hyperlink r:id="rId1248" ref="F563"/>
    <hyperlink r:id="rId1249" ref="H563"/>
    <hyperlink r:id="rId1250" ref="F564"/>
    <hyperlink r:id="rId1251" ref="G564"/>
    <hyperlink r:id="rId1252" ref="F565"/>
    <hyperlink r:id="rId1253" ref="G565"/>
    <hyperlink r:id="rId1254" ref="F566"/>
    <hyperlink r:id="rId1255" ref="H566"/>
    <hyperlink r:id="rId1256" ref="F567"/>
    <hyperlink r:id="rId1257" ref="H567"/>
    <hyperlink r:id="rId1258" ref="F568"/>
    <hyperlink r:id="rId1259" ref="G568"/>
    <hyperlink r:id="rId1260" ref="H568"/>
    <hyperlink r:id="rId1261" ref="F569"/>
    <hyperlink r:id="rId1262" ref="G569"/>
    <hyperlink r:id="rId1263" ref="H569"/>
    <hyperlink r:id="rId1264" ref="F570"/>
    <hyperlink r:id="rId1265" ref="G570"/>
    <hyperlink r:id="rId1266" ref="F571"/>
    <hyperlink r:id="rId1267" ref="G571"/>
    <hyperlink r:id="rId1268" ref="F572"/>
    <hyperlink r:id="rId1269" ref="G572"/>
    <hyperlink r:id="rId1270" ref="H572"/>
    <hyperlink r:id="rId1271" ref="F573"/>
    <hyperlink r:id="rId1272" ref="H573"/>
    <hyperlink r:id="rId1273" ref="F574"/>
    <hyperlink r:id="rId1274" ref="G574"/>
    <hyperlink r:id="rId1275" ref="H574"/>
    <hyperlink r:id="rId1276" ref="F575"/>
    <hyperlink r:id="rId1277" ref="F576"/>
    <hyperlink r:id="rId1278" ref="G576"/>
    <hyperlink r:id="rId1279" ref="F577"/>
    <hyperlink r:id="rId1280" ref="G577"/>
    <hyperlink r:id="rId1281" ref="H577"/>
    <hyperlink r:id="rId1282" ref="F578"/>
    <hyperlink r:id="rId1283" ref="G578"/>
    <hyperlink r:id="rId1284" ref="F579"/>
    <hyperlink r:id="rId1285" ref="G579"/>
    <hyperlink r:id="rId1286" ref="F580"/>
    <hyperlink r:id="rId1287" ref="G580"/>
    <hyperlink r:id="rId1288" ref="F581"/>
    <hyperlink r:id="rId1289" ref="G581"/>
    <hyperlink r:id="rId1290" ref="F582"/>
    <hyperlink r:id="rId1291" ref="G582"/>
    <hyperlink r:id="rId1292" ref="H582"/>
    <hyperlink r:id="rId1293" ref="F583"/>
    <hyperlink r:id="rId1294" ref="G583"/>
    <hyperlink r:id="rId1295" ref="F584"/>
    <hyperlink r:id="rId1296" ref="G584"/>
    <hyperlink r:id="rId1297" ref="H584"/>
    <hyperlink r:id="rId1298" ref="F585"/>
    <hyperlink r:id="rId1299" ref="G585"/>
    <hyperlink r:id="rId1300" ref="F586"/>
    <hyperlink r:id="rId1301" ref="G586"/>
    <hyperlink r:id="rId1302" ref="H586"/>
    <hyperlink r:id="rId1303" ref="F587"/>
    <hyperlink r:id="rId1304" ref="F588"/>
    <hyperlink r:id="rId1305" ref="G588"/>
    <hyperlink r:id="rId1306" ref="F589"/>
    <hyperlink r:id="rId1307" ref="F590"/>
    <hyperlink r:id="rId1308" ref="G590"/>
    <hyperlink r:id="rId1309" ref="H590"/>
    <hyperlink r:id="rId1310" ref="F591"/>
    <hyperlink r:id="rId1311" ref="G591"/>
    <hyperlink r:id="rId1312" ref="H591"/>
    <hyperlink r:id="rId1313" ref="F592"/>
    <hyperlink r:id="rId1314" ref="G592"/>
    <hyperlink r:id="rId1315" ref="F593"/>
    <hyperlink r:id="rId1316" ref="G593"/>
    <hyperlink r:id="rId1317" ref="H593"/>
    <hyperlink r:id="rId1318" ref="F594"/>
    <hyperlink r:id="rId1319" ref="G594"/>
    <hyperlink r:id="rId1320" ref="F595"/>
    <hyperlink r:id="rId1321" ref="F596"/>
    <hyperlink r:id="rId1322" ref="G596"/>
    <hyperlink r:id="rId1323" ref="H596"/>
    <hyperlink r:id="rId1324" ref="F597"/>
    <hyperlink r:id="rId1325" ref="H597"/>
    <hyperlink r:id="rId1326" ref="F598"/>
    <hyperlink r:id="rId1327" ref="G598"/>
    <hyperlink r:id="rId1328" ref="F599"/>
    <hyperlink r:id="rId1329" ref="H599"/>
    <hyperlink r:id="rId1330" ref="F600"/>
    <hyperlink r:id="rId1331" ref="G600"/>
    <hyperlink r:id="rId1332" ref="H600"/>
    <hyperlink r:id="rId1333" ref="F601"/>
    <hyperlink r:id="rId1334" ref="G601"/>
    <hyperlink r:id="rId1335" ref="F602"/>
    <hyperlink r:id="rId1336" ref="F603"/>
    <hyperlink r:id="rId1337" ref="G603"/>
    <hyperlink r:id="rId1338" ref="F604"/>
    <hyperlink r:id="rId1339" ref="G604"/>
    <hyperlink r:id="rId1340" ref="H604"/>
    <hyperlink r:id="rId1341" ref="F605"/>
    <hyperlink r:id="rId1342" ref="G605"/>
    <hyperlink r:id="rId1343" ref="F606"/>
    <hyperlink r:id="rId1344" ref="G606"/>
    <hyperlink r:id="rId1345" ref="F607"/>
    <hyperlink r:id="rId1346" ref="G607"/>
    <hyperlink r:id="rId1347" ref="F608"/>
    <hyperlink r:id="rId1348" ref="G608"/>
    <hyperlink r:id="rId1349" ref="F609"/>
    <hyperlink r:id="rId1350" ref="G609"/>
    <hyperlink r:id="rId1351" ref="H609"/>
    <hyperlink r:id="rId1352" ref="F610"/>
    <hyperlink r:id="rId1353" ref="G610"/>
    <hyperlink r:id="rId1354" ref="F611"/>
    <hyperlink r:id="rId1355" ref="G611"/>
    <hyperlink r:id="rId1356" ref="F612"/>
    <hyperlink r:id="rId1357" ref="G612"/>
    <hyperlink r:id="rId1358" ref="H612"/>
    <hyperlink r:id="rId1359" ref="F613"/>
    <hyperlink r:id="rId1360" ref="H613"/>
    <hyperlink r:id="rId1361" ref="F614"/>
    <hyperlink r:id="rId1362" ref="F615"/>
    <hyperlink r:id="rId1363" ref="F616"/>
    <hyperlink r:id="rId1364" ref="F617"/>
    <hyperlink r:id="rId1365" ref="G617"/>
    <hyperlink r:id="rId1366" ref="F618"/>
    <hyperlink r:id="rId1367" ref="F619"/>
    <hyperlink r:id="rId1368" ref="G619"/>
    <hyperlink r:id="rId1369" ref="F620"/>
    <hyperlink r:id="rId1370" ref="G620"/>
    <hyperlink r:id="rId1371" ref="H620"/>
    <hyperlink r:id="rId1372" ref="F621"/>
    <hyperlink r:id="rId1373" ref="F622"/>
    <hyperlink r:id="rId1374" ref="H622"/>
    <hyperlink r:id="rId1375" ref="F623"/>
    <hyperlink r:id="rId1376" ref="F624"/>
    <hyperlink r:id="rId1377" ref="G624"/>
    <hyperlink r:id="rId1378" ref="H624"/>
    <hyperlink r:id="rId1379" ref="F625"/>
    <hyperlink r:id="rId1380" ref="G625"/>
    <hyperlink r:id="rId1381" ref="H625"/>
    <hyperlink r:id="rId1382" ref="F626"/>
    <hyperlink r:id="rId1383" ref="F627"/>
    <hyperlink r:id="rId1384" ref="F628"/>
    <hyperlink r:id="rId1385" ref="F629"/>
    <hyperlink r:id="rId1386" ref="G629"/>
    <hyperlink r:id="rId1387" ref="H629"/>
    <hyperlink r:id="rId1388" ref="F630"/>
    <hyperlink r:id="rId1389" ref="F631"/>
    <hyperlink r:id="rId1390" ref="G631"/>
    <hyperlink r:id="rId1391" ref="H631"/>
    <hyperlink r:id="rId1392" ref="F632"/>
    <hyperlink r:id="rId1393" ref="F633"/>
    <hyperlink r:id="rId1394" ref="G633"/>
    <hyperlink r:id="rId1395" ref="F634"/>
    <hyperlink r:id="rId1396" ref="G634"/>
    <hyperlink r:id="rId1397" ref="H634"/>
    <hyperlink r:id="rId1398" ref="F635"/>
    <hyperlink r:id="rId1399" ref="F636"/>
    <hyperlink r:id="rId1400" ref="F637"/>
    <hyperlink r:id="rId1401" ref="G637"/>
    <hyperlink r:id="rId1402" ref="F638"/>
    <hyperlink r:id="rId1403" ref="F639"/>
    <hyperlink r:id="rId1404" ref="G639"/>
    <hyperlink r:id="rId1405" ref="H639"/>
    <hyperlink r:id="rId1406" ref="F640"/>
    <hyperlink r:id="rId1407" ref="G640"/>
    <hyperlink r:id="rId1408" ref="F641"/>
    <hyperlink r:id="rId1409" ref="F642"/>
    <hyperlink r:id="rId1410" ref="F643"/>
    <hyperlink r:id="rId1411" ref="F644"/>
    <hyperlink r:id="rId1412" ref="G644"/>
    <hyperlink r:id="rId1413" ref="H644"/>
    <hyperlink r:id="rId1414" ref="F645"/>
    <hyperlink r:id="rId1415" ref="H646"/>
    <hyperlink r:id="rId1416" ref="H647"/>
    <hyperlink r:id="rId1417" ref="H648"/>
    <hyperlink r:id="rId1418" ref="G649"/>
    <hyperlink r:id="rId1419" ref="G650"/>
    <hyperlink r:id="rId1420" ref="G651"/>
    <hyperlink r:id="rId1421" ref="H652"/>
    <hyperlink r:id="rId1422" ref="G653"/>
    <hyperlink r:id="rId1423" ref="G654"/>
    <hyperlink r:id="rId1424" ref="G655"/>
    <hyperlink r:id="rId1425" ref="H656"/>
    <hyperlink r:id="rId1426" ref="G657"/>
    <hyperlink r:id="rId1427" ref="G658"/>
    <hyperlink r:id="rId1428" ref="G659"/>
    <hyperlink r:id="rId1429" ref="G660"/>
    <hyperlink r:id="rId1430" ref="G661"/>
    <hyperlink r:id="rId1431" ref="G662"/>
    <hyperlink r:id="rId1432" ref="G663"/>
    <hyperlink r:id="rId1433" ref="G664"/>
    <hyperlink r:id="rId1434" ref="H664"/>
    <hyperlink r:id="rId1435" ref="H665"/>
    <hyperlink r:id="rId1436" ref="G666"/>
    <hyperlink r:id="rId1437" ref="G667"/>
    <hyperlink r:id="rId1438" ref="H667"/>
    <hyperlink r:id="rId1439" ref="G668"/>
    <hyperlink r:id="rId1440" ref="H668"/>
    <hyperlink r:id="rId1441" ref="H669"/>
    <hyperlink r:id="rId1442" ref="G670"/>
    <hyperlink r:id="rId1443" ref="G671"/>
    <hyperlink r:id="rId1444" ref="H671"/>
    <hyperlink r:id="rId1445" ref="G672"/>
    <hyperlink r:id="rId1446" ref="G673"/>
    <hyperlink r:id="rId1447" ref="G674"/>
    <hyperlink r:id="rId1448" ref="H674"/>
    <hyperlink r:id="rId1449" ref="G675"/>
    <hyperlink r:id="rId1450" ref="G676"/>
    <hyperlink r:id="rId1451" ref="H677"/>
    <hyperlink r:id="rId1452" ref="G678"/>
    <hyperlink r:id="rId1453" ref="H678"/>
    <hyperlink r:id="rId1454" ref="H679"/>
    <hyperlink r:id="rId1455" ref="H680"/>
    <hyperlink r:id="rId1456" ref="G681"/>
    <hyperlink r:id="rId1457" ref="H682"/>
    <hyperlink r:id="rId1458" ref="G683"/>
    <hyperlink r:id="rId1459" ref="H683"/>
    <hyperlink r:id="rId1460" ref="G684"/>
    <hyperlink r:id="rId1461" ref="H684"/>
    <hyperlink r:id="rId1462" ref="H685"/>
    <hyperlink r:id="rId1463" ref="G686"/>
    <hyperlink r:id="rId1464" ref="G687"/>
    <hyperlink r:id="rId1465" ref="H687"/>
    <hyperlink r:id="rId1466" ref="H688"/>
    <hyperlink r:id="rId1467" ref="G689"/>
    <hyperlink r:id="rId1468" ref="G690"/>
    <hyperlink r:id="rId1469" ref="G691"/>
    <hyperlink r:id="rId1470" ref="H691"/>
    <hyperlink r:id="rId1471" ref="G692"/>
    <hyperlink r:id="rId1472" ref="G693"/>
    <hyperlink r:id="rId1473" ref="H694"/>
    <hyperlink r:id="rId1474" ref="G695"/>
    <hyperlink r:id="rId1475" ref="G696"/>
    <hyperlink r:id="rId1476" ref="H697"/>
    <hyperlink r:id="rId1477" ref="G698"/>
    <hyperlink r:id="rId1478" ref="H699"/>
    <hyperlink r:id="rId1479" ref="G700"/>
    <hyperlink r:id="rId1480" ref="G701"/>
    <hyperlink r:id="rId1481" ref="G702"/>
    <hyperlink r:id="rId1482" ref="H703"/>
    <hyperlink r:id="rId1483" ref="G704"/>
    <hyperlink r:id="rId1484" ref="G705"/>
    <hyperlink r:id="rId1485" ref="H706"/>
    <hyperlink r:id="rId1486" ref="G707"/>
    <hyperlink r:id="rId1487" ref="G708"/>
    <hyperlink r:id="rId1488" ref="H708"/>
    <hyperlink r:id="rId1489" ref="H709"/>
    <hyperlink r:id="rId1490" ref="G710"/>
    <hyperlink r:id="rId1491" ref="H711"/>
    <hyperlink r:id="rId1492" ref="H712"/>
    <hyperlink r:id="rId1493" ref="G713"/>
    <hyperlink r:id="rId1494" ref="H713"/>
    <hyperlink r:id="rId1495" ref="G714"/>
    <hyperlink r:id="rId1496" ref="H714"/>
    <hyperlink r:id="rId1497" ref="G715"/>
    <hyperlink r:id="rId1498" ref="H715"/>
    <hyperlink r:id="rId1499" ref="G716"/>
    <hyperlink r:id="rId1500" ref="H716"/>
    <hyperlink r:id="rId1501" ref="G717"/>
    <hyperlink r:id="rId1502" ref="G718"/>
    <hyperlink r:id="rId1503" ref="H719"/>
    <hyperlink r:id="rId1504" ref="H720"/>
    <hyperlink r:id="rId1505" ref="G721"/>
    <hyperlink r:id="rId1506" ref="H721"/>
    <hyperlink r:id="rId1507" ref="H722"/>
    <hyperlink r:id="rId1508" ref="H723"/>
    <hyperlink r:id="rId1509" ref="G724"/>
    <hyperlink r:id="rId1510" ref="H725"/>
    <hyperlink r:id="rId1511" ref="H726"/>
    <hyperlink r:id="rId1512" ref="H727"/>
    <hyperlink r:id="rId1513" ref="H728"/>
    <hyperlink r:id="rId1514" ref="G729"/>
    <hyperlink r:id="rId1515" ref="H730"/>
    <hyperlink r:id="rId1516" ref="G731"/>
    <hyperlink r:id="rId1517" ref="H731"/>
    <hyperlink r:id="rId1518" ref="H732"/>
    <hyperlink r:id="rId1519" ref="G733"/>
    <hyperlink r:id="rId1520" ref="H733"/>
    <hyperlink r:id="rId1521" ref="G734"/>
    <hyperlink r:id="rId1522" ref="G735"/>
    <hyperlink r:id="rId1523" ref="H736"/>
    <hyperlink r:id="rId1524" ref="G737"/>
    <hyperlink r:id="rId1525" ref="H737"/>
    <hyperlink r:id="rId1526" ref="G738"/>
    <hyperlink r:id="rId1527" ref="H738"/>
    <hyperlink r:id="rId1528" ref="G739"/>
    <hyperlink r:id="rId1529" ref="G740"/>
    <hyperlink r:id="rId1530" ref="G741"/>
    <hyperlink r:id="rId1531" ref="G742"/>
    <hyperlink r:id="rId1532" ref="H742"/>
    <hyperlink r:id="rId1533" ref="H743"/>
    <hyperlink r:id="rId1534" ref="G744"/>
    <hyperlink r:id="rId1535" ref="G745"/>
    <hyperlink r:id="rId1536" ref="H745"/>
    <hyperlink r:id="rId1537" ref="G746"/>
    <hyperlink r:id="rId1538" ref="G747"/>
    <hyperlink r:id="rId1539" ref="H747"/>
    <hyperlink r:id="rId1540" ref="G748"/>
    <hyperlink r:id="rId1541" ref="H748"/>
    <hyperlink r:id="rId1542" ref="G749"/>
    <hyperlink r:id="rId1543" ref="H749"/>
    <hyperlink r:id="rId1544" ref="H750"/>
    <hyperlink r:id="rId1545" ref="H751"/>
    <hyperlink r:id="rId1546" ref="G752"/>
    <hyperlink r:id="rId1547" ref="H752"/>
    <hyperlink r:id="rId1548" ref="G753"/>
    <hyperlink r:id="rId1549" ref="G754"/>
    <hyperlink r:id="rId1550" ref="G755"/>
    <hyperlink r:id="rId1551" ref="H755"/>
    <hyperlink r:id="rId1552" ref="G756"/>
    <hyperlink r:id="rId1553" ref="H756"/>
    <hyperlink r:id="rId1554" ref="H757"/>
    <hyperlink r:id="rId1555" ref="G758"/>
    <hyperlink r:id="rId1556" ref="G759"/>
    <hyperlink r:id="rId1557" ref="G760"/>
    <hyperlink r:id="rId1558" ref="H760"/>
    <hyperlink r:id="rId1559" ref="H761"/>
    <hyperlink r:id="rId1560" ref="G762"/>
    <hyperlink r:id="rId1561" ref="H763"/>
    <hyperlink r:id="rId1562" ref="H764"/>
    <hyperlink r:id="rId1563" ref="H765"/>
    <hyperlink r:id="rId1564" ref="G766"/>
    <hyperlink r:id="rId1565" ref="H766"/>
    <hyperlink r:id="rId1566" ref="G767"/>
    <hyperlink r:id="rId1567" ref="G768"/>
    <hyperlink r:id="rId1568" ref="H768"/>
    <hyperlink r:id="rId1569" ref="G769"/>
    <hyperlink r:id="rId1570" ref="H770"/>
    <hyperlink r:id="rId1571" ref="G771"/>
    <hyperlink r:id="rId1572" ref="G772"/>
    <hyperlink r:id="rId1573" ref="H773"/>
    <hyperlink r:id="rId1574" ref="G774"/>
    <hyperlink r:id="rId1575" ref="G775"/>
    <hyperlink r:id="rId1576" ref="H776"/>
    <hyperlink r:id="rId1577" ref="G777"/>
    <hyperlink r:id="rId1578" ref="H778"/>
    <hyperlink r:id="rId1579" ref="G779"/>
    <hyperlink r:id="rId1580" ref="H779"/>
    <hyperlink r:id="rId1581" ref="H780"/>
    <hyperlink r:id="rId1582" ref="G781"/>
    <hyperlink r:id="rId1583" ref="H781"/>
    <hyperlink r:id="rId1584" ref="H782"/>
    <hyperlink r:id="rId1585" ref="G783"/>
    <hyperlink r:id="rId1586" ref="H783"/>
    <hyperlink r:id="rId1587" ref="H784"/>
    <hyperlink r:id="rId1588" ref="G785"/>
    <hyperlink r:id="rId1589" ref="H786"/>
    <hyperlink r:id="rId1590" ref="H787"/>
    <hyperlink r:id="rId1591" ref="G788"/>
    <hyperlink r:id="rId1592" ref="H788"/>
    <hyperlink r:id="rId1593" ref="G789"/>
    <hyperlink r:id="rId1594" ref="H790"/>
    <hyperlink r:id="rId1595" ref="G791"/>
    <hyperlink r:id="rId1596" ref="H791"/>
    <hyperlink r:id="rId1597" ref="G792"/>
    <hyperlink r:id="rId1598" ref="G793"/>
    <hyperlink r:id="rId1599" ref="G794"/>
    <hyperlink r:id="rId1600" ref="H794"/>
    <hyperlink r:id="rId1601" ref="G795"/>
    <hyperlink r:id="rId1602" ref="H795"/>
    <hyperlink r:id="rId1603" ref="H796"/>
    <hyperlink r:id="rId1604" ref="G797"/>
    <hyperlink r:id="rId1605" ref="H798"/>
    <hyperlink r:id="rId1606" ref="H799"/>
    <hyperlink r:id="rId1607" ref="H800"/>
    <hyperlink r:id="rId1608" ref="H801"/>
    <hyperlink r:id="rId1609" ref="G802"/>
    <hyperlink r:id="rId1610" ref="G803"/>
    <hyperlink r:id="rId1611" ref="G804"/>
    <hyperlink r:id="rId1612" ref="H805"/>
    <hyperlink r:id="rId1613" ref="G806"/>
    <hyperlink r:id="rId1614" ref="H806"/>
    <hyperlink r:id="rId1615" ref="H807"/>
    <hyperlink r:id="rId1616" ref="G808"/>
    <hyperlink r:id="rId1617" ref="H809"/>
    <hyperlink r:id="rId1618" ref="H810"/>
    <hyperlink r:id="rId1619" ref="H811"/>
    <hyperlink r:id="rId1620" ref="H812"/>
    <hyperlink r:id="rId1621" ref="G813"/>
    <hyperlink r:id="rId1622" ref="H814"/>
    <hyperlink r:id="rId1623" ref="G815"/>
    <hyperlink r:id="rId1624" ref="G816"/>
    <hyperlink r:id="rId1625" ref="H817"/>
    <hyperlink r:id="rId1626" ref="G818"/>
    <hyperlink r:id="rId1627" ref="G819"/>
    <hyperlink r:id="rId1628" ref="H819"/>
    <hyperlink r:id="rId1629" ref="G820"/>
    <hyperlink r:id="rId1630" ref="H820"/>
    <hyperlink r:id="rId1631" ref="H821"/>
    <hyperlink r:id="rId1632" ref="G822"/>
    <hyperlink r:id="rId1633" ref="G823"/>
    <hyperlink r:id="rId1634" ref="H823"/>
    <hyperlink r:id="rId1635" ref="H824"/>
    <hyperlink r:id="rId1636" ref="H825"/>
    <hyperlink r:id="rId1637" ref="G826"/>
    <hyperlink r:id="rId1638" ref="G827"/>
    <hyperlink r:id="rId1639" ref="H827"/>
    <hyperlink r:id="rId1640" ref="G828"/>
    <hyperlink r:id="rId1641" ref="G829"/>
    <hyperlink r:id="rId1642" ref="H829"/>
    <hyperlink r:id="rId1643" ref="H830"/>
    <hyperlink r:id="rId1644" ref="H831"/>
    <hyperlink r:id="rId1645" ref="G832"/>
    <hyperlink r:id="rId1646" ref="G833"/>
    <hyperlink r:id="rId1647" ref="G834"/>
    <hyperlink r:id="rId1648" ref="G835"/>
    <hyperlink r:id="rId1649" ref="H835"/>
    <hyperlink r:id="rId1650" ref="H836"/>
    <hyperlink r:id="rId1651" ref="G837"/>
    <hyperlink r:id="rId1652" ref="G838"/>
    <hyperlink r:id="rId1653" ref="H838"/>
    <hyperlink r:id="rId1654" ref="H839"/>
    <hyperlink r:id="rId1655" ref="H840"/>
    <hyperlink r:id="rId1656" ref="H841"/>
    <hyperlink r:id="rId1657" ref="H842"/>
    <hyperlink r:id="rId1658" ref="H843"/>
    <hyperlink r:id="rId1659" ref="G844"/>
    <hyperlink r:id="rId1660" ref="G845"/>
    <hyperlink r:id="rId1661" ref="G846"/>
    <hyperlink r:id="rId1662" ref="H846"/>
    <hyperlink r:id="rId1663" ref="G847"/>
    <hyperlink r:id="rId1664" ref="H847"/>
    <hyperlink r:id="rId1665" ref="H848"/>
    <hyperlink r:id="rId1666" ref="G849"/>
    <hyperlink r:id="rId1667" ref="H850"/>
    <hyperlink r:id="rId1668" ref="H851"/>
    <hyperlink r:id="rId1669" ref="H852"/>
    <hyperlink r:id="rId1670" ref="G853"/>
    <hyperlink r:id="rId1671" ref="G854"/>
    <hyperlink r:id="rId1672" ref="H855"/>
    <hyperlink r:id="rId1673" ref="H856"/>
    <hyperlink r:id="rId1674" ref="G857"/>
    <hyperlink r:id="rId1675" ref="H857"/>
    <hyperlink r:id="rId1676" ref="G858"/>
    <hyperlink r:id="rId1677" ref="H858"/>
    <hyperlink r:id="rId1678" ref="H859"/>
    <hyperlink r:id="rId1679" ref="H860"/>
    <hyperlink r:id="rId1680" ref="G861"/>
    <hyperlink r:id="rId1681" ref="G862"/>
    <hyperlink r:id="rId1682" ref="H862"/>
    <hyperlink r:id="rId1683" ref="G863"/>
    <hyperlink r:id="rId1684" ref="H863"/>
    <hyperlink r:id="rId1685" ref="G864"/>
    <hyperlink r:id="rId1686" ref="H865"/>
    <hyperlink r:id="rId1687" ref="G866"/>
    <hyperlink r:id="rId1688" ref="H866"/>
    <hyperlink r:id="rId1689" ref="G867"/>
    <hyperlink r:id="rId1690" ref="G868"/>
    <hyperlink r:id="rId1691" ref="H869"/>
    <hyperlink r:id="rId1692" ref="H870"/>
    <hyperlink r:id="rId1693" ref="G871"/>
    <hyperlink r:id="rId1694" ref="H871"/>
    <hyperlink r:id="rId1695" ref="G872"/>
    <hyperlink r:id="rId1696" ref="G873"/>
    <hyperlink r:id="rId1697" ref="G874"/>
    <hyperlink r:id="rId1698" ref="H875"/>
    <hyperlink r:id="rId1699" ref="G876"/>
    <hyperlink r:id="rId1700" ref="H877"/>
    <hyperlink r:id="rId1701" ref="H878"/>
    <hyperlink r:id="rId1702" ref="H879"/>
    <hyperlink r:id="rId1703" ref="H880"/>
    <hyperlink r:id="rId1704" ref="H881"/>
    <hyperlink r:id="rId1705" ref="G882"/>
    <hyperlink r:id="rId1706" ref="H882"/>
    <hyperlink r:id="rId1707" ref="G883"/>
    <hyperlink r:id="rId1708" ref="H884"/>
    <hyperlink r:id="rId1709" ref="H885"/>
    <hyperlink r:id="rId1710" ref="H886"/>
    <hyperlink r:id="rId1711" ref="G887"/>
    <hyperlink r:id="rId1712" ref="G888"/>
    <hyperlink r:id="rId1713" ref="G889"/>
    <hyperlink r:id="rId1714" ref="H889"/>
    <hyperlink r:id="rId1715" ref="G890"/>
    <hyperlink r:id="rId1716" ref="H890"/>
    <hyperlink r:id="rId1717" ref="H891"/>
    <hyperlink r:id="rId1718" ref="H892"/>
    <hyperlink r:id="rId1719" ref="H893"/>
    <hyperlink r:id="rId1720" ref="G894"/>
    <hyperlink r:id="rId1721" ref="H895"/>
    <hyperlink r:id="rId1722" ref="H896"/>
    <hyperlink r:id="rId1723" ref="H897"/>
    <hyperlink r:id="rId1724" ref="G898"/>
    <hyperlink r:id="rId1725" ref="G899"/>
    <hyperlink r:id="rId1726" ref="G900"/>
    <hyperlink r:id="rId1727" ref="H901"/>
    <hyperlink r:id="rId1728" ref="H902"/>
    <hyperlink r:id="rId1729" ref="G903"/>
    <hyperlink r:id="rId1730" ref="H903"/>
    <hyperlink r:id="rId1731" ref="H904"/>
    <hyperlink r:id="rId1732" ref="G905"/>
    <hyperlink r:id="rId1733" ref="H906"/>
    <hyperlink r:id="rId1734" ref="G907"/>
    <hyperlink r:id="rId1735" ref="H908"/>
    <hyperlink r:id="rId1736" ref="H909"/>
    <hyperlink r:id="rId1737" ref="H910"/>
    <hyperlink r:id="rId1738" ref="H911"/>
    <hyperlink r:id="rId1739" ref="H912"/>
    <hyperlink r:id="rId1740" ref="H913"/>
    <hyperlink r:id="rId1741" ref="G914"/>
    <hyperlink r:id="rId1742" ref="H915"/>
    <hyperlink r:id="rId1743" ref="H916"/>
    <hyperlink r:id="rId1744" ref="G917"/>
    <hyperlink r:id="rId1745" ref="H918"/>
    <hyperlink r:id="rId1746" ref="H919"/>
    <hyperlink r:id="rId1747" ref="H920"/>
    <hyperlink r:id="rId1748" ref="G921"/>
    <hyperlink r:id="rId1749" ref="G922"/>
    <hyperlink r:id="rId1750" ref="H922"/>
    <hyperlink r:id="rId1751" ref="H923"/>
    <hyperlink r:id="rId1752" ref="G924"/>
    <hyperlink r:id="rId1753" ref="H924"/>
    <hyperlink r:id="rId1754" ref="G925"/>
    <hyperlink r:id="rId1755" ref="H925"/>
    <hyperlink r:id="rId1756" ref="G926"/>
    <hyperlink r:id="rId1757" ref="G927"/>
    <hyperlink r:id="rId1758" ref="G928"/>
    <hyperlink r:id="rId1759" ref="G929"/>
    <hyperlink r:id="rId1760" ref="G930"/>
    <hyperlink r:id="rId1761" ref="H931"/>
    <hyperlink r:id="rId1762" ref="G932"/>
    <hyperlink r:id="rId1763" ref="H933"/>
    <hyperlink r:id="rId1764" ref="G934"/>
    <hyperlink r:id="rId1765" ref="H934"/>
    <hyperlink r:id="rId1766" ref="H935"/>
    <hyperlink r:id="rId1767" ref="H936"/>
    <hyperlink r:id="rId1768" ref="G937"/>
    <hyperlink r:id="rId1769" ref="G938"/>
    <hyperlink r:id="rId1770" ref="H939"/>
    <hyperlink r:id="rId1771" ref="H940"/>
    <hyperlink r:id="rId1772" ref="G941"/>
    <hyperlink r:id="rId1773" ref="G942"/>
    <hyperlink r:id="rId1774" ref="G943"/>
    <hyperlink r:id="rId1775" ref="H944"/>
    <hyperlink r:id="rId1776" ref="G945"/>
    <hyperlink r:id="rId1777" ref="G946"/>
    <hyperlink r:id="rId1778" ref="G947"/>
    <hyperlink r:id="rId1779" ref="H947"/>
    <hyperlink r:id="rId1780" ref="G948"/>
    <hyperlink r:id="rId1781" ref="G949"/>
    <hyperlink r:id="rId1782" ref="G950"/>
    <hyperlink r:id="rId1783" ref="G951"/>
    <hyperlink r:id="rId1784" ref="H951"/>
    <hyperlink r:id="rId1785" ref="H952"/>
    <hyperlink r:id="rId1786" ref="H953"/>
    <hyperlink r:id="rId1787" ref="G954"/>
    <hyperlink r:id="rId1788" ref="G955"/>
    <hyperlink r:id="rId1789" ref="G956"/>
    <hyperlink r:id="rId1790" ref="G957"/>
    <hyperlink r:id="rId1791" ref="H957"/>
    <hyperlink r:id="rId1792" ref="H958"/>
    <hyperlink r:id="rId1793" ref="H959"/>
    <hyperlink r:id="rId1794" ref="H960"/>
    <hyperlink r:id="rId1795" ref="G961"/>
    <hyperlink r:id="rId1796" ref="H962"/>
    <hyperlink r:id="rId1797" ref="H963"/>
    <hyperlink r:id="rId1798" ref="G964"/>
    <hyperlink r:id="rId1799" ref="H965"/>
    <hyperlink r:id="rId1800" ref="H966"/>
    <hyperlink r:id="rId1801" ref="H967"/>
    <hyperlink r:id="rId1802" ref="H968"/>
    <hyperlink r:id="rId1803" ref="G969"/>
    <hyperlink r:id="rId1804" ref="G970"/>
    <hyperlink r:id="rId1805" ref="H971"/>
    <hyperlink r:id="rId1806" ref="H972"/>
    <hyperlink r:id="rId1807" ref="H973"/>
    <hyperlink r:id="rId1808" ref="G974"/>
    <hyperlink r:id="rId1809" ref="H974"/>
    <hyperlink r:id="rId1810" ref="G975"/>
    <hyperlink r:id="rId1811" ref="H976"/>
    <hyperlink r:id="rId1812" ref="H977"/>
    <hyperlink r:id="rId1813" ref="G978"/>
    <hyperlink r:id="rId1814" ref="H978"/>
    <hyperlink r:id="rId1815" ref="G979"/>
    <hyperlink r:id="rId1816" ref="H979"/>
    <hyperlink r:id="rId1817" ref="G980"/>
    <hyperlink r:id="rId1818" ref="H980"/>
    <hyperlink r:id="rId1819" ref="H981"/>
    <hyperlink r:id="rId1820" ref="G982"/>
    <hyperlink r:id="rId1821" ref="G983"/>
    <hyperlink r:id="rId1822" ref="H983"/>
    <hyperlink r:id="rId1823" ref="G984"/>
    <hyperlink r:id="rId1824" ref="G985"/>
    <hyperlink r:id="rId1825" ref="H985"/>
    <hyperlink r:id="rId1826" ref="G986"/>
    <hyperlink r:id="rId1827" ref="H986"/>
    <hyperlink r:id="rId1828" ref="H987"/>
    <hyperlink r:id="rId1829" ref="G988"/>
    <hyperlink r:id="rId1830" ref="H988"/>
    <hyperlink r:id="rId1831" ref="G989"/>
    <hyperlink r:id="rId1832" ref="H989"/>
    <hyperlink r:id="rId1833" ref="H990"/>
    <hyperlink r:id="rId1834" ref="G991"/>
    <hyperlink r:id="rId1835" ref="H991"/>
    <hyperlink r:id="rId1836" ref="G992"/>
    <hyperlink r:id="rId1837" ref="H992"/>
    <hyperlink r:id="rId1838" ref="H993"/>
    <hyperlink r:id="rId1839" ref="G994"/>
    <hyperlink r:id="rId1840" ref="H994"/>
    <hyperlink r:id="rId1841" ref="G995"/>
    <hyperlink r:id="rId1842" ref="G996"/>
    <hyperlink r:id="rId1843" ref="H996"/>
    <hyperlink r:id="rId1844" ref="H997"/>
    <hyperlink r:id="rId1845" ref="G998"/>
    <hyperlink r:id="rId1846" ref="G999"/>
    <hyperlink r:id="rId1847" ref="G1000"/>
    <hyperlink r:id="rId1848" ref="G1001"/>
    <hyperlink r:id="rId1849" ref="H1002"/>
    <hyperlink r:id="rId1850" ref="G1003"/>
    <hyperlink r:id="rId1851" ref="H1004"/>
    <hyperlink r:id="rId1852" ref="G1005"/>
    <hyperlink r:id="rId1853" ref="H1005"/>
    <hyperlink r:id="rId1854" ref="H1006"/>
    <hyperlink r:id="rId1855" ref="H1007"/>
    <hyperlink r:id="rId1856" ref="G1008"/>
    <hyperlink r:id="rId1857" ref="H1008"/>
    <hyperlink r:id="rId1858" ref="G1009"/>
    <hyperlink r:id="rId1859" ref="G1010"/>
    <hyperlink r:id="rId1860" ref="G1011"/>
    <hyperlink r:id="rId1861" ref="G1012"/>
    <hyperlink r:id="rId1862" ref="H1013"/>
    <hyperlink r:id="rId1863" ref="G1014"/>
    <hyperlink r:id="rId1864" ref="H1014"/>
    <hyperlink r:id="rId1865" ref="H1015"/>
    <hyperlink r:id="rId1866" ref="G1016"/>
    <hyperlink r:id="rId1867" ref="H1016"/>
    <hyperlink r:id="rId1868" ref="G1017"/>
    <hyperlink r:id="rId1869" ref="H1018"/>
    <hyperlink r:id="rId1870" ref="G1019"/>
    <hyperlink r:id="rId1871" ref="G1020"/>
    <hyperlink r:id="rId1872" ref="H1020"/>
    <hyperlink r:id="rId1873" ref="G1021"/>
    <hyperlink r:id="rId1874" ref="H1022"/>
    <hyperlink r:id="rId1875" ref="H1023"/>
    <hyperlink r:id="rId1876" ref="G1024"/>
    <hyperlink r:id="rId1877" ref="H1024"/>
    <hyperlink r:id="rId1878" ref="H1025"/>
    <hyperlink r:id="rId1879" ref="H1026"/>
    <hyperlink r:id="rId1880" ref="G1027"/>
    <hyperlink r:id="rId1881" ref="H1028"/>
    <hyperlink r:id="rId1882" ref="G1029"/>
    <hyperlink r:id="rId1883" ref="G1030"/>
    <hyperlink r:id="rId1884" ref="H1030"/>
    <hyperlink r:id="rId1885" ref="H1031"/>
    <hyperlink r:id="rId1886" ref="H1032"/>
    <hyperlink r:id="rId1887" ref="G1033"/>
    <hyperlink r:id="rId1888" ref="G1034"/>
    <hyperlink r:id="rId1889" ref="G1035"/>
    <hyperlink r:id="rId1890" ref="H1035"/>
    <hyperlink r:id="rId1891" ref="H1036"/>
    <hyperlink r:id="rId1892" ref="H1037"/>
    <hyperlink r:id="rId1893" ref="H1038"/>
    <hyperlink r:id="rId1894" ref="G1039"/>
    <hyperlink r:id="rId1895" ref="H1039"/>
    <hyperlink r:id="rId1896" ref="G1040"/>
    <hyperlink r:id="rId1897" ref="H1041"/>
    <hyperlink r:id="rId1898" ref="H1042"/>
    <hyperlink r:id="rId1899" ref="H1043"/>
    <hyperlink r:id="rId1900" ref="H1044"/>
    <hyperlink r:id="rId1901" ref="H1045"/>
    <hyperlink r:id="rId1902" ref="G1046"/>
    <hyperlink r:id="rId1903" ref="H1047"/>
    <hyperlink r:id="rId1904" ref="G1048"/>
    <hyperlink r:id="rId1905" ref="H1049"/>
    <hyperlink r:id="rId1906" ref="H1050"/>
    <hyperlink r:id="rId1907" ref="G1051"/>
    <hyperlink r:id="rId1908" ref="H1052"/>
    <hyperlink r:id="rId1909" ref="H1053"/>
    <hyperlink r:id="rId1910" ref="H1054"/>
    <hyperlink r:id="rId1911" ref="H1055"/>
    <hyperlink r:id="rId1912" ref="G1056"/>
    <hyperlink r:id="rId1913" ref="G1057"/>
    <hyperlink r:id="rId1914" ref="G1058"/>
    <hyperlink r:id="rId1915" ref="G1059"/>
    <hyperlink r:id="rId1916" ref="G1060"/>
    <hyperlink r:id="rId1917" ref="H1060"/>
    <hyperlink r:id="rId1918" ref="G1061"/>
    <hyperlink r:id="rId1919" ref="H1062"/>
    <hyperlink r:id="rId1920" ref="G1063"/>
    <hyperlink r:id="rId1921" ref="G1064"/>
    <hyperlink r:id="rId1922" ref="G1065"/>
    <hyperlink r:id="rId1923" ref="H1065"/>
    <hyperlink r:id="rId1924" ref="H1066"/>
    <hyperlink r:id="rId1925" ref="H1067"/>
    <hyperlink r:id="rId1926" ref="H1068"/>
    <hyperlink r:id="rId1927" ref="H1069"/>
    <hyperlink r:id="rId1928" ref="G1070"/>
    <hyperlink r:id="rId1929" ref="H1070"/>
    <hyperlink r:id="rId1930" ref="H1071"/>
    <hyperlink r:id="rId1931" ref="G1072"/>
    <hyperlink r:id="rId1932" ref="H1073"/>
    <hyperlink r:id="rId1933" ref="H1074"/>
    <hyperlink r:id="rId1934" ref="G1075"/>
    <hyperlink r:id="rId1935" ref="H1075"/>
    <hyperlink r:id="rId1936" ref="H1076"/>
    <hyperlink r:id="rId1937" ref="H1077"/>
    <hyperlink r:id="rId1938" ref="H1078"/>
    <hyperlink r:id="rId1939" ref="H1079"/>
    <hyperlink r:id="rId1940" ref="G1080"/>
    <hyperlink r:id="rId1941" ref="H1080"/>
    <hyperlink r:id="rId1942" ref="H1081"/>
    <hyperlink r:id="rId1943" ref="G1082"/>
    <hyperlink r:id="rId1944" ref="H1082"/>
    <hyperlink r:id="rId1945" ref="G1083"/>
    <hyperlink r:id="rId1946" ref="G1084"/>
    <hyperlink r:id="rId1947" ref="G1085"/>
    <hyperlink r:id="rId1948" ref="H1086"/>
    <hyperlink r:id="rId1949" ref="H1087"/>
    <hyperlink r:id="rId1950" ref="H1088"/>
    <hyperlink r:id="rId1951" ref="G1089"/>
    <hyperlink r:id="rId1952" ref="H1089"/>
    <hyperlink r:id="rId1953" ref="G1090"/>
    <hyperlink r:id="rId1954" ref="G1091"/>
    <hyperlink r:id="rId1955" ref="H1091"/>
    <hyperlink r:id="rId1956" ref="G1092"/>
    <hyperlink r:id="rId1957" ref="H1092"/>
    <hyperlink r:id="rId1958" ref="G1093"/>
    <hyperlink r:id="rId1959" ref="G1094"/>
    <hyperlink r:id="rId1960" ref="H1094"/>
    <hyperlink r:id="rId1961" ref="G1095"/>
    <hyperlink r:id="rId1962" ref="G1096"/>
    <hyperlink r:id="rId1963" ref="G1097"/>
    <hyperlink r:id="rId1964" ref="H1097"/>
    <hyperlink r:id="rId1965" ref="G1098"/>
    <hyperlink r:id="rId1966" ref="G1099"/>
    <hyperlink r:id="rId1967" ref="H1099"/>
    <hyperlink r:id="rId1968" ref="G1100"/>
    <hyperlink r:id="rId1969" ref="H1101"/>
    <hyperlink r:id="rId1970" ref="G1102"/>
    <hyperlink r:id="rId1971" ref="G1103"/>
    <hyperlink r:id="rId1972" ref="H1103"/>
    <hyperlink r:id="rId1973" ref="G1104"/>
    <hyperlink r:id="rId1974" ref="H1104"/>
    <hyperlink r:id="rId1975" ref="H1105"/>
    <hyperlink r:id="rId1976" ref="G1106"/>
    <hyperlink r:id="rId1977" ref="G1107"/>
    <hyperlink r:id="rId1978" ref="G1108"/>
    <hyperlink r:id="rId1979" ref="H1108"/>
    <hyperlink r:id="rId1980" ref="H1109"/>
    <hyperlink r:id="rId1981" ref="G1110"/>
    <hyperlink r:id="rId1982" ref="H1110"/>
    <hyperlink r:id="rId1983" ref="H1111"/>
    <hyperlink r:id="rId1984" ref="H1112"/>
    <hyperlink r:id="rId1985" ref="H1113"/>
    <hyperlink r:id="rId1986" ref="G1114"/>
    <hyperlink r:id="rId1987" ref="H1114"/>
    <hyperlink r:id="rId1988" ref="G1115"/>
    <hyperlink r:id="rId1989" ref="H1115"/>
    <hyperlink r:id="rId1990" ref="G1116"/>
    <hyperlink r:id="rId1991" ref="G1117"/>
    <hyperlink r:id="rId1992" ref="G1118"/>
    <hyperlink r:id="rId1993" ref="G1119"/>
    <hyperlink r:id="rId1994" ref="G1120"/>
    <hyperlink r:id="rId1995" ref="G1121"/>
    <hyperlink r:id="rId1996" ref="H1122"/>
    <hyperlink r:id="rId1997" ref="H1123"/>
    <hyperlink r:id="rId1998" ref="G1124"/>
    <hyperlink r:id="rId1999" ref="H1124"/>
    <hyperlink r:id="rId2000" ref="H1125"/>
    <hyperlink r:id="rId2001" ref="H1126"/>
    <hyperlink r:id="rId2002" ref="H1127"/>
    <hyperlink r:id="rId2003" ref="G1128"/>
    <hyperlink r:id="rId2004" ref="H1128"/>
    <hyperlink r:id="rId2005" ref="H1129"/>
    <hyperlink r:id="rId2006" ref="H1130"/>
    <hyperlink r:id="rId2007" ref="G1131"/>
    <hyperlink r:id="rId2008" ref="H1132"/>
    <hyperlink r:id="rId2009" ref="H1133"/>
    <hyperlink r:id="rId2010" ref="H1134"/>
    <hyperlink r:id="rId2011" ref="G1135"/>
    <hyperlink r:id="rId2012" ref="H1136"/>
    <hyperlink r:id="rId2013" ref="G1137"/>
    <hyperlink r:id="rId2014" ref="H1138"/>
    <hyperlink r:id="rId2015" ref="H1139"/>
    <hyperlink r:id="rId2016" ref="G1140"/>
    <hyperlink r:id="rId2017" ref="H1141"/>
    <hyperlink r:id="rId2018" ref="G1142"/>
    <hyperlink r:id="rId2019" ref="G1143"/>
    <hyperlink r:id="rId2020" ref="G1144"/>
    <hyperlink r:id="rId2021" ref="H1145"/>
    <hyperlink r:id="rId2022" ref="G1146"/>
    <hyperlink r:id="rId2023" ref="G1147"/>
    <hyperlink r:id="rId2024" ref="H1147"/>
    <hyperlink r:id="rId2025" ref="G1148"/>
    <hyperlink r:id="rId2026" ref="G1149"/>
    <hyperlink r:id="rId2027" ref="G1150"/>
    <hyperlink r:id="rId2028" ref="H1150"/>
    <hyperlink r:id="rId2029" ref="G1151"/>
    <hyperlink r:id="rId2030" ref="H1151"/>
    <hyperlink r:id="rId2031" ref="G1152"/>
    <hyperlink r:id="rId2032" ref="G1153"/>
    <hyperlink r:id="rId2033" ref="H1153"/>
    <hyperlink r:id="rId2034" ref="G1154"/>
    <hyperlink r:id="rId2035" ref="H1155"/>
    <hyperlink r:id="rId2036" ref="H1156"/>
    <hyperlink r:id="rId2037" ref="G1157"/>
    <hyperlink r:id="rId2038" ref="G1158"/>
    <hyperlink r:id="rId2039" ref="G1159"/>
    <hyperlink r:id="rId2040" ref="G1160"/>
    <hyperlink r:id="rId2041" ref="H1160"/>
    <hyperlink r:id="rId2042" ref="H1161"/>
    <hyperlink r:id="rId2043" ref="H1162"/>
    <hyperlink r:id="rId2044" ref="H1163"/>
    <hyperlink r:id="rId2045" ref="H1164"/>
    <hyperlink r:id="rId2046" ref="H1165"/>
    <hyperlink r:id="rId2047" ref="H1166"/>
    <hyperlink r:id="rId2048" ref="H1167"/>
    <hyperlink r:id="rId2049" ref="H1168"/>
    <hyperlink r:id="rId2050" ref="G1169"/>
    <hyperlink r:id="rId2051" ref="H1169"/>
    <hyperlink r:id="rId2052" ref="G1170"/>
    <hyperlink r:id="rId2053" ref="H1171"/>
    <hyperlink r:id="rId2054" ref="G1172"/>
    <hyperlink r:id="rId2055" ref="G1173"/>
    <hyperlink r:id="rId2056" ref="H1174"/>
    <hyperlink r:id="rId2057" ref="H1175"/>
    <hyperlink r:id="rId2058" ref="H1176"/>
    <hyperlink r:id="rId2059" ref="H1177"/>
    <hyperlink r:id="rId2060" ref="H1178"/>
    <hyperlink r:id="rId2061" ref="H1179"/>
    <hyperlink r:id="rId2062" ref="G1180"/>
    <hyperlink r:id="rId2063" ref="H1181"/>
    <hyperlink r:id="rId2064" ref="G1182"/>
    <hyperlink r:id="rId2065" ref="H1183"/>
    <hyperlink r:id="rId2066" ref="G1184"/>
    <hyperlink r:id="rId2067" ref="H1184"/>
    <hyperlink r:id="rId2068" ref="G1185"/>
    <hyperlink r:id="rId2069" ref="H1185"/>
    <hyperlink r:id="rId2070" ref="H1186"/>
    <hyperlink r:id="rId2071" ref="G1187"/>
    <hyperlink r:id="rId2072" ref="H1188"/>
    <hyperlink r:id="rId2073" ref="H1189"/>
    <hyperlink r:id="rId2074" ref="H1190"/>
    <hyperlink r:id="rId2075" ref="G1191"/>
    <hyperlink r:id="rId2076" ref="H1192"/>
    <hyperlink r:id="rId2077" ref="H1193"/>
    <hyperlink r:id="rId2078" ref="H1194"/>
  </hyperlinks>
  <drawing r:id="rId207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20.0"/>
    <col customWidth="1" min="3" max="3" width="17.5"/>
    <col customWidth="1" min="4" max="4" width="28.13"/>
  </cols>
  <sheetData>
    <row r="1">
      <c r="A1" s="19" t="s">
        <v>13</v>
      </c>
      <c r="C1" s="20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1" t="str">
        <f>IFERROR(__xludf.DUMMYFUNCTION("QUERY('All deer keywords'!A:H, ""SELECT A, B WHERE A CONTAINS 'whitetail'"",1)"),"Keyword")</f>
        <v>Keyword</v>
      </c>
      <c r="B2" s="22" t="str">
        <f>IFERROR(__xludf.DUMMYFUNCTION("""COMPUTED_VALUE"""),"Search Volume")</f>
        <v>Search Volume</v>
      </c>
      <c r="C2" s="23" t="s">
        <v>16</v>
      </c>
      <c r="D2" s="24" t="s">
        <v>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tr">
        <f>IFERROR(__xludf.DUMMYFUNCTION("""COMPUTED_VALUE"""),"whitetail deer hunting")</f>
        <v>whitetail deer hunting</v>
      </c>
      <c r="B3" s="15" t="str">
        <f>IFERROR(__xludf.DUMMYFUNCTION("""COMPUTED_VALUE"""),"1300")</f>
        <v>1300</v>
      </c>
      <c r="C3" s="25" t="str">
        <f t="array" ref="C3">XLOOKUP(A3,'All deer keywords'!A:A,'All deer keywords'!C:C,"Not ranking")</f>
        <v>1</v>
      </c>
      <c r="D3" s="26" t="str">
        <f t="array" ref="D3">XLOOKUP(A3,'All deer keywords'!A:A,'All deer keywords'!F:F,"Not ranking")</f>
        <v>https://www.themeateater.com/hunt/big-game/tips-and-trick-for-hunting-whitetail-deer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tr">
        <f>IFERROR(__xludf.DUMMYFUNCTION("""COMPUTED_VALUE"""),"mule deer vs whitetail")</f>
        <v>mule deer vs whitetail</v>
      </c>
      <c r="B4" s="15" t="str">
        <f>IFERROR(__xludf.DUMMYFUNCTION("""COMPUTED_VALUE"""),"4400")</f>
        <v>4400</v>
      </c>
      <c r="C4" s="25" t="str">
        <f t="array" ref="C4">XLOOKUP(A4,'All deer keywords'!A:A,'All deer keywords'!C:C,"Not ranking")</f>
        <v>5</v>
      </c>
      <c r="D4" s="26" t="str">
        <f t="array" ref="D4">XLOOKUP(A4,'All deer keywords'!A:A,'All deer keywords'!F:F,"Not ranking")</f>
        <v>https://www.themeateater.com/wired-to-hunt/whitetail-management/whitetails-and-mulies-a-comparison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tr">
        <f>IFERROR(__xludf.DUMMYFUNCTION("""COMPUTED_VALUE"""),"world record whitetail deer")</f>
        <v>world record whitetail deer</v>
      </c>
      <c r="B5" s="15" t="str">
        <f>IFERROR(__xludf.DUMMYFUNCTION("""COMPUTED_VALUE"""),"1600")</f>
        <v>1600</v>
      </c>
      <c r="C5" s="25" t="str">
        <f t="array" ref="C5">XLOOKUP(A5,'All deer keywords'!A:A,'All deer keywords'!C:C,"Not ranking")</f>
        <v>5</v>
      </c>
      <c r="D5" s="26" t="str">
        <f t="array" ref="D5">XLOOKUP(A5,'All deer keywords'!A:A,'All deer keywords'!F:F,"Not ranking")</f>
        <v>https://www.themeateater.com/hunt/whitetail-deer/this-might-be-the-new-world-record-whitetail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tr">
        <f>IFERROR(__xludf.DUMMYFUNCTION("""COMPUTED_VALUE"""),"whitetail deer versus mule deer")</f>
        <v>whitetail deer versus mule deer</v>
      </c>
      <c r="B6" s="15" t="str">
        <f>IFERROR(__xludf.DUMMYFUNCTION("""COMPUTED_VALUE"""),"1000")</f>
        <v>1000</v>
      </c>
      <c r="C6" s="25" t="str">
        <f t="array" ref="C6">XLOOKUP(A6,'All deer keywords'!A:A,'All deer keywords'!C:C,"Not ranking")</f>
        <v>6</v>
      </c>
      <c r="D6" s="26" t="str">
        <f t="array" ref="D6">XLOOKUP(A6,'All deer keywords'!A:A,'All deer keywords'!F:F,"Not ranking")</f>
        <v>https://www.themeateater.com/wired-to-hunt/whitetail-management/whitetails-and-mulies-a-comparison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tr">
        <f>IFERROR(__xludf.DUMMYFUNCTION("""COMPUTED_VALUE"""),"biggest whitetail deer")</f>
        <v>biggest whitetail deer</v>
      </c>
      <c r="B7" s="15" t="str">
        <f>IFERROR(__xludf.DUMMYFUNCTION("""COMPUTED_VALUE"""),"880")</f>
        <v>880</v>
      </c>
      <c r="C7" s="25" t="str">
        <f t="array" ref="C7">XLOOKUP(A7,'All deer keywords'!A:A,'All deer keywords'!C:C,"Not ranking")</f>
        <v>6</v>
      </c>
      <c r="D7" s="26" t="str">
        <f t="array" ref="D7">XLOOKUP(A7,'All deer keywords'!A:A,'All deer keywords'!F:F,"Not ranking")</f>
        <v>https://www.themeateater.com/hunt/whitetail-deer/this-might-be-the-new-world-record-whitetail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tr">
        <f>IFERROR(__xludf.DUMMYFUNCTION("""COMPUTED_VALUE"""),"mule deer vs whitetail deer")</f>
        <v>mule deer vs whitetail deer</v>
      </c>
      <c r="B8" s="15" t="str">
        <f>IFERROR(__xludf.DUMMYFUNCTION("""COMPUTED_VALUE"""),"1600")</f>
        <v>1600</v>
      </c>
      <c r="C8" s="25" t="str">
        <f t="array" ref="C8">XLOOKUP(A8,'All deer keywords'!A:A,'All deer keywords'!C:C,"Not ranking")</f>
        <v>8</v>
      </c>
      <c r="D8" s="26" t="str">
        <f t="array" ref="D8">XLOOKUP(A8,'All deer keywords'!A:A,'All deer keywords'!F:F,"Not ranking")</f>
        <v>https://www.themeateater.com/wired-to-hunt/whitetail-management/whitetails-and-mulies-a-comparison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tr">
        <f>IFERROR(__xludf.DUMMYFUNCTION("""COMPUTED_VALUE"""),"whitetail deer vitals")</f>
        <v>whitetail deer vitals</v>
      </c>
      <c r="B9" s="15" t="str">
        <f>IFERROR(__xludf.DUMMYFUNCTION("""COMPUTED_VALUE"""),"880")</f>
        <v>880</v>
      </c>
      <c r="C9" s="25" t="str">
        <f t="array" ref="C9">XLOOKUP(A9,'All deer keywords'!A:A,'All deer keywords'!C:C,"Not ranking")</f>
        <v>8</v>
      </c>
      <c r="D9" s="26" t="str">
        <f t="array" ref="D9">XLOOKUP(A9,'All deer keywords'!A:A,'All deer keywords'!F:F,"Not ranking")</f>
        <v>https://www.themeateater.com/wired-to-hunt/whitetail-hunting/where-to-shoot-a-deer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 t="str">
        <f>IFERROR(__xludf.DUMMYFUNCTION("""COMPUTED_VALUE"""),"whitetail vs mule deer")</f>
        <v>whitetail vs mule deer</v>
      </c>
      <c r="B10" s="15" t="str">
        <f>IFERROR(__xludf.DUMMYFUNCTION("""COMPUTED_VALUE"""),"590")</f>
        <v>590</v>
      </c>
      <c r="C10" s="25" t="str">
        <f t="array" ref="C10">XLOOKUP(A10,'All deer keywords'!A:A,'All deer keywords'!C:C,"Not ranking")</f>
        <v>8</v>
      </c>
      <c r="D10" s="26" t="str">
        <f t="array" ref="D10">XLOOKUP(A10,'All deer keywords'!A:A,'All deer keywords'!F:F,"Not ranking")</f>
        <v>https://www.themeateater.com/wired-to-hunt/whitetail-management/whitetails-and-mulies-a-comparison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 t="str">
        <f>IFERROR(__xludf.DUMMYFUNCTION("""COMPUTED_VALUE"""),"how to score a whitetail deer")</f>
        <v>how to score a whitetail deer</v>
      </c>
      <c r="B11" s="15" t="str">
        <f>IFERROR(__xludf.DUMMYFUNCTION("""COMPUTED_VALUE"""),"720")</f>
        <v>720</v>
      </c>
      <c r="C11" s="25" t="str">
        <f t="array" ref="C11">XLOOKUP(A11,'All deer keywords'!A:A,'All deer keywords'!C:C,"Not ranking")</f>
        <v>9</v>
      </c>
      <c r="D11" s="26" t="str">
        <f t="array" ref="D11">XLOOKUP(A11,'All deer keywords'!A:A,'All deer keywords'!F:F,"Not ranking")</f>
        <v>https://www.themeateater.com/wired-to-hunt/whitetail-management/video-how-to-score-a-whitetail-buck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 t="str">
        <f>IFERROR(__xludf.DUMMYFUNCTION("""COMPUTED_VALUE"""),"whitetail deer calls")</f>
        <v>whitetail deer calls</v>
      </c>
      <c r="B12" s="15" t="str">
        <f>IFERROR(__xludf.DUMMYFUNCTION("""COMPUTED_VALUE"""),"590")</f>
        <v>590</v>
      </c>
      <c r="C12" s="25" t="str">
        <f t="array" ref="C12">XLOOKUP(A12,'All deer keywords'!A:A,'All deer keywords'!C:C,"Not ranking")</f>
        <v>9</v>
      </c>
      <c r="D12" s="26" t="str">
        <f t="array" ref="D12">XLOOKUP(A12,'All deer keywords'!A:A,'All deer keywords'!F:F,"Not ranking")</f>
        <v>https://www.themeateater.com/wired-to-hunt/whitetail-hunting/3-grunt-call-vocalizations-every-whitetail-hunter-should-know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 t="str">
        <f>IFERROR(__xludf.DUMMYFUNCTION("""COMPUTED_VALUE"""),"biggest whitetail deer ever killed")</f>
        <v>biggest whitetail deer ever killed</v>
      </c>
      <c r="B13" s="15" t="str">
        <f>IFERROR(__xludf.DUMMYFUNCTION("""COMPUTED_VALUE"""),"880")</f>
        <v>880</v>
      </c>
      <c r="C13" s="25" t="str">
        <f t="array" ref="C13">XLOOKUP(A13,'All deer keywords'!A:A,'All deer keywords'!C:C,"Not ranking")</f>
        <v>11</v>
      </c>
      <c r="D13" s="26" t="str">
        <f t="array" ref="D13">XLOOKUP(A13,'All deer keywords'!A:A,'All deer keywords'!F:F,"Not ranking")</f>
        <v>https://www.themeateater.com/hunt/whitetail-deer/is-this-50-point-whitetail-the-new-world-record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 t="str">
        <f>IFERROR(__xludf.DUMMYFUNCTION("""COMPUTED_VALUE"""),"whitetail deer age chart")</f>
        <v>whitetail deer age chart</v>
      </c>
      <c r="B14" s="15" t="str">
        <f>IFERROR(__xludf.DUMMYFUNCTION("""COMPUTED_VALUE"""),"1000")</f>
        <v>1000</v>
      </c>
      <c r="C14" s="25" t="str">
        <f t="array" ref="C14">XLOOKUP(A14,'All deer keywords'!A:A,'All deer keywords'!C:C,"Not ranking")</f>
        <v>19</v>
      </c>
      <c r="D14" s="26" t="str">
        <f t="array" ref="D14">XLOOKUP(A14,'All deer keywords'!A:A,'All deer keywords'!F:F,"Not ranking")</f>
        <v>https://www.themeateater.com/wired-to-hunt/whitetail-management/how-to-age-a-whitetail-buck-on-the-hoof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 t="str">
        <f>IFERROR(__xludf.DUMMYFUNCTION("""COMPUTED_VALUE"""),"whitetail deer anatomy")</f>
        <v>whitetail deer anatomy</v>
      </c>
      <c r="B15" s="15" t="str">
        <f>IFERROR(__xludf.DUMMYFUNCTION("""COMPUTED_VALUE"""),"1300")</f>
        <v>1300</v>
      </c>
      <c r="C15" s="25" t="str">
        <f t="array" ref="C15">XLOOKUP(A15,'All deer keywords'!A:A,'All deer keywords'!C:C,"Not ranking")</f>
        <v>32</v>
      </c>
      <c r="D15" s="26" t="str">
        <f t="array" ref="D15">XLOOKUP(A15,'All deer keywords'!A:A,'All deer keywords'!F:F,"Not ranking")</f>
        <v>https://www.themeateater.com/wired-to-hunt/whitetail-hunting/where-to-shoot-a-deer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 t="str">
        <f>IFERROR(__xludf.DUMMYFUNCTION("""COMPUTED_VALUE"""),"whitetail deer buck")</f>
        <v>whitetail deer buck</v>
      </c>
      <c r="B16" s="15" t="str">
        <f>IFERROR(__xludf.DUMMYFUNCTION("""COMPUTED_VALUE"""),"590")</f>
        <v>590</v>
      </c>
      <c r="C16" s="25" t="str">
        <f t="array" ref="C16">XLOOKUP(A16,'All deer keywords'!A:A,'All deer keywords'!C:C,"Not ranking")</f>
        <v>38</v>
      </c>
      <c r="D16" s="26" t="str">
        <f t="array" ref="D16">XLOOKUP(A16,'All deer keywords'!A:A,'All deer keywords'!F:F,"Not ranking")</f>
        <v>https://www.themeateater.com/wired-to-hunt/whitetail-management/you-wont-believe-how-far-this-buck-traveled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 t="str">
        <f>IFERROR(__xludf.DUMMYFUNCTION("""COMPUTED_VALUE"""),"whitetail deer skull")</f>
        <v>whitetail deer skull</v>
      </c>
      <c r="B17" s="15" t="str">
        <f>IFERROR(__xludf.DUMMYFUNCTION("""COMPUTED_VALUE"""),"720")</f>
        <v>720</v>
      </c>
      <c r="C17" s="25" t="str">
        <f t="array" ref="C17">XLOOKUP(A17,'All deer keywords'!A:A,'All deer keywords'!C:C,"Not ranking")</f>
        <v>44</v>
      </c>
      <c r="D17" s="26" t="str">
        <f t="array" ref="D17">XLOOKUP(A17,'All deer keywords'!A:A,'All deer keywords'!F:F,"Not ranking")</f>
        <v>https://www.themeateater.com/wired-to-hunt/whitetail-management/cranial-abscess-syndrome-the-false-cwd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 t="str">
        <f>IFERROR(__xludf.DUMMYFUNCTION("""COMPUTED_VALUE"""),"whitetail deer mounts")</f>
        <v>whitetail deer mounts</v>
      </c>
      <c r="B18" s="15" t="str">
        <f>IFERROR(__xludf.DUMMYFUNCTION("""COMPUTED_VALUE"""),"590")</f>
        <v>590</v>
      </c>
      <c r="C18" s="25" t="str">
        <f t="array" ref="C18">XLOOKUP(A18,'All deer keywords'!A:A,'All deer keywords'!C:C,"Not ranking")</f>
        <v>52</v>
      </c>
      <c r="D18" s="26" t="str">
        <f t="array" ref="D18">XLOOKUP(A18,'All deer keywords'!A:A,'All deer keywords'!F:F,"Not ranking")</f>
        <v>https://www.themeateater.com/hunt/whitetail-deer/fact-checker-do-outdoor-stores-pay-big-money-for-big-mounts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5" t="str">
        <f>IFERROR(__xludf.DUMMYFUNCTION("""COMPUTED_VALUE"""),"whitetail deer pictures")</f>
        <v>whitetail deer pictures</v>
      </c>
      <c r="B19" s="15" t="str">
        <f>IFERROR(__xludf.DUMMYFUNCTION("""COMPUTED_VALUE"""),"590")</f>
        <v>590</v>
      </c>
      <c r="C19" s="25" t="str">
        <f t="array" ref="C19">XLOOKUP(A19,'All deer keywords'!A:A,'All deer keywords'!C:C,"Not ranking")</f>
        <v>56</v>
      </c>
      <c r="D19" s="26" t="str">
        <f t="array" ref="D19">XLOOKUP(A19,'All deer keywords'!A:A,'All deer keywords'!F:F,"Not ranking")</f>
        <v>https://www.themeateater.com/hunt/whitetail-deer/is-this-50-point-whitetail-the-new-world-record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5" t="str">
        <f>IFERROR(__xludf.DUMMYFUNCTION("""COMPUTED_VALUE"""),"whitetail deer antlers")</f>
        <v>whitetail deer antlers</v>
      </c>
      <c r="B20" s="15" t="str">
        <f>IFERROR(__xludf.DUMMYFUNCTION("""COMPUTED_VALUE"""),"880")</f>
        <v>880</v>
      </c>
      <c r="C20" s="25" t="str">
        <f t="array" ref="C20">XLOOKUP(A20,'All deer keywords'!A:A,'All deer keywords'!C:C,"Not ranking")</f>
        <v>59</v>
      </c>
      <c r="D20" s="26" t="str">
        <f t="array" ref="D20">XLOOKUP(A20,'All deer keywords'!A:A,'All deer keywords'!F:F,"Not ranking")</f>
        <v>https://www.themeateater.com/wired-to-hunt/whitetail-hunting/photos-whitetail-antler-growth-timeline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 t="str">
        <f>IFERROR(__xludf.DUMMYFUNCTION("""COMPUTED_VALUE"""),"monster whitetail deer")</f>
        <v>monster whitetail deer</v>
      </c>
      <c r="B21" s="15" t="str">
        <f>IFERROR(__xludf.DUMMYFUNCTION("""COMPUTED_VALUE"""),"880")</f>
        <v>880</v>
      </c>
      <c r="C21" s="25" t="str">
        <f t="array" ref="C21">XLOOKUP(A21,'All deer keywords'!A:A,'All deer keywords'!C:C,"Not ranking")</f>
        <v>62</v>
      </c>
      <c r="D21" s="26" t="str">
        <f t="array" ref="D21">XLOOKUP(A21,'All deer keywords'!A:A,'All deer keywords'!F:F,"Not ranking")</f>
        <v>https://www.themeateater.com/hunt/whitetail-deer/is-this-50-point-whitetail-the-new-world-record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5" t="str">
        <f>IFERROR(__xludf.DUMMYFUNCTION("""COMPUTED_VALUE"""),"whitetail deer")</f>
        <v>whitetail deer</v>
      </c>
      <c r="B22" s="15" t="str">
        <f>IFERROR(__xludf.DUMMYFUNCTION("""COMPUTED_VALUE"""),"14800")</f>
        <v>14800</v>
      </c>
      <c r="C22" s="25" t="str">
        <f t="array" ref="C22">XLOOKUP(A22,'All deer keywords'!A:A,'All deer keywords'!C:C,"Not ranking")</f>
        <v>65</v>
      </c>
      <c r="D22" s="26" t="str">
        <f t="array" ref="D22">XLOOKUP(A22,'All deer keywords'!A:A,'All deer keywords'!F:F,"Not ranking")</f>
        <v>https://www.themeateater.com/wired-to-hunt/whitetail-management/whitetails-and-mulies-a-comparison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5" t="str">
        <f>IFERROR(__xludf.DUMMYFUNCTION("""COMPUTED_VALUE"""),"when do whitetail deer shed their antlers")</f>
        <v>when do whitetail deer shed their antlers</v>
      </c>
      <c r="B23" s="15" t="str">
        <f>IFERROR(__xludf.DUMMYFUNCTION("""COMPUTED_VALUE"""),"1000")</f>
        <v>1000</v>
      </c>
      <c r="C23" s="25" t="str">
        <f t="array" ref="C23">XLOOKUP(A23,'All deer keywords'!A:A,'All deer keywords'!C:C,"Not ranking")</f>
        <v>69</v>
      </c>
      <c r="D23" s="26" t="str">
        <f t="array" ref="D23">XLOOKUP(A23,'All deer keywords'!A:A,'All deer keywords'!F:F,"Not ranking")</f>
        <v>https://www.themeateater.com/wired-to-hunt/whitetail-scouting/ask-wired-to-hunt-when-should-you-start-shed-hunting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 t="str">
        <f>IFERROR(__xludf.DUMMYFUNCTION("""COMPUTED_VALUE"""),"the legacy of a whitetail deer hunter")</f>
        <v>the legacy of a whitetail deer hunter</v>
      </c>
      <c r="B24" s="15" t="str">
        <f>IFERROR(__xludf.DUMMYFUNCTION("""COMPUTED_VALUE"""),"1900")</f>
        <v>1900</v>
      </c>
      <c r="C24" s="25" t="str">
        <f t="array" ref="C24">XLOOKUP(A24,'All deer keywords'!A:A,'All deer keywords'!C:C,"Not ranking")</f>
        <v>Not ranking</v>
      </c>
      <c r="D24" s="27" t="str">
        <f t="array" ref="D24">XLOOKUP(A24,'All deer keywords'!A:A,'All deer keywords'!F:F,"Not ranking")</f>
        <v>Not ranking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5" t="str">
        <f>IFERROR(__xludf.DUMMYFUNCTION("""COMPUTED_VALUE"""),"gestation period for whitetail deer")</f>
        <v>gestation period for whitetail deer</v>
      </c>
      <c r="B25" s="15" t="str">
        <f>IFERROR(__xludf.DUMMYFUNCTION("""COMPUTED_VALUE"""),"1300")</f>
        <v>1300</v>
      </c>
      <c r="C25" s="25" t="str">
        <f t="array" ref="C25">XLOOKUP(A25,'All deer keywords'!A:A,'All deer keywords'!C:C,"Not ranking")</f>
        <v>Not ranking</v>
      </c>
      <c r="D25" s="27" t="str">
        <f t="array" ref="D25">XLOOKUP(A25,'All deer keywords'!A:A,'All deer keywords'!F:F,"Not ranking")</f>
        <v>Not ranking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5" t="str">
        <f>IFERROR(__xludf.DUMMYFUNCTION("""COMPUTED_VALUE"""),"gestation period of a whitetail deer")</f>
        <v>gestation period of a whitetail deer</v>
      </c>
      <c r="B26" s="15" t="str">
        <f>IFERROR(__xludf.DUMMYFUNCTION("""COMPUTED_VALUE"""),"1300")</f>
        <v>1300</v>
      </c>
      <c r="C26" s="25" t="str">
        <f t="array" ref="C26">XLOOKUP(A26,'All deer keywords'!A:A,'All deer keywords'!C:C,"Not ranking")</f>
        <v>Not ranking</v>
      </c>
      <c r="D26" s="27" t="str">
        <f t="array" ref="D26">XLOOKUP(A26,'All deer keywords'!A:A,'All deer keywords'!F:F,"Not ranking")</f>
        <v>Not ranking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5" t="str">
        <f>IFERROR(__xludf.DUMMYFUNCTION("""COMPUTED_VALUE"""),"gestation period of whitetail deer")</f>
        <v>gestation period of whitetail deer</v>
      </c>
      <c r="B27" s="15" t="str">
        <f>IFERROR(__xludf.DUMMYFUNCTION("""COMPUTED_VALUE"""),"1300")</f>
        <v>1300</v>
      </c>
      <c r="C27" s="25" t="str">
        <f t="array" ref="C27">XLOOKUP(A27,'All deer keywords'!A:A,'All deer keywords'!C:C,"Not ranking")</f>
        <v>Not ranking</v>
      </c>
      <c r="D27" s="27" t="str">
        <f t="array" ref="D27">XLOOKUP(A27,'All deer keywords'!A:A,'All deer keywords'!F:F,"Not ranking")</f>
        <v>Not ranking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5" t="str">
        <f>IFERROR(__xludf.DUMMYFUNCTION("""COMPUTED_VALUE"""),"120 class whitetail deer")</f>
        <v>120 class whitetail deer</v>
      </c>
      <c r="B28" s="15" t="str">
        <f>IFERROR(__xludf.DUMMYFUNCTION("""COMPUTED_VALUE"""),"720")</f>
        <v>720</v>
      </c>
      <c r="C28" s="25" t="str">
        <f t="array" ref="C28">XLOOKUP(A28,'All deer keywords'!A:A,'All deer keywords'!C:C,"Not ranking")</f>
        <v>Not ranking</v>
      </c>
      <c r="D28" s="27" t="str">
        <f t="array" ref="D28">XLOOKUP(A28,'All deer keywords'!A:A,'All deer keywords'!F:F,"Not ranking")</f>
        <v>Not ranking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5" t="str">
        <f>IFERROR(__xludf.DUMMYFUNCTION("""COMPUTED_VALUE"""),"how long do whitetail deer live")</f>
        <v>how long do whitetail deer live</v>
      </c>
      <c r="B29" s="15" t="str">
        <f>IFERROR(__xludf.DUMMYFUNCTION("""COMPUTED_VALUE"""),"720")</f>
        <v>720</v>
      </c>
      <c r="C29" s="25" t="str">
        <f t="array" ref="C29">XLOOKUP(A29,'All deer keywords'!A:A,'All deer keywords'!C:C,"Not ranking")</f>
        <v>Not ranking</v>
      </c>
      <c r="D29" s="27" t="str">
        <f t="array" ref="D29">XLOOKUP(A29,'All deer keywords'!A:A,'All deer keywords'!F:F,"Not ranking")</f>
        <v>Not ranking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5" t="str">
        <f>IFERROR(__xludf.DUMMYFUNCTION("""COMPUTED_VALUE"""),"piebald whitetail deer")</f>
        <v>piebald whitetail deer</v>
      </c>
      <c r="B30" s="15" t="str">
        <f>IFERROR(__xludf.DUMMYFUNCTION("""COMPUTED_VALUE"""),"720")</f>
        <v>720</v>
      </c>
      <c r="C30" s="25" t="str">
        <f t="array" ref="C30">XLOOKUP(A30,'All deer keywords'!A:A,'All deer keywords'!C:C,"Not ranking")</f>
        <v>Not ranking</v>
      </c>
      <c r="D30" s="27" t="str">
        <f t="array" ref="D30">XLOOKUP(A30,'All deer keywords'!A:A,'All deer keywords'!F:F,"Not ranking")</f>
        <v>Not ranking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5" t="str">
        <f>IFERROR(__xludf.DUMMYFUNCTION("""COMPUTED_VALUE"""),"whitetail deer gestation period")</f>
        <v>whitetail deer gestation period</v>
      </c>
      <c r="B31" s="15" t="str">
        <f>IFERROR(__xludf.DUMMYFUNCTION("""COMPUTED_VALUE"""),"720")</f>
        <v>720</v>
      </c>
      <c r="C31" s="25" t="str">
        <f t="array" ref="C31">XLOOKUP(A31,'All deer keywords'!A:A,'All deer keywords'!C:C,"Not ranking")</f>
        <v>Not ranking</v>
      </c>
      <c r="D31" s="27" t="str">
        <f t="array" ref="D31">XLOOKUP(A31,'All deer keywords'!A:A,'All deer keywords'!F:F,"Not ranking")</f>
        <v>Not ranking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5" t="str">
        <f>IFERROR(__xludf.DUMMYFUNCTION("""COMPUTED_VALUE"""),"whitetail deer lifespan")</f>
        <v>whitetail deer lifespan</v>
      </c>
      <c r="B32" s="15" t="str">
        <f>IFERROR(__xludf.DUMMYFUNCTION("""COMPUTED_VALUE"""),"720")</f>
        <v>720</v>
      </c>
      <c r="C32" s="25" t="str">
        <f t="array" ref="C32">XLOOKUP(A32,'All deer keywords'!A:A,'All deer keywords'!C:C,"Not ranking")</f>
        <v>Not ranking</v>
      </c>
      <c r="D32" s="27" t="str">
        <f t="array" ref="D32">XLOOKUP(A32,'All deer keywords'!A:A,'All deer keywords'!F:F,"Not ranking")</f>
        <v>Not ranking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5" t="str">
        <f>IFERROR(__xludf.DUMMYFUNCTION("""COMPUTED_VALUE"""),"albino whitetail deer")</f>
        <v>albino whitetail deer</v>
      </c>
      <c r="B33" s="15" t="str">
        <f>IFERROR(__xludf.DUMMYFUNCTION("""COMPUTED_VALUE"""),"590")</f>
        <v>590</v>
      </c>
      <c r="C33" s="25" t="str">
        <f t="array" ref="C33">XLOOKUP(A33,'All deer keywords'!A:A,'All deer keywords'!C:C,"Not ranking")</f>
        <v>Not ranking</v>
      </c>
      <c r="D33" s="27" t="str">
        <f t="array" ref="D33">XLOOKUP(A33,'All deer keywords'!A:A,'All deer keywords'!F:F,"Not ranking")</f>
        <v>Not ranking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5" t="str">
        <f>IFERROR(__xludf.DUMMYFUNCTION("""COMPUTED_VALUE"""),"black whitetail deer")</f>
        <v>black whitetail deer</v>
      </c>
      <c r="B34" s="15" t="str">
        <f>IFERROR(__xludf.DUMMYFUNCTION("""COMPUTED_VALUE"""),"590")</f>
        <v>590</v>
      </c>
      <c r="C34" s="25" t="str">
        <f t="array" ref="C34">XLOOKUP(A34,'All deer keywords'!A:A,'All deer keywords'!C:C,"Not ranking")</f>
        <v>Not ranking</v>
      </c>
      <c r="D34" s="27" t="str">
        <f t="array" ref="D34">XLOOKUP(A34,'All deer keywords'!A:A,'All deer keywords'!F:F,"Not ranking")</f>
        <v>Not ranking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5"/>
      <c r="B35" s="15"/>
      <c r="C35" s="15"/>
      <c r="D35" s="1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5"/>
      <c r="B36" s="15"/>
      <c r="C36" s="15"/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5"/>
      <c r="B37" s="15"/>
      <c r="C37" s="15"/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5"/>
      <c r="B38" s="15"/>
      <c r="C38" s="15"/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5"/>
      <c r="B39" s="15"/>
      <c r="C39" s="15"/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5"/>
      <c r="B40" s="15"/>
      <c r="C40" s="15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5"/>
      <c r="B41" s="15"/>
      <c r="C41" s="15"/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5"/>
      <c r="B42" s="15"/>
      <c r="C42" s="15"/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5"/>
      <c r="B43" s="15"/>
      <c r="C43" s="15"/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5"/>
      <c r="B44" s="15"/>
      <c r="C44" s="15"/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5"/>
      <c r="B45" s="15"/>
      <c r="C45" s="15"/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/>
      <c r="B46" s="15"/>
      <c r="C46" s="15"/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5"/>
      <c r="B47" s="15"/>
      <c r="C47" s="15"/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5"/>
      <c r="B48" s="15"/>
      <c r="C48" s="15"/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5"/>
      <c r="B49" s="15"/>
      <c r="C49" s="15"/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5"/>
      <c r="B50" s="15"/>
      <c r="C50" s="15"/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5"/>
      <c r="B51" s="15"/>
      <c r="C51" s="15"/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5"/>
      <c r="B52" s="15"/>
      <c r="C52" s="15"/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5"/>
      <c r="B53" s="15"/>
      <c r="C53" s="15"/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5"/>
      <c r="B54" s="15"/>
      <c r="C54" s="15"/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5"/>
      <c r="B55" s="15"/>
      <c r="C55" s="15"/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5"/>
      <c r="B56" s="15"/>
      <c r="C56" s="15"/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5"/>
      <c r="B57" s="15"/>
      <c r="C57" s="15"/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5"/>
      <c r="B58" s="15"/>
      <c r="C58" s="15"/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5"/>
      <c r="B59" s="15"/>
      <c r="C59" s="15"/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5"/>
      <c r="B60" s="15"/>
      <c r="C60" s="15"/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5"/>
      <c r="B61" s="15"/>
      <c r="C61" s="15"/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5"/>
      <c r="B62" s="15"/>
      <c r="C62" s="15"/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5"/>
      <c r="B63" s="15"/>
      <c r="C63" s="15"/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5"/>
      <c r="B64" s="15"/>
      <c r="C64" s="15"/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5"/>
      <c r="B65" s="15"/>
      <c r="C65" s="15"/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5"/>
      <c r="B66" s="15"/>
      <c r="C66" s="15"/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5"/>
      <c r="B67" s="15"/>
      <c r="C67" s="15"/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5"/>
      <c r="B68" s="15"/>
      <c r="C68" s="15"/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5"/>
      <c r="B69" s="15"/>
      <c r="C69" s="15"/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5"/>
      <c r="B70" s="15"/>
      <c r="C70" s="15"/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5"/>
      <c r="B71" s="15"/>
      <c r="C71" s="15"/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5"/>
      <c r="B72" s="15"/>
      <c r="C72" s="15"/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/>
      <c r="B73" s="15"/>
      <c r="C73" s="15"/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/>
      <c r="B74" s="15"/>
      <c r="C74" s="15"/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/>
      <c r="B75" s="15"/>
      <c r="C75" s="15"/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5"/>
      <c r="B76" s="15"/>
      <c r="C76" s="15"/>
      <c r="D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5"/>
      <c r="B77" s="15"/>
      <c r="C77" s="15"/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/>
      <c r="B78" s="15"/>
      <c r="C78" s="15"/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5"/>
      <c r="B79" s="15"/>
      <c r="C79" s="15"/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5"/>
      <c r="B80" s="15"/>
      <c r="C80" s="15"/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5"/>
      <c r="B81" s="15"/>
      <c r="C81" s="15"/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5"/>
      <c r="B82" s="15"/>
      <c r="C82" s="15"/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5"/>
      <c r="B83" s="15"/>
      <c r="C83" s="15"/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/>
      <c r="B84" s="15"/>
      <c r="C84" s="15"/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/>
      <c r="B85" s="15"/>
      <c r="C85" s="15"/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/>
      <c r="B86" s="15"/>
      <c r="C86" s="15"/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/>
      <c r="B87" s="15"/>
      <c r="C87" s="15"/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/>
      <c r="B88" s="15"/>
      <c r="C88" s="15"/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/>
      <c r="B89" s="15"/>
      <c r="C89" s="15"/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/>
      <c r="B90" s="15"/>
      <c r="C90" s="15"/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/>
      <c r="B91" s="15"/>
      <c r="C91" s="15"/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/>
      <c r="B92" s="15"/>
      <c r="C92" s="15"/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/>
      <c r="B93" s="15"/>
      <c r="C93" s="15"/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/>
      <c r="B94" s="15"/>
      <c r="C94" s="15"/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/>
      <c r="B95" s="15"/>
      <c r="C95" s="15"/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/>
      <c r="B96" s="15"/>
      <c r="C96" s="15"/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/>
      <c r="B97" s="15"/>
      <c r="C97" s="15"/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/>
      <c r="B98" s="15"/>
      <c r="C98" s="15"/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/>
      <c r="B99" s="15"/>
      <c r="C99" s="15"/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/>
      <c r="B100" s="15"/>
      <c r="C100" s="15"/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/>
      <c r="B101" s="15"/>
      <c r="C101" s="15"/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/>
      <c r="B102" s="15"/>
      <c r="C102" s="15"/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/>
      <c r="B103" s="15"/>
      <c r="C103" s="15"/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/>
      <c r="B104" s="15"/>
      <c r="C104" s="15"/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/>
      <c r="B105" s="15"/>
      <c r="C105" s="15"/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/>
      <c r="B106" s="15"/>
      <c r="C106" s="15"/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/>
      <c r="B107" s="15"/>
      <c r="C107" s="15"/>
      <c r="D107" s="1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/>
      <c r="B108" s="15"/>
      <c r="C108" s="15"/>
      <c r="D108" s="1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5"/>
      <c r="B109" s="15"/>
      <c r="C109" s="15"/>
      <c r="D109" s="1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5"/>
      <c r="B110" s="15"/>
      <c r="C110" s="15"/>
      <c r="D110" s="1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5"/>
      <c r="B111" s="15"/>
      <c r="C111" s="15"/>
      <c r="D111" s="1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5"/>
      <c r="B112" s="15"/>
      <c r="C112" s="15"/>
      <c r="D112" s="1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5"/>
      <c r="B113" s="15"/>
      <c r="C113" s="15"/>
      <c r="D113" s="1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5"/>
      <c r="B114" s="15"/>
      <c r="C114" s="15"/>
      <c r="D114" s="1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5"/>
      <c r="B115" s="15"/>
      <c r="C115" s="15"/>
      <c r="D115" s="1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5"/>
      <c r="B116" s="15"/>
      <c r="C116" s="15"/>
      <c r="D116" s="1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5"/>
      <c r="B117" s="15"/>
      <c r="C117" s="15"/>
      <c r="D117" s="1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5"/>
      <c r="B118" s="15"/>
      <c r="C118" s="15"/>
      <c r="D118" s="1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5"/>
      <c r="B119" s="15"/>
      <c r="C119" s="15"/>
      <c r="D119" s="1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5"/>
      <c r="B120" s="15"/>
      <c r="C120" s="15"/>
      <c r="D120" s="1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/>
      <c r="B121" s="15"/>
      <c r="C121" s="15"/>
      <c r="D121" s="1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/>
      <c r="B122" s="15"/>
      <c r="C122" s="15"/>
      <c r="D122" s="1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/>
      <c r="B123" s="15"/>
      <c r="C123" s="15"/>
      <c r="D123" s="1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/>
      <c r="B124" s="15"/>
      <c r="C124" s="15"/>
      <c r="D124" s="1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/>
      <c r="B125" s="15"/>
      <c r="C125" s="15"/>
      <c r="D125" s="1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/>
      <c r="B126" s="15"/>
      <c r="C126" s="15"/>
      <c r="D126" s="1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5"/>
      <c r="B127" s="15"/>
      <c r="C127" s="15"/>
      <c r="D127" s="1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5"/>
      <c r="B128" s="15"/>
      <c r="C128" s="15"/>
      <c r="D128" s="1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5"/>
      <c r="B129" s="15"/>
      <c r="C129" s="15"/>
      <c r="D129" s="1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5"/>
      <c r="B130" s="15"/>
      <c r="C130" s="15"/>
      <c r="D130" s="1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5"/>
      <c r="B131" s="15"/>
      <c r="C131" s="15"/>
      <c r="D131" s="1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5"/>
      <c r="B132" s="15"/>
      <c r="C132" s="15"/>
      <c r="D132" s="1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5"/>
      <c r="B133" s="15"/>
      <c r="C133" s="15"/>
      <c r="D133" s="1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5"/>
      <c r="B134" s="15"/>
      <c r="C134" s="15"/>
      <c r="D134" s="1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5"/>
      <c r="B135" s="15"/>
      <c r="C135" s="15"/>
      <c r="D135" s="1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5"/>
      <c r="B136" s="15"/>
      <c r="C136" s="15"/>
      <c r="D136" s="1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5"/>
      <c r="B137" s="15"/>
      <c r="C137" s="15"/>
      <c r="D137" s="1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5"/>
      <c r="B138" s="15"/>
      <c r="C138" s="15"/>
      <c r="D138" s="1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5"/>
      <c r="B139" s="15"/>
      <c r="C139" s="15"/>
      <c r="D139" s="1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5"/>
      <c r="B140" s="15"/>
      <c r="C140" s="15"/>
      <c r="D140" s="1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5"/>
      <c r="B141" s="15"/>
      <c r="C141" s="15"/>
      <c r="D141" s="1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5"/>
      <c r="B142" s="15"/>
      <c r="C142" s="15"/>
      <c r="D142" s="1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5"/>
      <c r="B143" s="15"/>
      <c r="C143" s="15"/>
      <c r="D143" s="1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5"/>
      <c r="B144" s="15"/>
      <c r="C144" s="15"/>
      <c r="D144" s="1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5"/>
      <c r="B145" s="15"/>
      <c r="C145" s="15"/>
      <c r="D145" s="1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5"/>
      <c r="B146" s="15"/>
      <c r="C146" s="15"/>
      <c r="D146" s="1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5"/>
      <c r="B147" s="15"/>
      <c r="C147" s="15"/>
      <c r="D147" s="1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5"/>
      <c r="B148" s="15"/>
      <c r="C148" s="15"/>
      <c r="D148" s="1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5"/>
      <c r="B149" s="15"/>
      <c r="C149" s="15"/>
      <c r="D149" s="1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5"/>
      <c r="B150" s="15"/>
      <c r="C150" s="15"/>
      <c r="D150" s="1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5"/>
      <c r="B151" s="15"/>
      <c r="C151" s="15"/>
      <c r="D151" s="1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5"/>
      <c r="B152" s="15"/>
      <c r="C152" s="15"/>
      <c r="D152" s="1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5"/>
      <c r="B153" s="15"/>
      <c r="C153" s="15"/>
      <c r="D153" s="1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5"/>
      <c r="B154" s="15"/>
      <c r="C154" s="15"/>
      <c r="D154" s="1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5"/>
      <c r="B155" s="15"/>
      <c r="C155" s="15"/>
      <c r="D155" s="1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5"/>
      <c r="B156" s="15"/>
      <c r="C156" s="15"/>
      <c r="D156" s="1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5"/>
      <c r="B157" s="15"/>
      <c r="C157" s="15"/>
      <c r="D157" s="1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5"/>
      <c r="B158" s="15"/>
      <c r="C158" s="15"/>
      <c r="D158" s="1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5"/>
      <c r="B159" s="15"/>
      <c r="C159" s="15"/>
      <c r="D159" s="1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5"/>
      <c r="B160" s="15"/>
      <c r="C160" s="15"/>
      <c r="D160" s="1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5"/>
      <c r="B161" s="15"/>
      <c r="C161" s="15"/>
      <c r="D161" s="1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5"/>
      <c r="B162" s="15"/>
      <c r="C162" s="15"/>
      <c r="D162" s="1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/>
      <c r="B163" s="15"/>
      <c r="C163" s="15"/>
      <c r="D163" s="1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/>
      <c r="B164" s="15"/>
      <c r="C164" s="15"/>
      <c r="D164" s="1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/>
      <c r="B165" s="15"/>
      <c r="C165" s="15"/>
      <c r="D165" s="1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/>
      <c r="B166" s="15"/>
      <c r="C166" s="15"/>
      <c r="D166" s="1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5"/>
      <c r="B167" s="15"/>
      <c r="C167" s="15"/>
      <c r="D167" s="1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/>
      <c r="B168" s="15"/>
      <c r="C168" s="15"/>
      <c r="D168" s="1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/>
      <c r="B169" s="15"/>
      <c r="C169" s="15"/>
      <c r="D169" s="1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/>
      <c r="B170" s="15"/>
      <c r="C170" s="15"/>
      <c r="D170" s="1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/>
      <c r="B171" s="15"/>
      <c r="C171" s="15"/>
      <c r="D171" s="1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/>
      <c r="B172" s="15"/>
      <c r="C172" s="15"/>
      <c r="D172" s="1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/>
      <c r="B173" s="15"/>
      <c r="C173" s="15"/>
      <c r="D173" s="1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/>
      <c r="B174" s="15"/>
      <c r="C174" s="15"/>
      <c r="D174" s="1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/>
      <c r="B175" s="15"/>
      <c r="C175" s="15"/>
      <c r="D175" s="1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/>
      <c r="B176" s="15"/>
      <c r="C176" s="15"/>
      <c r="D176" s="1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/>
      <c r="B177" s="15"/>
      <c r="C177" s="15"/>
      <c r="D177" s="1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/>
      <c r="B178" s="15"/>
      <c r="C178" s="15"/>
      <c r="D178" s="1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/>
      <c r="B179" s="15"/>
      <c r="C179" s="15"/>
      <c r="D179" s="1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/>
      <c r="B180" s="15"/>
      <c r="C180" s="15"/>
      <c r="D180" s="1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/>
      <c r="B181" s="15"/>
      <c r="C181" s="15"/>
      <c r="D181" s="1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/>
      <c r="B182" s="15"/>
      <c r="C182" s="15"/>
      <c r="D182" s="1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/>
      <c r="B183" s="15"/>
      <c r="C183" s="15"/>
      <c r="D183" s="1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/>
      <c r="B184" s="15"/>
      <c r="C184" s="15"/>
      <c r="D184" s="1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/>
      <c r="B185" s="15"/>
      <c r="C185" s="15"/>
      <c r="D185" s="1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/>
      <c r="B186" s="15"/>
      <c r="C186" s="15"/>
      <c r="D186" s="1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/>
      <c r="B187" s="15"/>
      <c r="C187" s="15"/>
      <c r="D187" s="1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/>
      <c r="B188" s="15"/>
      <c r="C188" s="15"/>
      <c r="D188" s="1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/>
      <c r="B189" s="15"/>
      <c r="C189" s="15"/>
      <c r="D189" s="1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/>
      <c r="B190" s="15"/>
      <c r="C190" s="15"/>
      <c r="D190" s="1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/>
      <c r="B191" s="15"/>
      <c r="C191" s="15"/>
      <c r="D191" s="1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5"/>
      <c r="B192" s="15"/>
      <c r="C192" s="15"/>
      <c r="D192" s="1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5"/>
      <c r="B193" s="15"/>
      <c r="C193" s="15"/>
      <c r="D193" s="1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5"/>
      <c r="B194" s="15"/>
      <c r="C194" s="15"/>
      <c r="D194" s="1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5"/>
      <c r="B195" s="15"/>
      <c r="C195" s="15"/>
      <c r="D195" s="1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5"/>
      <c r="B196" s="15"/>
      <c r="C196" s="15"/>
      <c r="D196" s="1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5"/>
      <c r="B197" s="15"/>
      <c r="C197" s="15"/>
      <c r="D197" s="1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5"/>
      <c r="B198" s="15"/>
      <c r="C198" s="15"/>
      <c r="D198" s="1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5"/>
      <c r="B199" s="15"/>
      <c r="C199" s="15"/>
      <c r="D199" s="1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5"/>
      <c r="B200" s="15"/>
      <c r="C200" s="15"/>
      <c r="D200" s="1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5"/>
      <c r="B201" s="15"/>
      <c r="C201" s="15"/>
      <c r="D201" s="1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5"/>
      <c r="B202" s="15"/>
      <c r="C202" s="15"/>
      <c r="D202" s="1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5"/>
      <c r="B203" s="15"/>
      <c r="C203" s="15"/>
      <c r="D203" s="1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5"/>
      <c r="B204" s="15"/>
      <c r="C204" s="15"/>
      <c r="D204" s="1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5"/>
      <c r="B205" s="15"/>
      <c r="C205" s="15"/>
      <c r="D205" s="1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5"/>
      <c r="B206" s="15"/>
      <c r="C206" s="15"/>
      <c r="D206" s="1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5"/>
      <c r="B207" s="15"/>
      <c r="C207" s="15"/>
      <c r="D207" s="1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5"/>
      <c r="B208" s="15"/>
      <c r="C208" s="15"/>
      <c r="D208" s="1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5"/>
      <c r="B209" s="15"/>
      <c r="C209" s="15"/>
      <c r="D209" s="1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5"/>
      <c r="B210" s="15"/>
      <c r="C210" s="15"/>
      <c r="D210" s="1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5"/>
      <c r="B211" s="15"/>
      <c r="C211" s="15"/>
      <c r="D211" s="1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5"/>
      <c r="B212" s="15"/>
      <c r="C212" s="15"/>
      <c r="D212" s="1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5"/>
      <c r="B213" s="15"/>
      <c r="C213" s="15"/>
      <c r="D213" s="1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5"/>
      <c r="B214" s="15"/>
      <c r="C214" s="15"/>
      <c r="D214" s="1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5"/>
      <c r="B215" s="15"/>
      <c r="C215" s="15"/>
      <c r="D215" s="1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5"/>
      <c r="B216" s="15"/>
      <c r="C216" s="15"/>
      <c r="D216" s="1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5"/>
      <c r="B217" s="15"/>
      <c r="C217" s="15"/>
      <c r="D217" s="1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5"/>
      <c r="B218" s="15"/>
      <c r="C218" s="15"/>
      <c r="D218" s="1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5"/>
      <c r="B219" s="15"/>
      <c r="C219" s="15"/>
      <c r="D219" s="1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5"/>
      <c r="B220" s="15"/>
      <c r="C220" s="15"/>
      <c r="D220" s="1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5"/>
      <c r="B221" s="15"/>
      <c r="C221" s="15"/>
      <c r="D221" s="1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5"/>
      <c r="B222" s="15"/>
      <c r="C222" s="15"/>
      <c r="D222" s="1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5"/>
      <c r="B223" s="15"/>
      <c r="C223" s="15"/>
      <c r="D223" s="1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5"/>
      <c r="B224" s="15"/>
      <c r="C224" s="15"/>
      <c r="D224" s="1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5"/>
      <c r="B225" s="15"/>
      <c r="C225" s="15"/>
      <c r="D225" s="1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5"/>
      <c r="B226" s="15"/>
      <c r="C226" s="15"/>
      <c r="D226" s="1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5"/>
      <c r="B227" s="15"/>
      <c r="C227" s="15"/>
      <c r="D227" s="1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5"/>
      <c r="B228" s="15"/>
      <c r="C228" s="15"/>
      <c r="D228" s="1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5"/>
      <c r="B229" s="15"/>
      <c r="C229" s="15"/>
      <c r="D229" s="1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5"/>
      <c r="B230" s="15"/>
      <c r="C230" s="15"/>
      <c r="D230" s="1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5"/>
      <c r="B231" s="15"/>
      <c r="C231" s="15"/>
      <c r="D231" s="1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5"/>
      <c r="B232" s="15"/>
      <c r="C232" s="15"/>
      <c r="D232" s="1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5"/>
      <c r="B233" s="15"/>
      <c r="C233" s="15"/>
      <c r="D233" s="1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5"/>
      <c r="B234" s="15"/>
      <c r="C234" s="15"/>
      <c r="D234" s="1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5"/>
      <c r="B235" s="15"/>
      <c r="C235" s="15"/>
      <c r="D235" s="1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5"/>
      <c r="B236" s="15"/>
      <c r="C236" s="15"/>
      <c r="D236" s="1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5"/>
      <c r="B237" s="15"/>
      <c r="C237" s="15"/>
      <c r="D237" s="1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5"/>
      <c r="B238" s="15"/>
      <c r="C238" s="15"/>
      <c r="D238" s="1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5"/>
      <c r="B239" s="15"/>
      <c r="C239" s="15"/>
      <c r="D239" s="1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5"/>
      <c r="B240" s="15"/>
      <c r="C240" s="15"/>
      <c r="D240" s="1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5"/>
      <c r="B241" s="15"/>
      <c r="C241" s="15"/>
      <c r="D241" s="1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5"/>
      <c r="B242" s="15"/>
      <c r="C242" s="15"/>
      <c r="D242" s="1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5"/>
      <c r="B243" s="15"/>
      <c r="C243" s="15"/>
      <c r="D243" s="1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5"/>
      <c r="B244" s="15"/>
      <c r="C244" s="15"/>
      <c r="D244" s="1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5"/>
      <c r="B245" s="15"/>
      <c r="C245" s="15"/>
      <c r="D245" s="1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5"/>
      <c r="B246" s="15"/>
      <c r="C246" s="15"/>
      <c r="D246" s="1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5"/>
      <c r="B247" s="15"/>
      <c r="C247" s="15"/>
      <c r="D247" s="1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5"/>
      <c r="B248" s="15"/>
      <c r="C248" s="15"/>
      <c r="D248" s="1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5"/>
      <c r="B249" s="15"/>
      <c r="C249" s="15"/>
      <c r="D249" s="1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5"/>
      <c r="B250" s="15"/>
      <c r="C250" s="15"/>
      <c r="D250" s="1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5"/>
      <c r="B251" s="15"/>
      <c r="C251" s="15"/>
      <c r="D251" s="1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5"/>
      <c r="B252" s="15"/>
      <c r="C252" s="15"/>
      <c r="D252" s="1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5"/>
      <c r="B253" s="15"/>
      <c r="C253" s="15"/>
      <c r="D253" s="1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5"/>
      <c r="B254" s="15"/>
      <c r="C254" s="15"/>
      <c r="D254" s="1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5"/>
      <c r="B255" s="15"/>
      <c r="C255" s="15"/>
      <c r="D255" s="1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5"/>
      <c r="B256" s="15"/>
      <c r="C256" s="15"/>
      <c r="D256" s="1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5"/>
      <c r="B257" s="15"/>
      <c r="C257" s="15"/>
      <c r="D257" s="1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5"/>
      <c r="B258" s="15"/>
      <c r="C258" s="15"/>
      <c r="D258" s="1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5"/>
      <c r="B259" s="15"/>
      <c r="C259" s="15"/>
      <c r="D259" s="1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5"/>
      <c r="B260" s="15"/>
      <c r="C260" s="15"/>
      <c r="D260" s="1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5"/>
      <c r="B261" s="15"/>
      <c r="C261" s="15"/>
      <c r="D261" s="1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5"/>
      <c r="B262" s="15"/>
      <c r="C262" s="15"/>
      <c r="D262" s="1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5"/>
      <c r="B263" s="15"/>
      <c r="C263" s="15"/>
      <c r="D263" s="1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5"/>
      <c r="B264" s="15"/>
      <c r="C264" s="15"/>
      <c r="D264" s="1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5"/>
      <c r="B265" s="15"/>
      <c r="C265" s="15"/>
      <c r="D265" s="1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5"/>
      <c r="B266" s="15"/>
      <c r="C266" s="15"/>
      <c r="D266" s="1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5"/>
      <c r="B267" s="15"/>
      <c r="C267" s="15"/>
      <c r="D267" s="1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5"/>
      <c r="B268" s="15"/>
      <c r="C268" s="15"/>
      <c r="D268" s="1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5"/>
      <c r="B269" s="15"/>
      <c r="C269" s="15"/>
      <c r="D269" s="1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5"/>
      <c r="B270" s="15"/>
      <c r="C270" s="15"/>
      <c r="D270" s="1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5"/>
      <c r="B271" s="15"/>
      <c r="C271" s="15"/>
      <c r="D271" s="1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5"/>
      <c r="B272" s="15"/>
      <c r="C272" s="15"/>
      <c r="D272" s="1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5"/>
      <c r="B273" s="15"/>
      <c r="C273" s="15"/>
      <c r="D273" s="1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5"/>
      <c r="B274" s="15"/>
      <c r="C274" s="15"/>
      <c r="D274" s="1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5"/>
      <c r="B275" s="15"/>
      <c r="C275" s="15"/>
      <c r="D275" s="1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5"/>
      <c r="B276" s="15"/>
      <c r="C276" s="15"/>
      <c r="D276" s="1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5"/>
      <c r="B277" s="15"/>
      <c r="C277" s="15"/>
      <c r="D277" s="1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5"/>
      <c r="B278" s="15"/>
      <c r="C278" s="15"/>
      <c r="D278" s="1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5"/>
      <c r="B279" s="15"/>
      <c r="C279" s="15"/>
      <c r="D279" s="1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5"/>
      <c r="B280" s="15"/>
      <c r="C280" s="15"/>
      <c r="D280" s="1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5"/>
      <c r="B281" s="15"/>
      <c r="C281" s="15"/>
      <c r="D281" s="1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5"/>
      <c r="B282" s="15"/>
      <c r="C282" s="15"/>
      <c r="D282" s="1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5"/>
      <c r="B283" s="15"/>
      <c r="C283" s="15"/>
      <c r="D283" s="1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5"/>
      <c r="B284" s="15"/>
      <c r="C284" s="15"/>
      <c r="D284" s="1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5"/>
      <c r="B285" s="15"/>
      <c r="C285" s="15"/>
      <c r="D285" s="1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5"/>
      <c r="B286" s="15"/>
      <c r="C286" s="15"/>
      <c r="D286" s="1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5"/>
      <c r="B287" s="15"/>
      <c r="C287" s="15"/>
      <c r="D287" s="1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5"/>
      <c r="B288" s="15"/>
      <c r="C288" s="15"/>
      <c r="D288" s="1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5"/>
      <c r="B289" s="15"/>
      <c r="C289" s="15"/>
      <c r="D289" s="1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5"/>
      <c r="B290" s="15"/>
      <c r="C290" s="15"/>
      <c r="D290" s="1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5"/>
      <c r="B291" s="15"/>
      <c r="C291" s="15"/>
      <c r="D291" s="1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5"/>
      <c r="B292" s="15"/>
      <c r="C292" s="15"/>
      <c r="D292" s="1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5"/>
      <c r="B293" s="15"/>
      <c r="C293" s="15"/>
      <c r="D293" s="1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5"/>
      <c r="B294" s="15"/>
      <c r="C294" s="15"/>
      <c r="D294" s="1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5"/>
      <c r="B295" s="15"/>
      <c r="C295" s="15"/>
      <c r="D295" s="1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5"/>
      <c r="B296" s="15"/>
      <c r="C296" s="15"/>
      <c r="D296" s="1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5"/>
      <c r="B297" s="15"/>
      <c r="C297" s="15"/>
      <c r="D297" s="1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5"/>
      <c r="B298" s="15"/>
      <c r="C298" s="15"/>
      <c r="D298" s="1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5"/>
      <c r="B299" s="15"/>
      <c r="C299" s="15"/>
      <c r="D299" s="1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5"/>
      <c r="B300" s="15"/>
      <c r="C300" s="15"/>
      <c r="D300" s="1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5"/>
      <c r="B301" s="15"/>
      <c r="C301" s="15"/>
      <c r="D301" s="1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5"/>
      <c r="B302" s="15"/>
      <c r="C302" s="15"/>
      <c r="D302" s="1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5"/>
      <c r="B303" s="15"/>
      <c r="C303" s="15"/>
      <c r="D303" s="1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5"/>
      <c r="B304" s="15"/>
      <c r="C304" s="15"/>
      <c r="D304" s="1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5"/>
      <c r="B305" s="15"/>
      <c r="C305" s="15"/>
      <c r="D305" s="1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5"/>
      <c r="B306" s="15"/>
      <c r="C306" s="15"/>
      <c r="D306" s="1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5"/>
      <c r="B307" s="15"/>
      <c r="C307" s="15"/>
      <c r="D307" s="1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5"/>
      <c r="B308" s="15"/>
      <c r="C308" s="15"/>
      <c r="D308" s="1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5"/>
      <c r="B309" s="15"/>
      <c r="C309" s="15"/>
      <c r="D309" s="1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5"/>
      <c r="B310" s="15"/>
      <c r="C310" s="15"/>
      <c r="D310" s="1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5"/>
      <c r="B311" s="15"/>
      <c r="C311" s="15"/>
      <c r="D311" s="1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5"/>
      <c r="B312" s="15"/>
      <c r="C312" s="15"/>
      <c r="D312" s="1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5"/>
      <c r="B313" s="15"/>
      <c r="C313" s="15"/>
      <c r="D313" s="1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5"/>
      <c r="B314" s="15"/>
      <c r="C314" s="15"/>
      <c r="D314" s="1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5"/>
      <c r="B315" s="15"/>
      <c r="C315" s="15"/>
      <c r="D315" s="1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5"/>
      <c r="B316" s="15"/>
      <c r="C316" s="15"/>
      <c r="D316" s="1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5"/>
      <c r="B317" s="15"/>
      <c r="C317" s="15"/>
      <c r="D317" s="1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5"/>
      <c r="B318" s="15"/>
      <c r="C318" s="15"/>
      <c r="D318" s="1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5"/>
      <c r="B319" s="15"/>
      <c r="C319" s="15"/>
      <c r="D319" s="1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5"/>
      <c r="B320" s="15"/>
      <c r="C320" s="15"/>
      <c r="D320" s="1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5"/>
      <c r="B321" s="15"/>
      <c r="C321" s="15"/>
      <c r="D321" s="1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5"/>
      <c r="B322" s="15"/>
      <c r="C322" s="15"/>
      <c r="D322" s="1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5"/>
      <c r="B323" s="15"/>
      <c r="C323" s="15"/>
      <c r="D323" s="1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5"/>
      <c r="B324" s="15"/>
      <c r="C324" s="15"/>
      <c r="D324" s="1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5"/>
      <c r="B325" s="15"/>
      <c r="C325" s="15"/>
      <c r="D325" s="1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5"/>
      <c r="B326" s="15"/>
      <c r="C326" s="15"/>
      <c r="D326" s="1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5"/>
      <c r="B327" s="15"/>
      <c r="C327" s="15"/>
      <c r="D327" s="1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5"/>
      <c r="B328" s="15"/>
      <c r="C328" s="15"/>
      <c r="D328" s="1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5"/>
      <c r="B329" s="15"/>
      <c r="C329" s="15"/>
      <c r="D329" s="1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5"/>
      <c r="B330" s="15"/>
      <c r="C330" s="15"/>
      <c r="D330" s="1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5"/>
      <c r="B331" s="15"/>
      <c r="C331" s="15"/>
      <c r="D331" s="1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5"/>
      <c r="B332" s="15"/>
      <c r="C332" s="15"/>
      <c r="D332" s="1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5"/>
      <c r="B333" s="15"/>
      <c r="C333" s="15"/>
      <c r="D333" s="1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5"/>
      <c r="B334" s="15"/>
      <c r="C334" s="15"/>
      <c r="D334" s="1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5"/>
      <c r="B335" s="15"/>
      <c r="C335" s="15"/>
      <c r="D335" s="1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5"/>
      <c r="B336" s="15"/>
      <c r="C336" s="15"/>
      <c r="D336" s="1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5"/>
      <c r="B337" s="15"/>
      <c r="C337" s="15"/>
      <c r="D337" s="1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5"/>
      <c r="B338" s="15"/>
      <c r="C338" s="15"/>
      <c r="D338" s="1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5"/>
      <c r="B339" s="15"/>
      <c r="C339" s="15"/>
      <c r="D339" s="1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5"/>
      <c r="B340" s="15"/>
      <c r="C340" s="15"/>
      <c r="D340" s="1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5"/>
      <c r="B341" s="15"/>
      <c r="C341" s="15"/>
      <c r="D341" s="1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5"/>
      <c r="B342" s="15"/>
      <c r="C342" s="15"/>
      <c r="D342" s="1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5"/>
      <c r="B343" s="15"/>
      <c r="C343" s="15"/>
      <c r="D343" s="1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5"/>
      <c r="B344" s="15"/>
      <c r="C344" s="15"/>
      <c r="D344" s="1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5"/>
      <c r="B345" s="15"/>
      <c r="C345" s="15"/>
      <c r="D345" s="1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5"/>
      <c r="B346" s="15"/>
      <c r="C346" s="15"/>
      <c r="D346" s="1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5"/>
      <c r="B347" s="15"/>
      <c r="C347" s="15"/>
      <c r="D347" s="1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5"/>
      <c r="B348" s="15"/>
      <c r="C348" s="15"/>
      <c r="D348" s="1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5"/>
      <c r="B349" s="15"/>
      <c r="C349" s="15"/>
      <c r="D349" s="1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5"/>
      <c r="B350" s="15"/>
      <c r="C350" s="15"/>
      <c r="D350" s="1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5"/>
      <c r="B351" s="15"/>
      <c r="C351" s="15"/>
      <c r="D351" s="1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5"/>
      <c r="B352" s="15"/>
      <c r="C352" s="15"/>
      <c r="D352" s="1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5"/>
      <c r="B353" s="15"/>
      <c r="C353" s="15"/>
      <c r="D353" s="1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5"/>
      <c r="B354" s="15"/>
      <c r="C354" s="15"/>
      <c r="D354" s="1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5"/>
      <c r="B355" s="15"/>
      <c r="C355" s="15"/>
      <c r="D355" s="1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5"/>
      <c r="B356" s="15"/>
      <c r="C356" s="15"/>
      <c r="D356" s="1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5"/>
      <c r="B357" s="15"/>
      <c r="C357" s="15"/>
      <c r="D357" s="1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5"/>
      <c r="B358" s="15"/>
      <c r="C358" s="15"/>
      <c r="D358" s="1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5"/>
      <c r="B359" s="15"/>
      <c r="C359" s="15"/>
      <c r="D359" s="1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5"/>
      <c r="B360" s="15"/>
      <c r="C360" s="15"/>
      <c r="D360" s="1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5"/>
      <c r="B361" s="15"/>
      <c r="C361" s="15"/>
      <c r="D361" s="1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5"/>
      <c r="B362" s="15"/>
      <c r="C362" s="15"/>
      <c r="D362" s="1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5"/>
      <c r="B363" s="15"/>
      <c r="C363" s="15"/>
      <c r="D363" s="1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5"/>
      <c r="B364" s="15"/>
      <c r="C364" s="15"/>
      <c r="D364" s="1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5"/>
      <c r="B365" s="15"/>
      <c r="C365" s="15"/>
      <c r="D365" s="1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5"/>
      <c r="B366" s="15"/>
      <c r="C366" s="15"/>
      <c r="D366" s="1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5"/>
      <c r="B367" s="15"/>
      <c r="C367" s="15"/>
      <c r="D367" s="1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5"/>
      <c r="B368" s="15"/>
      <c r="C368" s="15"/>
      <c r="D368" s="1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5"/>
      <c r="B369" s="15"/>
      <c r="C369" s="15"/>
      <c r="D369" s="1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5"/>
      <c r="B370" s="15"/>
      <c r="C370" s="15"/>
      <c r="D370" s="1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5"/>
      <c r="B371" s="15"/>
      <c r="C371" s="15"/>
      <c r="D371" s="1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5"/>
      <c r="B372" s="15"/>
      <c r="C372" s="15"/>
      <c r="D372" s="1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5"/>
      <c r="B373" s="15"/>
      <c r="C373" s="15"/>
      <c r="D373" s="1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5"/>
      <c r="B374" s="15"/>
      <c r="C374" s="15"/>
      <c r="D374" s="1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5"/>
      <c r="B375" s="15"/>
      <c r="C375" s="15"/>
      <c r="D375" s="1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5"/>
      <c r="B376" s="15"/>
      <c r="C376" s="15"/>
      <c r="D376" s="1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5"/>
      <c r="B377" s="15"/>
      <c r="C377" s="15"/>
      <c r="D377" s="1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5"/>
      <c r="B378" s="15"/>
      <c r="C378" s="15"/>
      <c r="D378" s="1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5"/>
      <c r="B379" s="15"/>
      <c r="C379" s="15"/>
      <c r="D379" s="1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5"/>
      <c r="B380" s="15"/>
      <c r="C380" s="15"/>
      <c r="D380" s="1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5"/>
      <c r="B381" s="15"/>
      <c r="C381" s="15"/>
      <c r="D381" s="1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5"/>
      <c r="B382" s="15"/>
      <c r="C382" s="15"/>
      <c r="D382" s="1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5"/>
      <c r="B383" s="15"/>
      <c r="C383" s="15"/>
      <c r="D383" s="1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5"/>
      <c r="B384" s="15"/>
      <c r="C384" s="15"/>
      <c r="D384" s="1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5"/>
      <c r="B385" s="15"/>
      <c r="C385" s="15"/>
      <c r="D385" s="1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5"/>
      <c r="B386" s="15"/>
      <c r="C386" s="15"/>
      <c r="D386" s="1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5"/>
      <c r="B387" s="15"/>
      <c r="C387" s="15"/>
      <c r="D387" s="1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5"/>
      <c r="B388" s="15"/>
      <c r="C388" s="15"/>
      <c r="D388" s="1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5"/>
      <c r="B389" s="15"/>
      <c r="C389" s="15"/>
      <c r="D389" s="1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5"/>
      <c r="B390" s="15"/>
      <c r="C390" s="15"/>
      <c r="D390" s="1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5"/>
      <c r="B391" s="15"/>
      <c r="C391" s="15"/>
      <c r="D391" s="1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5"/>
      <c r="B392" s="15"/>
      <c r="C392" s="15"/>
      <c r="D392" s="1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5"/>
      <c r="B393" s="15"/>
      <c r="C393" s="15"/>
      <c r="D393" s="1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5"/>
      <c r="B394" s="15"/>
      <c r="C394" s="15"/>
      <c r="D394" s="1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5"/>
      <c r="B395" s="15"/>
      <c r="C395" s="15"/>
      <c r="D395" s="1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5"/>
      <c r="B396" s="15"/>
      <c r="C396" s="15"/>
      <c r="D396" s="1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5"/>
      <c r="B397" s="15"/>
      <c r="C397" s="15"/>
      <c r="D397" s="1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5"/>
      <c r="B398" s="15"/>
      <c r="C398" s="15"/>
      <c r="D398" s="1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5"/>
      <c r="B399" s="15"/>
      <c r="C399" s="15"/>
      <c r="D399" s="1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5"/>
      <c r="B400" s="15"/>
      <c r="C400" s="15"/>
      <c r="D400" s="1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5"/>
      <c r="B401" s="15"/>
      <c r="C401" s="15"/>
      <c r="D401" s="1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5"/>
      <c r="B402" s="15"/>
      <c r="C402" s="15"/>
      <c r="D402" s="1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5"/>
      <c r="B403" s="15"/>
      <c r="C403" s="15"/>
      <c r="D403" s="1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5"/>
      <c r="B404" s="15"/>
      <c r="C404" s="15"/>
      <c r="D404" s="1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5"/>
      <c r="B405" s="15"/>
      <c r="C405" s="15"/>
      <c r="D405" s="1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5"/>
      <c r="B406" s="15"/>
      <c r="C406" s="15"/>
      <c r="D406" s="1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5"/>
      <c r="B407" s="15"/>
      <c r="C407" s="15"/>
      <c r="D407" s="1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5"/>
      <c r="B408" s="15"/>
      <c r="C408" s="15"/>
      <c r="D408" s="1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5"/>
      <c r="B409" s="15"/>
      <c r="C409" s="15"/>
      <c r="D409" s="1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5"/>
      <c r="B410" s="15"/>
      <c r="C410" s="15"/>
      <c r="D410" s="1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5"/>
      <c r="B411" s="15"/>
      <c r="C411" s="15"/>
      <c r="D411" s="1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5"/>
      <c r="B412" s="15"/>
      <c r="C412" s="15"/>
      <c r="D412" s="1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5"/>
      <c r="B413" s="15"/>
      <c r="C413" s="15"/>
      <c r="D413" s="1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5"/>
      <c r="B414" s="15"/>
      <c r="C414" s="15"/>
      <c r="D414" s="1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5"/>
      <c r="B415" s="15"/>
      <c r="C415" s="15"/>
      <c r="D415" s="1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5"/>
      <c r="B416" s="15"/>
      <c r="C416" s="15"/>
      <c r="D416" s="1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5"/>
      <c r="B417" s="15"/>
      <c r="C417" s="15"/>
      <c r="D417" s="1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5"/>
      <c r="B418" s="15"/>
      <c r="C418" s="15"/>
      <c r="D418" s="1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5"/>
      <c r="B419" s="15"/>
      <c r="C419" s="15"/>
      <c r="D419" s="1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5"/>
      <c r="B420" s="15"/>
      <c r="C420" s="15"/>
      <c r="D420" s="1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5"/>
      <c r="B421" s="15"/>
      <c r="C421" s="15"/>
      <c r="D421" s="1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5"/>
      <c r="B422" s="15"/>
      <c r="C422" s="15"/>
      <c r="D422" s="1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5"/>
      <c r="B423" s="15"/>
      <c r="C423" s="15"/>
      <c r="D423" s="1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5"/>
      <c r="B424" s="15"/>
      <c r="C424" s="15"/>
      <c r="D424" s="1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5"/>
      <c r="B425" s="15"/>
      <c r="C425" s="15"/>
      <c r="D425" s="1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5"/>
      <c r="B426" s="15"/>
      <c r="C426" s="15"/>
      <c r="D426" s="1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5"/>
      <c r="B427" s="15"/>
      <c r="C427" s="15"/>
      <c r="D427" s="1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5"/>
      <c r="B428" s="15"/>
      <c r="C428" s="15"/>
      <c r="D428" s="1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5"/>
      <c r="B429" s="15"/>
      <c r="C429" s="15"/>
      <c r="D429" s="1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5"/>
      <c r="B430" s="15"/>
      <c r="C430" s="15"/>
      <c r="D430" s="1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5"/>
      <c r="B431" s="15"/>
      <c r="C431" s="15"/>
      <c r="D431" s="1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5"/>
      <c r="B432" s="15"/>
      <c r="C432" s="15"/>
      <c r="D432" s="1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5"/>
      <c r="B433" s="15"/>
      <c r="C433" s="15"/>
      <c r="D433" s="1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5"/>
      <c r="B434" s="15"/>
      <c r="C434" s="15"/>
      <c r="D434" s="1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5"/>
      <c r="B435" s="15"/>
      <c r="C435" s="15"/>
      <c r="D435" s="1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5"/>
      <c r="B436" s="15"/>
      <c r="C436" s="15"/>
      <c r="D436" s="1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5"/>
      <c r="B437" s="15"/>
      <c r="C437" s="15"/>
      <c r="D437" s="1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5"/>
      <c r="B438" s="15"/>
      <c r="C438" s="15"/>
      <c r="D438" s="1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5"/>
      <c r="B439" s="15"/>
      <c r="C439" s="15"/>
      <c r="D439" s="1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5"/>
      <c r="B440" s="15"/>
      <c r="C440" s="15"/>
      <c r="D440" s="1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5"/>
      <c r="B441" s="15"/>
      <c r="C441" s="15"/>
      <c r="D441" s="1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5"/>
      <c r="B442" s="15"/>
      <c r="C442" s="15"/>
      <c r="D442" s="1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5"/>
      <c r="B443" s="15"/>
      <c r="C443" s="15"/>
      <c r="D443" s="1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5"/>
      <c r="B444" s="15"/>
      <c r="C444" s="15"/>
      <c r="D444" s="1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5"/>
      <c r="B445" s="15"/>
      <c r="C445" s="15"/>
      <c r="D445" s="1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5"/>
      <c r="B446" s="15"/>
      <c r="C446" s="15"/>
      <c r="D446" s="1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5"/>
      <c r="B447" s="15"/>
      <c r="C447" s="15"/>
      <c r="D447" s="1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5"/>
      <c r="B448" s="15"/>
      <c r="C448" s="15"/>
      <c r="D448" s="1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5"/>
      <c r="B449" s="15"/>
      <c r="C449" s="15"/>
      <c r="D449" s="1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5"/>
      <c r="B450" s="15"/>
      <c r="C450" s="15"/>
      <c r="D450" s="1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5"/>
      <c r="B451" s="15"/>
      <c r="C451" s="15"/>
      <c r="D451" s="1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5"/>
      <c r="B452" s="15"/>
      <c r="C452" s="15"/>
      <c r="D452" s="1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5"/>
      <c r="B453" s="15"/>
      <c r="C453" s="15"/>
      <c r="D453" s="1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5"/>
      <c r="B454" s="15"/>
      <c r="C454" s="15"/>
      <c r="D454" s="1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5"/>
      <c r="B455" s="15"/>
      <c r="C455" s="15"/>
      <c r="D455" s="1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5"/>
      <c r="B456" s="15"/>
      <c r="C456" s="15"/>
      <c r="D456" s="1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5"/>
      <c r="B457" s="15"/>
      <c r="C457" s="15"/>
      <c r="D457" s="1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5"/>
      <c r="B458" s="15"/>
      <c r="C458" s="15"/>
      <c r="D458" s="1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5"/>
      <c r="B459" s="15"/>
      <c r="C459" s="15"/>
      <c r="D459" s="1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5"/>
      <c r="B460" s="15"/>
      <c r="C460" s="15"/>
      <c r="D460" s="1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5"/>
      <c r="B461" s="15"/>
      <c r="C461" s="15"/>
      <c r="D461" s="1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5"/>
      <c r="B462" s="15"/>
      <c r="C462" s="15"/>
      <c r="D462" s="1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5"/>
      <c r="B463" s="15"/>
      <c r="C463" s="15"/>
      <c r="D463" s="1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5"/>
      <c r="B464" s="15"/>
      <c r="C464" s="15"/>
      <c r="D464" s="1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5"/>
      <c r="B465" s="15"/>
      <c r="C465" s="15"/>
      <c r="D465" s="1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5"/>
      <c r="B466" s="15"/>
      <c r="C466" s="15"/>
      <c r="D466" s="1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5"/>
      <c r="B467" s="15"/>
      <c r="C467" s="15"/>
      <c r="D467" s="1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5"/>
      <c r="B468" s="15"/>
      <c r="C468" s="15"/>
      <c r="D468" s="1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5"/>
      <c r="B469" s="15"/>
      <c r="C469" s="15"/>
      <c r="D469" s="1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5"/>
      <c r="B470" s="15"/>
      <c r="C470" s="15"/>
      <c r="D470" s="1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5"/>
      <c r="B471" s="15"/>
      <c r="C471" s="15"/>
      <c r="D471" s="1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5"/>
      <c r="B472" s="15"/>
      <c r="C472" s="15"/>
      <c r="D472" s="1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5"/>
      <c r="B473" s="15"/>
      <c r="C473" s="15"/>
      <c r="D473" s="1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5"/>
      <c r="B474" s="15"/>
      <c r="C474" s="15"/>
      <c r="D474" s="1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5"/>
      <c r="B475" s="15"/>
      <c r="C475" s="15"/>
      <c r="D475" s="1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5"/>
      <c r="B476" s="15"/>
      <c r="C476" s="15"/>
      <c r="D476" s="1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5"/>
      <c r="B477" s="15"/>
      <c r="C477" s="15"/>
      <c r="D477" s="1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5"/>
      <c r="B478" s="15"/>
      <c r="C478" s="15"/>
      <c r="D478" s="1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5"/>
      <c r="B479" s="15"/>
      <c r="C479" s="15"/>
      <c r="D479" s="1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5"/>
      <c r="B480" s="15"/>
      <c r="C480" s="15"/>
      <c r="D480" s="1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5"/>
      <c r="B481" s="15"/>
      <c r="C481" s="15"/>
      <c r="D481" s="1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5"/>
      <c r="B482" s="15"/>
      <c r="C482" s="15"/>
      <c r="D482" s="1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5"/>
      <c r="B483" s="15"/>
      <c r="C483" s="15"/>
      <c r="D483" s="1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5"/>
      <c r="B484" s="15"/>
      <c r="C484" s="15"/>
      <c r="D484" s="1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5"/>
      <c r="B485" s="15"/>
      <c r="C485" s="15"/>
      <c r="D485" s="1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5"/>
      <c r="B486" s="15"/>
      <c r="C486" s="15"/>
      <c r="D486" s="1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5"/>
      <c r="B487" s="15"/>
      <c r="C487" s="15"/>
      <c r="D487" s="1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5"/>
      <c r="B488" s="15"/>
      <c r="C488" s="15"/>
      <c r="D488" s="1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5"/>
      <c r="B489" s="15"/>
      <c r="C489" s="15"/>
      <c r="D489" s="1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5"/>
      <c r="B490" s="15"/>
      <c r="C490" s="15"/>
      <c r="D490" s="1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5"/>
      <c r="B491" s="15"/>
      <c r="C491" s="15"/>
      <c r="D491" s="1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5"/>
      <c r="B492" s="15"/>
      <c r="C492" s="15"/>
      <c r="D492" s="1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5"/>
      <c r="B493" s="15"/>
      <c r="C493" s="15"/>
      <c r="D493" s="1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5"/>
      <c r="B494" s="15"/>
      <c r="C494" s="15"/>
      <c r="D494" s="1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5"/>
      <c r="B495" s="15"/>
      <c r="C495" s="15"/>
      <c r="D495" s="1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5"/>
      <c r="B496" s="15"/>
      <c r="C496" s="15"/>
      <c r="D496" s="1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5"/>
      <c r="B497" s="15"/>
      <c r="C497" s="15"/>
      <c r="D497" s="1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5"/>
      <c r="B498" s="15"/>
      <c r="C498" s="15"/>
      <c r="D498" s="1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5"/>
      <c r="B499" s="15"/>
      <c r="C499" s="15"/>
      <c r="D499" s="1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5"/>
      <c r="B500" s="15"/>
      <c r="C500" s="15"/>
      <c r="D500" s="1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5"/>
      <c r="B501" s="15"/>
      <c r="C501" s="15"/>
      <c r="D501" s="1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5"/>
      <c r="B502" s="15"/>
      <c r="C502" s="15"/>
      <c r="D502" s="1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5"/>
      <c r="B503" s="15"/>
      <c r="C503" s="15"/>
      <c r="D503" s="1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5"/>
      <c r="B504" s="15"/>
      <c r="C504" s="15"/>
      <c r="D504" s="1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5"/>
      <c r="B505" s="15"/>
      <c r="C505" s="15"/>
      <c r="D505" s="1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5"/>
      <c r="B506" s="15"/>
      <c r="C506" s="15"/>
      <c r="D506" s="1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5"/>
      <c r="B507" s="15"/>
      <c r="C507" s="15"/>
      <c r="D507" s="1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5"/>
      <c r="B508" s="15"/>
      <c r="C508" s="15"/>
      <c r="D508" s="1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5"/>
      <c r="B509" s="15"/>
      <c r="C509" s="15"/>
      <c r="D509" s="1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5"/>
      <c r="B510" s="15"/>
      <c r="C510" s="15"/>
      <c r="D510" s="1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5"/>
      <c r="B511" s="15"/>
      <c r="C511" s="15"/>
      <c r="D511" s="1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5"/>
      <c r="B512" s="15"/>
      <c r="C512" s="15"/>
      <c r="D512" s="1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5"/>
      <c r="B513" s="15"/>
      <c r="C513" s="15"/>
      <c r="D513" s="1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5"/>
      <c r="B514" s="15"/>
      <c r="C514" s="15"/>
      <c r="D514" s="1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5"/>
      <c r="B515" s="15"/>
      <c r="C515" s="15"/>
      <c r="D515" s="1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5"/>
      <c r="B516" s="15"/>
      <c r="C516" s="15"/>
      <c r="D516" s="1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5"/>
      <c r="B517" s="15"/>
      <c r="C517" s="15"/>
      <c r="D517" s="1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5"/>
      <c r="B518" s="15"/>
      <c r="C518" s="15"/>
      <c r="D518" s="1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5"/>
      <c r="B519" s="15"/>
      <c r="C519" s="15"/>
      <c r="D519" s="1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5"/>
      <c r="B520" s="15"/>
      <c r="C520" s="15"/>
      <c r="D520" s="1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5"/>
      <c r="B521" s="15"/>
      <c r="C521" s="15"/>
      <c r="D521" s="1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5"/>
      <c r="B522" s="15"/>
      <c r="C522" s="15"/>
      <c r="D522" s="1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5"/>
      <c r="B523" s="15"/>
      <c r="C523" s="15"/>
      <c r="D523" s="1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5"/>
      <c r="B524" s="15"/>
      <c r="C524" s="15"/>
      <c r="D524" s="1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5"/>
      <c r="B525" s="15"/>
      <c r="C525" s="15"/>
      <c r="D525" s="1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5"/>
      <c r="B526" s="15"/>
      <c r="C526" s="15"/>
      <c r="D526" s="1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5"/>
      <c r="B527" s="15"/>
      <c r="C527" s="15"/>
      <c r="D527" s="1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5"/>
      <c r="B528" s="15"/>
      <c r="C528" s="15"/>
      <c r="D528" s="1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5"/>
      <c r="B529" s="15"/>
      <c r="C529" s="15"/>
      <c r="D529" s="1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5"/>
      <c r="B530" s="15"/>
      <c r="C530" s="15"/>
      <c r="D530" s="1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5"/>
      <c r="B531" s="15"/>
      <c r="C531" s="15"/>
      <c r="D531" s="1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5"/>
      <c r="B532" s="15"/>
      <c r="C532" s="15"/>
      <c r="D532" s="1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5"/>
      <c r="B533" s="15"/>
      <c r="C533" s="15"/>
      <c r="D533" s="1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5"/>
      <c r="B534" s="15"/>
      <c r="C534" s="15"/>
      <c r="D534" s="1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5"/>
      <c r="B535" s="15"/>
      <c r="C535" s="15"/>
      <c r="D535" s="1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5"/>
      <c r="B536" s="15"/>
      <c r="C536" s="15"/>
      <c r="D536" s="1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5"/>
      <c r="B537" s="15"/>
      <c r="C537" s="15"/>
      <c r="D537" s="1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5"/>
      <c r="B538" s="15"/>
      <c r="C538" s="15"/>
      <c r="D538" s="1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5"/>
      <c r="B539" s="15"/>
      <c r="C539" s="15"/>
      <c r="D539" s="1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5"/>
      <c r="B540" s="15"/>
      <c r="C540" s="15"/>
      <c r="D540" s="1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5"/>
      <c r="B541" s="15"/>
      <c r="C541" s="15"/>
      <c r="D541" s="1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5"/>
      <c r="B542" s="15"/>
      <c r="C542" s="15"/>
      <c r="D542" s="1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5"/>
      <c r="B543" s="15"/>
      <c r="C543" s="15"/>
      <c r="D543" s="1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5"/>
      <c r="B544" s="15"/>
      <c r="C544" s="15"/>
      <c r="D544" s="1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5"/>
      <c r="B545" s="15"/>
      <c r="C545" s="15"/>
      <c r="D545" s="1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5"/>
      <c r="B546" s="15"/>
      <c r="C546" s="15"/>
      <c r="D546" s="1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5"/>
      <c r="B547" s="15"/>
      <c r="C547" s="15"/>
      <c r="D547" s="1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5"/>
      <c r="B548" s="15"/>
      <c r="C548" s="15"/>
      <c r="D548" s="1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5"/>
      <c r="B549" s="15"/>
      <c r="C549" s="15"/>
      <c r="D549" s="1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5"/>
      <c r="B550" s="15"/>
      <c r="C550" s="15"/>
      <c r="D550" s="1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5"/>
      <c r="B551" s="15"/>
      <c r="C551" s="15"/>
      <c r="D551" s="1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5"/>
      <c r="B552" s="15"/>
      <c r="C552" s="15"/>
      <c r="D552" s="1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5"/>
      <c r="B553" s="15"/>
      <c r="C553" s="15"/>
      <c r="D553" s="1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5"/>
      <c r="B554" s="15"/>
      <c r="C554" s="15"/>
      <c r="D554" s="1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5"/>
      <c r="B555" s="15"/>
      <c r="C555" s="15"/>
      <c r="D555" s="1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5"/>
      <c r="B556" s="15"/>
      <c r="C556" s="15"/>
      <c r="D556" s="1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5"/>
      <c r="B557" s="15"/>
      <c r="C557" s="15"/>
      <c r="D557" s="1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5"/>
      <c r="B558" s="15"/>
      <c r="C558" s="15"/>
      <c r="D558" s="1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5"/>
      <c r="B559" s="15"/>
      <c r="C559" s="15"/>
      <c r="D559" s="1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5"/>
      <c r="B560" s="15"/>
      <c r="C560" s="15"/>
      <c r="D560" s="1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5"/>
      <c r="B561" s="15"/>
      <c r="C561" s="15"/>
      <c r="D561" s="1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5"/>
      <c r="B562" s="15"/>
      <c r="C562" s="15"/>
      <c r="D562" s="1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5"/>
      <c r="B563" s="15"/>
      <c r="C563" s="15"/>
      <c r="D563" s="1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5"/>
      <c r="B564" s="15"/>
      <c r="C564" s="15"/>
      <c r="D564" s="1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5"/>
      <c r="B565" s="15"/>
      <c r="C565" s="15"/>
      <c r="D565" s="1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5"/>
      <c r="B566" s="15"/>
      <c r="C566" s="15"/>
      <c r="D566" s="1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5"/>
      <c r="B567" s="15"/>
      <c r="C567" s="15"/>
      <c r="D567" s="1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5"/>
      <c r="B568" s="15"/>
      <c r="C568" s="15"/>
      <c r="D568" s="1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5"/>
      <c r="B569" s="15"/>
      <c r="C569" s="15"/>
      <c r="D569" s="1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5"/>
      <c r="B570" s="15"/>
      <c r="C570" s="15"/>
      <c r="D570" s="1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5"/>
      <c r="B571" s="15"/>
      <c r="C571" s="15"/>
      <c r="D571" s="1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5"/>
      <c r="B572" s="15"/>
      <c r="C572" s="15"/>
      <c r="D572" s="1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5"/>
      <c r="B573" s="15"/>
      <c r="C573" s="15"/>
      <c r="D573" s="1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5"/>
      <c r="B574" s="15"/>
      <c r="C574" s="15"/>
      <c r="D574" s="1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5"/>
      <c r="B575" s="15"/>
      <c r="C575" s="15"/>
      <c r="D575" s="1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5"/>
      <c r="B576" s="15"/>
      <c r="C576" s="15"/>
      <c r="D576" s="1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5"/>
      <c r="B577" s="15"/>
      <c r="C577" s="15"/>
      <c r="D577" s="1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5"/>
      <c r="B578" s="15"/>
      <c r="C578" s="15"/>
      <c r="D578" s="1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5"/>
      <c r="B579" s="15"/>
      <c r="C579" s="15"/>
      <c r="D579" s="1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5"/>
      <c r="B580" s="15"/>
      <c r="C580" s="15"/>
      <c r="D580" s="1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5"/>
      <c r="B581" s="15"/>
      <c r="C581" s="15"/>
      <c r="D581" s="1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5"/>
      <c r="B582" s="15"/>
      <c r="C582" s="15"/>
      <c r="D582" s="1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5"/>
      <c r="B583" s="15"/>
      <c r="C583" s="15"/>
      <c r="D583" s="1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5"/>
      <c r="B584" s="15"/>
      <c r="C584" s="15"/>
      <c r="D584" s="1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5"/>
      <c r="B585" s="15"/>
      <c r="C585" s="15"/>
      <c r="D585" s="1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5"/>
      <c r="B586" s="15"/>
      <c r="C586" s="15"/>
      <c r="D586" s="1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5"/>
      <c r="B587" s="15"/>
      <c r="C587" s="15"/>
      <c r="D587" s="1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5"/>
      <c r="B588" s="15"/>
      <c r="C588" s="15"/>
      <c r="D588" s="1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5"/>
      <c r="B589" s="15"/>
      <c r="C589" s="15"/>
      <c r="D589" s="1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5"/>
      <c r="B590" s="15"/>
      <c r="C590" s="15"/>
      <c r="D590" s="1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5"/>
      <c r="B591" s="15"/>
      <c r="C591" s="15"/>
      <c r="D591" s="1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5"/>
      <c r="B592" s="15"/>
      <c r="C592" s="15"/>
      <c r="D592" s="1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5"/>
      <c r="B593" s="15"/>
      <c r="C593" s="15"/>
      <c r="D593" s="1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5"/>
      <c r="B594" s="15"/>
      <c r="C594" s="15"/>
      <c r="D594" s="1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5"/>
      <c r="B595" s="15"/>
      <c r="C595" s="15"/>
      <c r="D595" s="1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5"/>
      <c r="B596" s="15"/>
      <c r="C596" s="15"/>
      <c r="D596" s="1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5"/>
      <c r="B597" s="15"/>
      <c r="C597" s="15"/>
      <c r="D597" s="1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5"/>
      <c r="B598" s="15"/>
      <c r="C598" s="15"/>
      <c r="D598" s="1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5"/>
      <c r="B599" s="15"/>
      <c r="C599" s="15"/>
      <c r="D599" s="1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5"/>
      <c r="B600" s="15"/>
      <c r="C600" s="15"/>
      <c r="D600" s="1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5"/>
      <c r="B601" s="15"/>
      <c r="C601" s="15"/>
      <c r="D601" s="1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5"/>
      <c r="B602" s="15"/>
      <c r="C602" s="15"/>
      <c r="D602" s="1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5"/>
      <c r="B603" s="15"/>
      <c r="C603" s="15"/>
      <c r="D603" s="1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5"/>
      <c r="B604" s="15"/>
      <c r="C604" s="15"/>
      <c r="D604" s="1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5"/>
      <c r="B605" s="15"/>
      <c r="C605" s="15"/>
      <c r="D605" s="1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5"/>
      <c r="B606" s="15"/>
      <c r="C606" s="15"/>
      <c r="D606" s="1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5"/>
      <c r="B607" s="15"/>
      <c r="C607" s="15"/>
      <c r="D607" s="1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5"/>
      <c r="B608" s="15"/>
      <c r="C608" s="15"/>
      <c r="D608" s="1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5"/>
      <c r="B609" s="15"/>
      <c r="C609" s="15"/>
      <c r="D609" s="1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5"/>
      <c r="B610" s="15"/>
      <c r="C610" s="15"/>
      <c r="D610" s="1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5"/>
      <c r="B611" s="15"/>
      <c r="C611" s="15"/>
      <c r="D611" s="1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5"/>
      <c r="B612" s="15"/>
      <c r="C612" s="15"/>
      <c r="D612" s="1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5"/>
      <c r="B613" s="15"/>
      <c r="C613" s="15"/>
      <c r="D613" s="1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5"/>
      <c r="B614" s="15"/>
      <c r="C614" s="15"/>
      <c r="D614" s="1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5"/>
      <c r="B615" s="15"/>
      <c r="C615" s="15"/>
      <c r="D615" s="1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5"/>
      <c r="B616" s="15"/>
      <c r="C616" s="15"/>
      <c r="D616" s="1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5"/>
      <c r="B617" s="15"/>
      <c r="C617" s="15"/>
      <c r="D617" s="1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5"/>
      <c r="B618" s="15"/>
      <c r="C618" s="15"/>
      <c r="D618" s="1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5"/>
      <c r="B619" s="15"/>
      <c r="C619" s="15"/>
      <c r="D619" s="1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5"/>
      <c r="B620" s="15"/>
      <c r="C620" s="15"/>
      <c r="D620" s="1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5"/>
      <c r="B621" s="15"/>
      <c r="C621" s="15"/>
      <c r="D621" s="1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5"/>
      <c r="B622" s="15"/>
      <c r="C622" s="15"/>
      <c r="D622" s="1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5"/>
      <c r="B623" s="15"/>
      <c r="C623" s="15"/>
      <c r="D623" s="1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5"/>
      <c r="B624" s="15"/>
      <c r="C624" s="15"/>
      <c r="D624" s="1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5"/>
      <c r="B625" s="15"/>
      <c r="C625" s="15"/>
      <c r="D625" s="1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5"/>
      <c r="B626" s="15"/>
      <c r="C626" s="15"/>
      <c r="D626" s="1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5"/>
      <c r="B627" s="15"/>
      <c r="C627" s="15"/>
      <c r="D627" s="1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5"/>
      <c r="B628" s="15"/>
      <c r="C628" s="15"/>
      <c r="D628" s="1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5"/>
      <c r="B629" s="15"/>
      <c r="C629" s="15"/>
      <c r="D629" s="1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5"/>
      <c r="B630" s="15"/>
      <c r="C630" s="15"/>
      <c r="D630" s="1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5"/>
      <c r="B631" s="15"/>
      <c r="C631" s="15"/>
      <c r="D631" s="1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5"/>
      <c r="B632" s="15"/>
      <c r="C632" s="15"/>
      <c r="D632" s="1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5"/>
      <c r="B633" s="15"/>
      <c r="C633" s="15"/>
      <c r="D633" s="1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5"/>
      <c r="B634" s="15"/>
      <c r="C634" s="15"/>
      <c r="D634" s="1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5"/>
      <c r="B635" s="15"/>
      <c r="C635" s="15"/>
      <c r="D635" s="1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5"/>
      <c r="B636" s="15"/>
      <c r="C636" s="15"/>
      <c r="D636" s="1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5"/>
      <c r="B637" s="15"/>
      <c r="C637" s="15"/>
      <c r="D637" s="1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5"/>
      <c r="B638" s="15"/>
      <c r="C638" s="15"/>
      <c r="D638" s="1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5"/>
      <c r="B639" s="15"/>
      <c r="C639" s="15"/>
      <c r="D639" s="1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5"/>
      <c r="B640" s="15"/>
      <c r="C640" s="15"/>
      <c r="D640" s="1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5"/>
      <c r="B641" s="15"/>
      <c r="C641" s="15"/>
      <c r="D641" s="1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5"/>
      <c r="B642" s="15"/>
      <c r="C642" s="15"/>
      <c r="D642" s="1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5"/>
      <c r="B643" s="15"/>
      <c r="C643" s="15"/>
      <c r="D643" s="1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5"/>
      <c r="B644" s="15"/>
      <c r="C644" s="15"/>
      <c r="D644" s="1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5"/>
      <c r="B645" s="15"/>
      <c r="C645" s="15"/>
      <c r="D645" s="1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5"/>
      <c r="B646" s="15"/>
      <c r="C646" s="15"/>
      <c r="D646" s="1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5"/>
      <c r="B647" s="15"/>
      <c r="C647" s="15"/>
      <c r="D647" s="1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5"/>
      <c r="B648" s="15"/>
      <c r="C648" s="15"/>
      <c r="D648" s="1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5"/>
      <c r="B649" s="15"/>
      <c r="C649" s="15"/>
      <c r="D649" s="1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5"/>
      <c r="B650" s="15"/>
      <c r="C650" s="15"/>
      <c r="D650" s="1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5"/>
      <c r="B651" s="15"/>
      <c r="C651" s="15"/>
      <c r="D651" s="1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5"/>
      <c r="B652" s="15"/>
      <c r="C652" s="15"/>
      <c r="D652" s="1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5"/>
      <c r="B653" s="15"/>
      <c r="C653" s="15"/>
      <c r="D653" s="1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5"/>
      <c r="B654" s="15"/>
      <c r="C654" s="15"/>
      <c r="D654" s="1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5"/>
      <c r="B655" s="15"/>
      <c r="C655" s="15"/>
      <c r="D655" s="1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5"/>
      <c r="B656" s="15"/>
      <c r="C656" s="15"/>
      <c r="D656" s="1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5"/>
      <c r="B657" s="15"/>
      <c r="C657" s="15"/>
      <c r="D657" s="1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5"/>
      <c r="B658" s="15"/>
      <c r="C658" s="15"/>
      <c r="D658" s="1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5"/>
      <c r="B659" s="15"/>
      <c r="C659" s="15"/>
      <c r="D659" s="1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5"/>
      <c r="B660" s="15"/>
      <c r="C660" s="15"/>
      <c r="D660" s="1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5"/>
      <c r="B661" s="15"/>
      <c r="C661" s="15"/>
      <c r="D661" s="1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5"/>
      <c r="B662" s="15"/>
      <c r="C662" s="15"/>
      <c r="D662" s="1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5"/>
      <c r="B663" s="15"/>
      <c r="C663" s="15"/>
      <c r="D663" s="1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5"/>
      <c r="B664" s="15"/>
      <c r="C664" s="15"/>
      <c r="D664" s="1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5"/>
      <c r="B665" s="15"/>
      <c r="C665" s="15"/>
      <c r="D665" s="1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5"/>
      <c r="B666" s="15"/>
      <c r="C666" s="15"/>
      <c r="D666" s="1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5"/>
      <c r="B667" s="15"/>
      <c r="C667" s="15"/>
      <c r="D667" s="1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5"/>
      <c r="B668" s="15"/>
      <c r="C668" s="15"/>
      <c r="D668" s="1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5"/>
      <c r="B669" s="15"/>
      <c r="C669" s="15"/>
      <c r="D669" s="1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5"/>
      <c r="B670" s="15"/>
      <c r="C670" s="15"/>
      <c r="D670" s="1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5"/>
      <c r="B671" s="15"/>
      <c r="C671" s="15"/>
      <c r="D671" s="1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5"/>
      <c r="B672" s="15"/>
      <c r="C672" s="15"/>
      <c r="D672" s="1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5"/>
      <c r="B673" s="15"/>
      <c r="C673" s="15"/>
      <c r="D673" s="1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5"/>
      <c r="B674" s="15"/>
      <c r="C674" s="15"/>
      <c r="D674" s="1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5"/>
      <c r="B675" s="15"/>
      <c r="C675" s="15"/>
      <c r="D675" s="1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5"/>
      <c r="B676" s="15"/>
      <c r="C676" s="15"/>
      <c r="D676" s="1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5"/>
      <c r="B677" s="15"/>
      <c r="C677" s="15"/>
      <c r="D677" s="1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5"/>
      <c r="B678" s="15"/>
      <c r="C678" s="15"/>
      <c r="D678" s="1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5"/>
      <c r="B679" s="15"/>
      <c r="C679" s="15"/>
      <c r="D679" s="1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5"/>
      <c r="B680" s="15"/>
      <c r="C680" s="15"/>
      <c r="D680" s="1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5"/>
      <c r="B681" s="15"/>
      <c r="C681" s="15"/>
      <c r="D681" s="1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5"/>
      <c r="B682" s="15"/>
      <c r="C682" s="15"/>
      <c r="D682" s="1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5"/>
      <c r="B683" s="15"/>
      <c r="C683" s="15"/>
      <c r="D683" s="1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5"/>
      <c r="B684" s="15"/>
      <c r="C684" s="15"/>
      <c r="D684" s="1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5"/>
      <c r="B685" s="15"/>
      <c r="C685" s="15"/>
      <c r="D685" s="1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5"/>
      <c r="B686" s="15"/>
      <c r="C686" s="15"/>
      <c r="D686" s="1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5"/>
      <c r="B687" s="15"/>
      <c r="C687" s="15"/>
      <c r="D687" s="1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5"/>
      <c r="B688" s="15"/>
      <c r="C688" s="15"/>
      <c r="D688" s="1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5"/>
      <c r="B689" s="15"/>
      <c r="C689" s="15"/>
      <c r="D689" s="1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5"/>
      <c r="B690" s="15"/>
      <c r="C690" s="15"/>
      <c r="D690" s="1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5"/>
      <c r="B691" s="15"/>
      <c r="C691" s="15"/>
      <c r="D691" s="1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5"/>
      <c r="B692" s="15"/>
      <c r="C692" s="15"/>
      <c r="D692" s="1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5"/>
      <c r="B693" s="15"/>
      <c r="C693" s="15"/>
      <c r="D693" s="1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5"/>
      <c r="B694" s="15"/>
      <c r="C694" s="15"/>
      <c r="D694" s="1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5"/>
      <c r="B695" s="15"/>
      <c r="C695" s="15"/>
      <c r="D695" s="1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5"/>
      <c r="B696" s="15"/>
      <c r="C696" s="15"/>
      <c r="D696" s="1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5"/>
      <c r="B697" s="15"/>
      <c r="C697" s="15"/>
      <c r="D697" s="1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5"/>
      <c r="B698" s="15"/>
      <c r="C698" s="15"/>
      <c r="D698" s="1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5"/>
      <c r="B699" s="15"/>
      <c r="C699" s="15"/>
      <c r="D699" s="1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5"/>
      <c r="B700" s="15"/>
      <c r="C700" s="15"/>
      <c r="D700" s="1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5"/>
      <c r="B701" s="15"/>
      <c r="C701" s="15"/>
      <c r="D701" s="1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5"/>
      <c r="B702" s="15"/>
      <c r="C702" s="15"/>
      <c r="D702" s="1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5"/>
      <c r="B703" s="15"/>
      <c r="C703" s="15"/>
      <c r="D703" s="1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5"/>
      <c r="B704" s="15"/>
      <c r="C704" s="15"/>
      <c r="D704" s="1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5"/>
      <c r="B705" s="15"/>
      <c r="C705" s="15"/>
      <c r="D705" s="1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5"/>
      <c r="B706" s="15"/>
      <c r="C706" s="15"/>
      <c r="D706" s="1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5"/>
      <c r="B707" s="15"/>
      <c r="C707" s="15"/>
      <c r="D707" s="1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5"/>
      <c r="B708" s="15"/>
      <c r="C708" s="15"/>
      <c r="D708" s="1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5"/>
      <c r="B709" s="15"/>
      <c r="C709" s="15"/>
      <c r="D709" s="1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5"/>
      <c r="B710" s="15"/>
      <c r="C710" s="15"/>
      <c r="D710" s="1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5"/>
      <c r="B711" s="15"/>
      <c r="C711" s="15"/>
      <c r="D711" s="1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5"/>
      <c r="B712" s="15"/>
      <c r="C712" s="15"/>
      <c r="D712" s="1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5"/>
      <c r="B713" s="15"/>
      <c r="C713" s="15"/>
      <c r="D713" s="1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5"/>
      <c r="B714" s="15"/>
      <c r="C714" s="15"/>
      <c r="D714" s="1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5"/>
      <c r="B715" s="15"/>
      <c r="C715" s="15"/>
      <c r="D715" s="1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5"/>
      <c r="B716" s="15"/>
      <c r="C716" s="15"/>
      <c r="D716" s="1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5"/>
      <c r="B717" s="15"/>
      <c r="C717" s="15"/>
      <c r="D717" s="1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5"/>
      <c r="B718" s="15"/>
      <c r="C718" s="15"/>
      <c r="D718" s="1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5"/>
      <c r="B719" s="15"/>
      <c r="C719" s="15"/>
      <c r="D719" s="1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5"/>
      <c r="B720" s="15"/>
      <c r="C720" s="15"/>
      <c r="D720" s="1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5"/>
      <c r="B721" s="15"/>
      <c r="C721" s="15"/>
      <c r="D721" s="1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5"/>
      <c r="B722" s="15"/>
      <c r="C722" s="15"/>
      <c r="D722" s="1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5"/>
      <c r="B723" s="15"/>
      <c r="C723" s="15"/>
      <c r="D723" s="1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5"/>
      <c r="B724" s="15"/>
      <c r="C724" s="15"/>
      <c r="D724" s="1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5"/>
      <c r="B725" s="15"/>
      <c r="C725" s="15"/>
      <c r="D725" s="1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5"/>
      <c r="B726" s="15"/>
      <c r="C726" s="15"/>
      <c r="D726" s="1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5"/>
      <c r="B727" s="15"/>
      <c r="C727" s="15"/>
      <c r="D727" s="1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5"/>
      <c r="B728" s="15"/>
      <c r="C728" s="15"/>
      <c r="D728" s="1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5"/>
      <c r="B729" s="15"/>
      <c r="C729" s="15"/>
      <c r="D729" s="1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5"/>
      <c r="B730" s="15"/>
      <c r="C730" s="15"/>
      <c r="D730" s="1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5"/>
      <c r="B731" s="15"/>
      <c r="C731" s="15"/>
      <c r="D731" s="1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5"/>
      <c r="B732" s="15"/>
      <c r="C732" s="15"/>
      <c r="D732" s="1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5"/>
      <c r="B733" s="15"/>
      <c r="C733" s="15"/>
      <c r="D733" s="1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5"/>
      <c r="B734" s="15"/>
      <c r="C734" s="15"/>
      <c r="D734" s="1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5"/>
      <c r="B735" s="15"/>
      <c r="C735" s="15"/>
      <c r="D735" s="1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5"/>
      <c r="B736" s="15"/>
      <c r="C736" s="15"/>
      <c r="D736" s="1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5"/>
      <c r="B737" s="15"/>
      <c r="C737" s="15"/>
      <c r="D737" s="1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5"/>
      <c r="B738" s="15"/>
      <c r="C738" s="15"/>
      <c r="D738" s="1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5"/>
      <c r="B739" s="15"/>
      <c r="C739" s="15"/>
      <c r="D739" s="1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5"/>
      <c r="B740" s="15"/>
      <c r="C740" s="15"/>
      <c r="D740" s="1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5"/>
      <c r="B741" s="15"/>
      <c r="C741" s="15"/>
      <c r="D741" s="1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5"/>
      <c r="B742" s="15"/>
      <c r="C742" s="15"/>
      <c r="D742" s="1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5"/>
      <c r="B743" s="15"/>
      <c r="C743" s="15"/>
      <c r="D743" s="1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5"/>
      <c r="B744" s="15"/>
      <c r="C744" s="15"/>
      <c r="D744" s="1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5"/>
      <c r="B745" s="15"/>
      <c r="C745" s="15"/>
      <c r="D745" s="1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5"/>
      <c r="B746" s="15"/>
      <c r="C746" s="15"/>
      <c r="D746" s="1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5"/>
      <c r="B747" s="15"/>
      <c r="C747" s="15"/>
      <c r="D747" s="1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5"/>
      <c r="B748" s="15"/>
      <c r="C748" s="15"/>
      <c r="D748" s="1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5"/>
      <c r="B749" s="15"/>
      <c r="C749" s="15"/>
      <c r="D749" s="1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5"/>
      <c r="B750" s="15"/>
      <c r="C750" s="15"/>
      <c r="D750" s="1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5"/>
      <c r="B751" s="15"/>
      <c r="C751" s="15"/>
      <c r="D751" s="1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5"/>
      <c r="B752" s="15"/>
      <c r="C752" s="15"/>
      <c r="D752" s="1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5"/>
      <c r="B753" s="15"/>
      <c r="C753" s="15"/>
      <c r="D753" s="1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5"/>
      <c r="B754" s="15"/>
      <c r="C754" s="15"/>
      <c r="D754" s="1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5"/>
      <c r="B755" s="15"/>
      <c r="C755" s="15"/>
      <c r="D755" s="1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5"/>
      <c r="B756" s="15"/>
      <c r="C756" s="15"/>
      <c r="D756" s="1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5"/>
      <c r="B757" s="15"/>
      <c r="C757" s="15"/>
      <c r="D757" s="1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5"/>
      <c r="B758" s="15"/>
      <c r="C758" s="15"/>
      <c r="D758" s="1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5"/>
      <c r="B759" s="15"/>
      <c r="C759" s="15"/>
      <c r="D759" s="1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5"/>
      <c r="B760" s="15"/>
      <c r="C760" s="15"/>
      <c r="D760" s="1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5"/>
      <c r="B761" s="15"/>
      <c r="C761" s="15"/>
      <c r="D761" s="1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5"/>
      <c r="B762" s="15"/>
      <c r="C762" s="15"/>
      <c r="D762" s="1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5"/>
      <c r="B763" s="15"/>
      <c r="C763" s="15"/>
      <c r="D763" s="1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5"/>
      <c r="B764" s="15"/>
      <c r="C764" s="15"/>
      <c r="D764" s="1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5"/>
      <c r="B765" s="15"/>
      <c r="C765" s="15"/>
      <c r="D765" s="1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5"/>
      <c r="B766" s="15"/>
      <c r="C766" s="15"/>
      <c r="D766" s="1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5"/>
      <c r="B767" s="15"/>
      <c r="C767" s="15"/>
      <c r="D767" s="1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5"/>
      <c r="B768" s="15"/>
      <c r="C768" s="15"/>
      <c r="D768" s="1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5"/>
      <c r="B769" s="15"/>
      <c r="C769" s="15"/>
      <c r="D769" s="1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5"/>
      <c r="B770" s="15"/>
      <c r="C770" s="15"/>
      <c r="D770" s="1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5"/>
      <c r="B771" s="15"/>
      <c r="C771" s="15"/>
      <c r="D771" s="1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5"/>
      <c r="B772" s="15"/>
      <c r="C772" s="15"/>
      <c r="D772" s="1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5"/>
      <c r="B773" s="15"/>
      <c r="C773" s="15"/>
      <c r="D773" s="1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5"/>
      <c r="B774" s="15"/>
      <c r="C774" s="15"/>
      <c r="D774" s="1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5"/>
      <c r="B775" s="15"/>
      <c r="C775" s="15"/>
      <c r="D775" s="1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5"/>
      <c r="B776" s="15"/>
      <c r="C776" s="15"/>
      <c r="D776" s="1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5"/>
      <c r="B777" s="15"/>
      <c r="C777" s="15"/>
      <c r="D777" s="1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5"/>
      <c r="B778" s="15"/>
      <c r="C778" s="15"/>
      <c r="D778" s="1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5"/>
      <c r="B779" s="15"/>
      <c r="C779" s="15"/>
      <c r="D779" s="1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5"/>
      <c r="B780" s="15"/>
      <c r="C780" s="15"/>
      <c r="D780" s="1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5"/>
      <c r="B781" s="15"/>
      <c r="C781" s="15"/>
      <c r="D781" s="1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5"/>
      <c r="B782" s="15"/>
      <c r="C782" s="15"/>
      <c r="D782" s="1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5"/>
      <c r="B783" s="15"/>
      <c r="C783" s="15"/>
      <c r="D783" s="1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5"/>
      <c r="B784" s="15"/>
      <c r="C784" s="15"/>
      <c r="D784" s="1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5"/>
      <c r="B785" s="15"/>
      <c r="C785" s="15"/>
      <c r="D785" s="1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5"/>
      <c r="B786" s="15"/>
      <c r="C786" s="15"/>
      <c r="D786" s="1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5"/>
      <c r="B787" s="15"/>
      <c r="C787" s="15"/>
      <c r="D787" s="1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5"/>
      <c r="B788" s="15"/>
      <c r="C788" s="15"/>
      <c r="D788" s="1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5"/>
      <c r="B789" s="15"/>
      <c r="C789" s="15"/>
      <c r="D789" s="1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5"/>
      <c r="B790" s="15"/>
      <c r="C790" s="15"/>
      <c r="D790" s="1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5"/>
      <c r="B791" s="15"/>
      <c r="C791" s="15"/>
      <c r="D791" s="1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5"/>
      <c r="B792" s="15"/>
      <c r="C792" s="15"/>
      <c r="D792" s="1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5"/>
      <c r="B793" s="15"/>
      <c r="C793" s="15"/>
      <c r="D793" s="1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5"/>
      <c r="B794" s="15"/>
      <c r="C794" s="15"/>
      <c r="D794" s="1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5"/>
      <c r="B795" s="15"/>
      <c r="C795" s="15"/>
      <c r="D795" s="1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5"/>
      <c r="B796" s="15"/>
      <c r="C796" s="15"/>
      <c r="D796" s="1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5"/>
      <c r="B797" s="15"/>
      <c r="C797" s="15"/>
      <c r="D797" s="1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5"/>
      <c r="B798" s="15"/>
      <c r="C798" s="15"/>
      <c r="D798" s="1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5"/>
      <c r="B799" s="15"/>
      <c r="C799" s="15"/>
      <c r="D799" s="1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5"/>
      <c r="B800" s="15"/>
      <c r="C800" s="15"/>
      <c r="D800" s="1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5"/>
      <c r="B801" s="15"/>
      <c r="C801" s="15"/>
      <c r="D801" s="1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5"/>
      <c r="B802" s="15"/>
      <c r="C802" s="15"/>
      <c r="D802" s="1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5"/>
      <c r="B803" s="15"/>
      <c r="C803" s="15"/>
      <c r="D803" s="1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5"/>
      <c r="B804" s="15"/>
      <c r="C804" s="15"/>
      <c r="D804" s="1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5"/>
      <c r="B805" s="15"/>
      <c r="C805" s="15"/>
      <c r="D805" s="1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5"/>
      <c r="B806" s="15"/>
      <c r="C806" s="15"/>
      <c r="D806" s="1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5"/>
      <c r="B807" s="15"/>
      <c r="C807" s="15"/>
      <c r="D807" s="1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5"/>
      <c r="B808" s="15"/>
      <c r="C808" s="15"/>
      <c r="D808" s="1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5"/>
      <c r="B809" s="15"/>
      <c r="C809" s="15"/>
      <c r="D809" s="1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5"/>
      <c r="B810" s="15"/>
      <c r="C810" s="15"/>
      <c r="D810" s="1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5"/>
      <c r="B811" s="15"/>
      <c r="C811" s="15"/>
      <c r="D811" s="1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5"/>
      <c r="B812" s="15"/>
      <c r="C812" s="15"/>
      <c r="D812" s="1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5"/>
      <c r="B813" s="15"/>
      <c r="C813" s="15"/>
      <c r="D813" s="1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5"/>
      <c r="B814" s="15"/>
      <c r="C814" s="15"/>
      <c r="D814" s="1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5"/>
      <c r="B815" s="15"/>
      <c r="C815" s="15"/>
      <c r="D815" s="1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5"/>
      <c r="B816" s="15"/>
      <c r="C816" s="15"/>
      <c r="D816" s="1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5"/>
      <c r="B817" s="15"/>
      <c r="C817" s="15"/>
      <c r="D817" s="1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5"/>
      <c r="B818" s="15"/>
      <c r="C818" s="15"/>
      <c r="D818" s="1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5"/>
      <c r="B819" s="15"/>
      <c r="C819" s="15"/>
      <c r="D819" s="1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5"/>
      <c r="B820" s="15"/>
      <c r="C820" s="15"/>
      <c r="D820" s="1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5"/>
      <c r="B821" s="15"/>
      <c r="C821" s="15"/>
      <c r="D821" s="1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5"/>
      <c r="B822" s="15"/>
      <c r="C822" s="15"/>
      <c r="D822" s="1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5"/>
      <c r="B823" s="15"/>
      <c r="C823" s="15"/>
      <c r="D823" s="1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5"/>
      <c r="B824" s="15"/>
      <c r="C824" s="15"/>
      <c r="D824" s="1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5"/>
      <c r="B825" s="15"/>
      <c r="C825" s="15"/>
      <c r="D825" s="1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5"/>
      <c r="B826" s="15"/>
      <c r="C826" s="15"/>
      <c r="D826" s="1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5"/>
      <c r="B827" s="15"/>
      <c r="C827" s="15"/>
      <c r="D827" s="1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5"/>
      <c r="B828" s="15"/>
      <c r="C828" s="15"/>
      <c r="D828" s="1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5"/>
      <c r="B829" s="15"/>
      <c r="C829" s="15"/>
      <c r="D829" s="1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5"/>
      <c r="B830" s="15"/>
      <c r="C830" s="15"/>
      <c r="D830" s="1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5"/>
      <c r="B831" s="15"/>
      <c r="C831" s="15"/>
      <c r="D831" s="1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5"/>
      <c r="B832" s="15"/>
      <c r="C832" s="15"/>
      <c r="D832" s="1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5"/>
      <c r="B833" s="15"/>
      <c r="C833" s="15"/>
      <c r="D833" s="1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5"/>
      <c r="B834" s="15"/>
      <c r="C834" s="15"/>
      <c r="D834" s="1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5"/>
      <c r="B835" s="15"/>
      <c r="C835" s="15"/>
      <c r="D835" s="1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5"/>
      <c r="B836" s="15"/>
      <c r="C836" s="15"/>
      <c r="D836" s="1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5"/>
      <c r="B837" s="15"/>
      <c r="C837" s="15"/>
      <c r="D837" s="1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5"/>
      <c r="B838" s="15"/>
      <c r="C838" s="15"/>
      <c r="D838" s="1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5"/>
      <c r="B839" s="15"/>
      <c r="C839" s="15"/>
      <c r="D839" s="1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5"/>
      <c r="B840" s="15"/>
      <c r="C840" s="15"/>
      <c r="D840" s="1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5"/>
      <c r="B841" s="15"/>
      <c r="C841" s="15"/>
      <c r="D841" s="1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5"/>
      <c r="B842" s="15"/>
      <c r="C842" s="15"/>
      <c r="D842" s="1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5"/>
      <c r="B843" s="15"/>
      <c r="C843" s="15"/>
      <c r="D843" s="1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5"/>
      <c r="B844" s="15"/>
      <c r="C844" s="15"/>
      <c r="D844" s="1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5"/>
      <c r="B845" s="15"/>
      <c r="C845" s="15"/>
      <c r="D845" s="1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5"/>
      <c r="B846" s="15"/>
      <c r="C846" s="15"/>
      <c r="D846" s="1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5"/>
      <c r="B847" s="15"/>
      <c r="C847" s="15"/>
      <c r="D847" s="1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5"/>
      <c r="B848" s="15"/>
      <c r="C848" s="15"/>
      <c r="D848" s="1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5"/>
      <c r="B849" s="15"/>
      <c r="C849" s="15"/>
      <c r="D849" s="1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5"/>
      <c r="B850" s="15"/>
      <c r="C850" s="15"/>
      <c r="D850" s="1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5"/>
      <c r="B851" s="15"/>
      <c r="C851" s="15"/>
      <c r="D851" s="1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5"/>
      <c r="B852" s="15"/>
      <c r="C852" s="15"/>
      <c r="D852" s="1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5"/>
      <c r="B853" s="15"/>
      <c r="C853" s="15"/>
      <c r="D853" s="1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5"/>
      <c r="B854" s="15"/>
      <c r="C854" s="15"/>
      <c r="D854" s="1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5"/>
      <c r="B855" s="15"/>
      <c r="C855" s="15"/>
      <c r="D855" s="1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5"/>
      <c r="B856" s="15"/>
      <c r="C856" s="15"/>
      <c r="D856" s="1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5"/>
      <c r="B857" s="15"/>
      <c r="C857" s="15"/>
      <c r="D857" s="1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5"/>
      <c r="B858" s="15"/>
      <c r="C858" s="15"/>
      <c r="D858" s="1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5"/>
      <c r="B859" s="15"/>
      <c r="C859" s="15"/>
      <c r="D859" s="1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5"/>
      <c r="B860" s="15"/>
      <c r="C860" s="15"/>
      <c r="D860" s="1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5"/>
      <c r="B861" s="15"/>
      <c r="C861" s="15"/>
      <c r="D861" s="1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5"/>
      <c r="B862" s="15"/>
      <c r="C862" s="15"/>
      <c r="D862" s="1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5"/>
      <c r="B863" s="15"/>
      <c r="C863" s="15"/>
      <c r="D863" s="1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5"/>
      <c r="B864" s="15"/>
      <c r="C864" s="15"/>
      <c r="D864" s="1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5"/>
      <c r="B865" s="15"/>
      <c r="C865" s="15"/>
      <c r="D865" s="1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5"/>
      <c r="B866" s="15"/>
      <c r="C866" s="15"/>
      <c r="D866" s="1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5"/>
      <c r="B867" s="15"/>
      <c r="C867" s="15"/>
      <c r="D867" s="1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5"/>
      <c r="B868" s="15"/>
      <c r="C868" s="15"/>
      <c r="D868" s="1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5"/>
      <c r="B869" s="15"/>
      <c r="C869" s="15"/>
      <c r="D869" s="1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5"/>
      <c r="B870" s="15"/>
      <c r="C870" s="15"/>
      <c r="D870" s="1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5"/>
      <c r="B871" s="15"/>
      <c r="C871" s="15"/>
      <c r="D871" s="1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5"/>
      <c r="B872" s="15"/>
      <c r="C872" s="15"/>
      <c r="D872" s="1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5"/>
      <c r="B873" s="15"/>
      <c r="C873" s="15"/>
      <c r="D873" s="1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5"/>
      <c r="B874" s="15"/>
      <c r="C874" s="15"/>
      <c r="D874" s="1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5"/>
      <c r="B875" s="15"/>
      <c r="C875" s="15"/>
      <c r="D875" s="1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5"/>
      <c r="B876" s="15"/>
      <c r="C876" s="15"/>
      <c r="D876" s="1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5"/>
      <c r="B877" s="15"/>
      <c r="C877" s="15"/>
      <c r="D877" s="1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5"/>
      <c r="B878" s="15"/>
      <c r="C878" s="15"/>
      <c r="D878" s="1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5"/>
      <c r="B879" s="15"/>
      <c r="C879" s="15"/>
      <c r="D879" s="1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5"/>
      <c r="B880" s="15"/>
      <c r="C880" s="15"/>
      <c r="D880" s="1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5"/>
      <c r="B881" s="15"/>
      <c r="C881" s="15"/>
      <c r="D881" s="1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5"/>
      <c r="B882" s="15"/>
      <c r="C882" s="15"/>
      <c r="D882" s="1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5"/>
      <c r="B883" s="15"/>
      <c r="C883" s="15"/>
      <c r="D883" s="1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5"/>
      <c r="B884" s="15"/>
      <c r="C884" s="15"/>
      <c r="D884" s="1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5"/>
      <c r="B885" s="15"/>
      <c r="C885" s="15"/>
      <c r="D885" s="1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5"/>
      <c r="B886" s="15"/>
      <c r="C886" s="15"/>
      <c r="D886" s="1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5"/>
      <c r="B887" s="15"/>
      <c r="C887" s="15"/>
      <c r="D887" s="1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5"/>
      <c r="B888" s="15"/>
      <c r="C888" s="15"/>
      <c r="D888" s="1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5"/>
      <c r="B889" s="15"/>
      <c r="C889" s="15"/>
      <c r="D889" s="1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5"/>
      <c r="B890" s="15"/>
      <c r="C890" s="15"/>
      <c r="D890" s="1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5"/>
      <c r="B891" s="15"/>
      <c r="C891" s="15"/>
      <c r="D891" s="1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5"/>
      <c r="B892" s="15"/>
      <c r="C892" s="15"/>
      <c r="D892" s="1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5"/>
      <c r="B893" s="15"/>
      <c r="C893" s="15"/>
      <c r="D893" s="1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5"/>
      <c r="B894" s="15"/>
      <c r="C894" s="15"/>
      <c r="D894" s="1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5"/>
      <c r="B895" s="15"/>
      <c r="C895" s="15"/>
      <c r="D895" s="1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5"/>
      <c r="B896" s="15"/>
      <c r="C896" s="15"/>
      <c r="D896" s="1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5"/>
      <c r="B897" s="15"/>
      <c r="C897" s="15"/>
      <c r="D897" s="1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5"/>
      <c r="B898" s="15"/>
      <c r="C898" s="15"/>
      <c r="D898" s="1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5"/>
      <c r="B899" s="15"/>
      <c r="C899" s="15"/>
      <c r="D899" s="1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5"/>
      <c r="B900" s="15"/>
      <c r="C900" s="15"/>
      <c r="D900" s="1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5"/>
      <c r="B901" s="15"/>
      <c r="C901" s="15"/>
      <c r="D901" s="1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5"/>
      <c r="B902" s="15"/>
      <c r="C902" s="15"/>
      <c r="D902" s="1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5"/>
      <c r="B903" s="15"/>
      <c r="C903" s="15"/>
      <c r="D903" s="1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5"/>
      <c r="B904" s="15"/>
      <c r="C904" s="15"/>
      <c r="D904" s="1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5"/>
      <c r="B905" s="15"/>
      <c r="C905" s="15"/>
      <c r="D905" s="1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5"/>
      <c r="B906" s="15"/>
      <c r="C906" s="15"/>
      <c r="D906" s="1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5"/>
      <c r="B907" s="15"/>
      <c r="C907" s="15"/>
      <c r="D907" s="1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5"/>
      <c r="B908" s="15"/>
      <c r="C908" s="15"/>
      <c r="D908" s="1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5"/>
      <c r="B909" s="15"/>
      <c r="C909" s="15"/>
      <c r="D909" s="1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5"/>
      <c r="B910" s="15"/>
      <c r="C910" s="15"/>
      <c r="D910" s="1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5"/>
      <c r="B911" s="15"/>
      <c r="C911" s="15"/>
      <c r="D911" s="1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5"/>
      <c r="B912" s="15"/>
      <c r="C912" s="15"/>
      <c r="D912" s="1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5"/>
      <c r="B913" s="15"/>
      <c r="C913" s="15"/>
      <c r="D913" s="1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5"/>
      <c r="B914" s="15"/>
      <c r="C914" s="15"/>
      <c r="D914" s="1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5"/>
      <c r="B915" s="15"/>
      <c r="C915" s="15"/>
      <c r="D915" s="1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5"/>
      <c r="B916" s="15"/>
      <c r="C916" s="15"/>
      <c r="D916" s="1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5"/>
      <c r="B917" s="15"/>
      <c r="C917" s="15"/>
      <c r="D917" s="1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5"/>
      <c r="B918" s="15"/>
      <c r="C918" s="15"/>
      <c r="D918" s="1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5"/>
      <c r="B919" s="15"/>
      <c r="C919" s="15"/>
      <c r="D919" s="1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5"/>
      <c r="B920" s="15"/>
      <c r="C920" s="15"/>
      <c r="D920" s="1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5"/>
      <c r="B921" s="15"/>
      <c r="C921" s="15"/>
      <c r="D921" s="1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5"/>
      <c r="B922" s="15"/>
      <c r="C922" s="15"/>
      <c r="D922" s="1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5"/>
      <c r="B923" s="15"/>
      <c r="C923" s="15"/>
      <c r="D923" s="1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5"/>
      <c r="B924" s="15"/>
      <c r="C924" s="15"/>
      <c r="D924" s="1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5"/>
      <c r="B925" s="15"/>
      <c r="C925" s="15"/>
      <c r="D925" s="1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5"/>
      <c r="B926" s="15"/>
      <c r="C926" s="15"/>
      <c r="D926" s="1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5"/>
      <c r="B927" s="15"/>
      <c r="C927" s="15"/>
      <c r="D927" s="1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5"/>
      <c r="B928" s="15"/>
      <c r="C928" s="15"/>
      <c r="D928" s="1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5"/>
      <c r="B929" s="15"/>
      <c r="C929" s="15"/>
      <c r="D929" s="1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5"/>
      <c r="B930" s="15"/>
      <c r="C930" s="15"/>
      <c r="D930" s="1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5"/>
      <c r="B931" s="15"/>
      <c r="C931" s="15"/>
      <c r="D931" s="1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5"/>
      <c r="B932" s="15"/>
      <c r="C932" s="15"/>
      <c r="D932" s="1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5"/>
      <c r="B933" s="15"/>
      <c r="C933" s="15"/>
      <c r="D933" s="1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5"/>
      <c r="B934" s="15"/>
      <c r="C934" s="15"/>
      <c r="D934" s="1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5"/>
      <c r="B935" s="15"/>
      <c r="C935" s="15"/>
      <c r="D935" s="1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5"/>
      <c r="B936" s="15"/>
      <c r="C936" s="15"/>
      <c r="D936" s="1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5"/>
      <c r="B937" s="15"/>
      <c r="C937" s="15"/>
      <c r="D937" s="1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5"/>
      <c r="B938" s="15"/>
      <c r="C938" s="15"/>
      <c r="D938" s="1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5"/>
      <c r="B939" s="15"/>
      <c r="C939" s="15"/>
      <c r="D939" s="1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5"/>
      <c r="B940" s="15"/>
      <c r="C940" s="15"/>
      <c r="D940" s="1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5"/>
      <c r="B941" s="15"/>
      <c r="C941" s="15"/>
      <c r="D941" s="1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5"/>
      <c r="B942" s="15"/>
      <c r="C942" s="15"/>
      <c r="D942" s="1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5"/>
      <c r="B943" s="15"/>
      <c r="C943" s="15"/>
      <c r="D943" s="1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5"/>
      <c r="B944" s="15"/>
      <c r="C944" s="15"/>
      <c r="D944" s="1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5"/>
      <c r="B945" s="15"/>
      <c r="C945" s="15"/>
      <c r="D945" s="1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5"/>
      <c r="B946" s="15"/>
      <c r="C946" s="15"/>
      <c r="D946" s="1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5"/>
      <c r="B947" s="15"/>
      <c r="C947" s="15"/>
      <c r="D947" s="1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5"/>
      <c r="B948" s="15"/>
      <c r="C948" s="15"/>
      <c r="D948" s="1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5"/>
      <c r="B949" s="15"/>
      <c r="C949" s="15"/>
      <c r="D949" s="1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5"/>
      <c r="B950" s="15"/>
      <c r="C950" s="15"/>
      <c r="D950" s="1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5"/>
      <c r="B951" s="15"/>
      <c r="C951" s="15"/>
      <c r="D951" s="1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5"/>
      <c r="B952" s="15"/>
      <c r="C952" s="15"/>
      <c r="D952" s="1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5"/>
      <c r="B953" s="15"/>
      <c r="C953" s="15"/>
      <c r="D953" s="1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5"/>
      <c r="B954" s="15"/>
      <c r="C954" s="15"/>
      <c r="D954" s="1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5"/>
      <c r="B955" s="15"/>
      <c r="C955" s="15"/>
      <c r="D955" s="1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5"/>
      <c r="B956" s="15"/>
      <c r="C956" s="15"/>
      <c r="D956" s="1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5"/>
      <c r="B957" s="15"/>
      <c r="C957" s="15"/>
      <c r="D957" s="1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5"/>
      <c r="B958" s="15"/>
      <c r="C958" s="15"/>
      <c r="D958" s="1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5"/>
      <c r="B959" s="15"/>
      <c r="C959" s="15"/>
      <c r="D959" s="1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5"/>
      <c r="B960" s="15"/>
      <c r="C960" s="15"/>
      <c r="D960" s="1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5"/>
      <c r="B961" s="15"/>
      <c r="C961" s="15"/>
      <c r="D961" s="1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5"/>
      <c r="B962" s="15"/>
      <c r="C962" s="15"/>
      <c r="D962" s="1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5"/>
      <c r="B963" s="15"/>
      <c r="C963" s="15"/>
      <c r="D963" s="1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5"/>
      <c r="B964" s="15"/>
      <c r="C964" s="15"/>
      <c r="D964" s="1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5"/>
      <c r="B965" s="15"/>
      <c r="C965" s="15"/>
      <c r="D965" s="1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5"/>
      <c r="B966" s="15"/>
      <c r="C966" s="15"/>
      <c r="D966" s="1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5"/>
      <c r="B967" s="15"/>
      <c r="C967" s="15"/>
      <c r="D967" s="1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5"/>
      <c r="B968" s="15"/>
      <c r="C968" s="15"/>
      <c r="D968" s="1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5"/>
      <c r="B969" s="15"/>
      <c r="C969" s="15"/>
      <c r="D969" s="1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5"/>
      <c r="B970" s="15"/>
      <c r="C970" s="15"/>
      <c r="D970" s="1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5"/>
      <c r="B971" s="15"/>
      <c r="C971" s="15"/>
      <c r="D971" s="1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5"/>
      <c r="B972" s="15"/>
      <c r="C972" s="15"/>
      <c r="D972" s="1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5"/>
      <c r="B973" s="15"/>
      <c r="C973" s="15"/>
      <c r="D973" s="1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5"/>
      <c r="B974" s="15"/>
      <c r="C974" s="15"/>
      <c r="D974" s="1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5"/>
      <c r="B975" s="15"/>
      <c r="C975" s="15"/>
      <c r="D975" s="1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5"/>
      <c r="B976" s="15"/>
      <c r="C976" s="15"/>
      <c r="D976" s="1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5"/>
      <c r="B977" s="15"/>
      <c r="C977" s="15"/>
      <c r="D977" s="1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5"/>
      <c r="B978" s="15"/>
      <c r="C978" s="15"/>
      <c r="D978" s="1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5"/>
      <c r="B979" s="15"/>
      <c r="C979" s="15"/>
      <c r="D979" s="1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5"/>
      <c r="B980" s="15"/>
      <c r="C980" s="15"/>
      <c r="D980" s="1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5"/>
      <c r="B981" s="15"/>
      <c r="C981" s="15"/>
      <c r="D981" s="1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5"/>
      <c r="B982" s="15"/>
      <c r="C982" s="15"/>
      <c r="D982" s="1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5"/>
      <c r="B983" s="15"/>
      <c r="C983" s="15"/>
      <c r="D983" s="1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5"/>
      <c r="B984" s="15"/>
      <c r="C984" s="15"/>
      <c r="D984" s="1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5"/>
      <c r="B985" s="15"/>
      <c r="C985" s="15"/>
      <c r="D985" s="1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5"/>
      <c r="B986" s="15"/>
      <c r="C986" s="15"/>
      <c r="D986" s="1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5"/>
      <c r="B987" s="15"/>
      <c r="C987" s="15"/>
      <c r="D987" s="1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5"/>
      <c r="B988" s="15"/>
      <c r="C988" s="15"/>
      <c r="D988" s="1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5"/>
      <c r="B989" s="15"/>
      <c r="C989" s="15"/>
      <c r="D989" s="1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5"/>
      <c r="B990" s="15"/>
      <c r="C990" s="15"/>
      <c r="D990" s="1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5"/>
      <c r="B991" s="15"/>
      <c r="C991" s="15"/>
      <c r="D991" s="1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5"/>
      <c r="B992" s="15"/>
      <c r="C992" s="15"/>
      <c r="D992" s="1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5"/>
      <c r="B993" s="15"/>
      <c r="C993" s="15"/>
      <c r="D993" s="1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5"/>
      <c r="B994" s="15"/>
      <c r="C994" s="15"/>
      <c r="D994" s="1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5"/>
      <c r="B995" s="15"/>
      <c r="C995" s="15"/>
      <c r="D995" s="1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5"/>
      <c r="B996" s="15"/>
      <c r="C996" s="15"/>
      <c r="D996" s="1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5"/>
      <c r="B997" s="15"/>
      <c r="C997" s="15"/>
      <c r="D997" s="1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5"/>
      <c r="B998" s="15"/>
      <c r="C998" s="15"/>
      <c r="D998" s="1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5"/>
      <c r="B999" s="15"/>
      <c r="C999" s="15"/>
      <c r="D999" s="1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5"/>
      <c r="B1000" s="15"/>
      <c r="C1000" s="15"/>
      <c r="D1000" s="1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1:B1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88"/>
    <col customWidth="1" min="3" max="3" width="20.13"/>
    <col customWidth="1" min="4" max="4" width="31.38"/>
  </cols>
  <sheetData>
    <row r="1">
      <c r="A1" s="19" t="s">
        <v>13</v>
      </c>
      <c r="C1" s="20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4" t="str">
        <f>IFERROR(__xludf.DUMMYFUNCTION("QUERY('All deer keywords'!A:H, ""SELECT A, B WHERE A CONTAINS 'mule deer'"",1)"),"Keyword")</f>
        <v>Keyword</v>
      </c>
      <c r="B2" s="15" t="str">
        <f>IFERROR(__xludf.DUMMYFUNCTION("""COMPUTED_VALUE"""),"Search Volume")</f>
        <v>Search Volume</v>
      </c>
      <c r="C2" s="28" t="s">
        <v>16</v>
      </c>
      <c r="D2" s="29" t="s">
        <v>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tr">
        <f>IFERROR(__xludf.DUMMYFUNCTION("""COMPUTED_VALUE"""),"mule deer hunting")</f>
        <v>mule deer hunting</v>
      </c>
      <c r="B3" s="15" t="str">
        <f>IFERROR(__xludf.DUMMYFUNCTION("""COMPUTED_VALUE"""),"1600")</f>
        <v>1600</v>
      </c>
      <c r="C3" s="25" t="str">
        <f t="array" ref="C3">XLOOKUP(A3,'All deer keywords'!A:A,'All deer keywords'!C:C)</f>
        <v>2</v>
      </c>
      <c r="D3" s="26" t="str">
        <f t="array" ref="D3">XLOOKUP(A3,'All deer keywords'!A:A,'All deer keywords'!F:F)</f>
        <v>https://www.themeateater.com/hunt/big-game/ask-meateater-where-should-i-go-on-my-first-mule-deer-hunt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tr">
        <f>IFERROR(__xludf.DUMMYFUNCTION("""COMPUTED_VALUE"""),"mule deer vs whitetail")</f>
        <v>mule deer vs whitetail</v>
      </c>
      <c r="B4" s="15" t="str">
        <f>IFERROR(__xludf.DUMMYFUNCTION("""COMPUTED_VALUE"""),"4400")</f>
        <v>4400</v>
      </c>
      <c r="C4" s="25" t="str">
        <f t="array" ref="C4">XLOOKUP(A4,'All deer keywords'!A:A,'All deer keywords'!C:C)</f>
        <v>5</v>
      </c>
      <c r="D4" s="26" t="str">
        <f t="array" ref="D4">XLOOKUP(A4,'All deer keywords'!A:A,'All deer keywords'!F:F)</f>
        <v>https://www.themeateater.com/wired-to-hunt/whitetail-management/whitetails-and-mulies-a-comparison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tr">
        <f>IFERROR(__xludf.DUMMYFUNCTION("""COMPUTED_VALUE"""),"whitetail deer versus mule deer")</f>
        <v>whitetail deer versus mule deer</v>
      </c>
      <c r="B5" s="15" t="str">
        <f>IFERROR(__xludf.DUMMYFUNCTION("""COMPUTED_VALUE"""),"1000")</f>
        <v>1000</v>
      </c>
      <c r="C5" s="25" t="str">
        <f t="array" ref="C5">XLOOKUP(A5,'All deer keywords'!A:A,'All deer keywords'!C:C)</f>
        <v>6</v>
      </c>
      <c r="D5" s="26" t="str">
        <f t="array" ref="D5">XLOOKUP(A5,'All deer keywords'!A:A,'All deer keywords'!F:F)</f>
        <v>https://www.themeateater.com/wired-to-hunt/whitetail-management/whitetails-and-mulies-a-comparison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tr">
        <f>IFERROR(__xludf.DUMMYFUNCTION("""COMPUTED_VALUE"""),"mule deer vs white tail")</f>
        <v>mule deer vs white tail</v>
      </c>
      <c r="B6" s="15" t="str">
        <f>IFERROR(__xludf.DUMMYFUNCTION("""COMPUTED_VALUE"""),"720")</f>
        <v>720</v>
      </c>
      <c r="C6" s="25" t="str">
        <f t="array" ref="C6">XLOOKUP(A6,'All deer keywords'!A:A,'All deer keywords'!C:C)</f>
        <v>6</v>
      </c>
      <c r="D6" s="26" t="str">
        <f t="array" ref="D6">XLOOKUP(A6,'All deer keywords'!A:A,'All deer keywords'!F:F)</f>
        <v>https://www.themeateater.com/wired-to-hunt/whitetail-management/whitetails-and-mulies-a-comparison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tr">
        <f>IFERROR(__xludf.DUMMYFUNCTION("""COMPUTED_VALUE"""),"white tail vs mule deer")</f>
        <v>white tail vs mule deer</v>
      </c>
      <c r="B7" s="15" t="str">
        <f>IFERROR(__xludf.DUMMYFUNCTION("""COMPUTED_VALUE"""),"590")</f>
        <v>590</v>
      </c>
      <c r="C7" s="25" t="str">
        <f t="array" ref="C7">XLOOKUP(A7,'All deer keywords'!A:A,'All deer keywords'!C:C)</f>
        <v>6</v>
      </c>
      <c r="D7" s="26" t="str">
        <f t="array" ref="D7">XLOOKUP(A7,'All deer keywords'!A:A,'All deer keywords'!F:F)</f>
        <v>https://www.themeateater.com/wired-to-hunt/whitetail-management/whitetails-and-mulies-a-comparison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tr">
        <f>IFERROR(__xludf.DUMMYFUNCTION("""COMPUTED_VALUE"""),"mule deer buck")</f>
        <v>mule deer buck</v>
      </c>
      <c r="B8" s="15" t="str">
        <f>IFERROR(__xludf.DUMMYFUNCTION("""COMPUTED_VALUE"""),"1600")</f>
        <v>1600</v>
      </c>
      <c r="C8" s="25" t="str">
        <f t="array" ref="C8">XLOOKUP(A8,'All deer keywords'!A:A,'All deer keywords'!C:C)</f>
        <v>7</v>
      </c>
      <c r="D8" s="26" t="str">
        <f t="array" ref="D8">XLOOKUP(A8,'All deer keywords'!A:A,'All deer keywords'!F:F)</f>
        <v>https://www.themeateater.com/watch/6290992279001/how-to-score-a-mule-deer-buck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tr">
        <f>IFERROR(__xludf.DUMMYFUNCTION("""COMPUTED_VALUE"""),"mule deer vs whitetail deer")</f>
        <v>mule deer vs whitetail deer</v>
      </c>
      <c r="B9" s="15" t="str">
        <f>IFERROR(__xludf.DUMMYFUNCTION("""COMPUTED_VALUE"""),"1600")</f>
        <v>1600</v>
      </c>
      <c r="C9" s="25" t="str">
        <f t="array" ref="C9">XLOOKUP(A9,'All deer keywords'!A:A,'All deer keywords'!C:C)</f>
        <v>8</v>
      </c>
      <c r="D9" s="26" t="str">
        <f t="array" ref="D9">XLOOKUP(A9,'All deer keywords'!A:A,'All deer keywords'!F:F)</f>
        <v>https://www.themeateater.com/wired-to-hunt/whitetail-management/whitetails-and-mulies-a-comparison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 t="str">
        <f>IFERROR(__xludf.DUMMYFUNCTION("""COMPUTED_VALUE"""),"whitetail vs mule deer")</f>
        <v>whitetail vs mule deer</v>
      </c>
      <c r="B10" s="15" t="str">
        <f>IFERROR(__xludf.DUMMYFUNCTION("""COMPUTED_VALUE"""),"590")</f>
        <v>590</v>
      </c>
      <c r="C10" s="25" t="str">
        <f t="array" ref="C10">XLOOKUP(A10,'All deer keywords'!A:A,'All deer keywords'!C:C)</f>
        <v>8</v>
      </c>
      <c r="D10" s="26" t="str">
        <f t="array" ref="D10">XLOOKUP(A10,'All deer keywords'!A:A,'All deer keywords'!F:F)</f>
        <v>https://www.themeateater.com/wired-to-hunt/whitetail-management/whitetails-and-mulies-a-comparison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 t="str">
        <f>IFERROR(__xludf.DUMMYFUNCTION("""COMPUTED_VALUE"""),"giant mule deer")</f>
        <v>giant mule deer</v>
      </c>
      <c r="B11" s="15" t="str">
        <f>IFERROR(__xludf.DUMMYFUNCTION("""COMPUTED_VALUE"""),"590")</f>
        <v>590</v>
      </c>
      <c r="C11" s="25" t="str">
        <f t="array" ref="C11">XLOOKUP(A11,'All deer keywords'!A:A,'All deer keywords'!C:C)</f>
        <v>11</v>
      </c>
      <c r="D11" s="26" t="str">
        <f t="array" ref="D11">XLOOKUP(A11,'All deer keywords'!A:A,'All deer keywords'!F:F)</f>
        <v>https://www.themeateater.com/watch/6222000778001/s4-e12-big-buck-dreams-mule-deer-special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 t="str">
        <f>IFERROR(__xludf.DUMMYFUNCTION("""COMPUTED_VALUE"""),"big mule deer")</f>
        <v>big mule deer</v>
      </c>
      <c r="B12" s="15" t="str">
        <f>IFERROR(__xludf.DUMMYFUNCTION("""COMPUTED_VALUE"""),"590")</f>
        <v>590</v>
      </c>
      <c r="C12" s="25" t="str">
        <f t="array" ref="C12">XLOOKUP(A12,'All deer keywords'!A:A,'All deer keywords'!C:C)</f>
        <v>13</v>
      </c>
      <c r="D12" s="26" t="str">
        <f t="array" ref="D12">XLOOKUP(A12,'All deer keywords'!A:A,'All deer keywords'!F:F)</f>
        <v>https://www.themeateater.com/watch/6222000778001/s4-e12-big-buck-dreams-mule-deer-special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 t="str">
        <f>IFERROR(__xludf.DUMMYFUNCTION("""COMPUTED_VALUE"""),"mule deer hunt")</f>
        <v>mule deer hunt</v>
      </c>
      <c r="B13" s="15" t="str">
        <f>IFERROR(__xludf.DUMMYFUNCTION("""COMPUTED_VALUE"""),"590")</f>
        <v>590</v>
      </c>
      <c r="C13" s="25" t="str">
        <f t="array" ref="C13">XLOOKUP(A13,'All deer keywords'!A:A,'All deer keywords'!C:C)</f>
        <v>13</v>
      </c>
      <c r="D13" s="26" t="str">
        <f t="array" ref="D13">XLOOKUP(A13,'All deer keywords'!A:A,'All deer keywords'!F:F)</f>
        <v>https://www.themeateater.com/hunt/big-game/ask-meateater-where-should-i-go-on-my-first-mule-deer-hunt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 t="str">
        <f>IFERROR(__xludf.DUMMYFUNCTION("""COMPUTED_VALUE"""),"mule deer")</f>
        <v>mule deer</v>
      </c>
      <c r="B14" s="15" t="str">
        <f>IFERROR(__xludf.DUMMYFUNCTION("""COMPUTED_VALUE"""),"40500")</f>
        <v>40500</v>
      </c>
      <c r="C14" s="25" t="str">
        <f t="array" ref="C14">XLOOKUP(A14,'All deer keywords'!A:A,'All deer keywords'!C:C)</f>
        <v>14</v>
      </c>
      <c r="D14" s="26" t="str">
        <f t="array" ref="D14">XLOOKUP(A14,'All deer keywords'!A:A,'All deer keywords'!F:F)</f>
        <v>https://www.themeateater.com/wired-to-hunt/whitetail-management/whitetails-and-mulies-a-comparison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 t="str">
        <f>IFERROR(__xludf.DUMMYFUNCTION("""COMPUTED_VALUE"""),"colorado mule deer")</f>
        <v>colorado mule deer</v>
      </c>
      <c r="B15" s="15" t="str">
        <f>IFERROR(__xludf.DUMMYFUNCTION("""COMPUTED_VALUE"""),"720")</f>
        <v>720</v>
      </c>
      <c r="C15" s="25" t="str">
        <f t="array" ref="C15">XLOOKUP(A15,'All deer keywords'!A:A,'All deer keywords'!C:C)</f>
        <v>14</v>
      </c>
      <c r="D15" s="26" t="str">
        <f t="array" ref="D15">XLOOKUP(A15,'All deer keywords'!A:A,'All deer keywords'!F:F)</f>
        <v>https://www.themeateater.com/watch/6252076018001/s2-e03-big-beautiful-bucks-colorado-mule-deer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 t="str">
        <f>IFERROR(__xludf.DUMMYFUNCTION("""COMPUTED_VALUE"""),"mule deer vs elk")</f>
        <v>mule deer vs elk</v>
      </c>
      <c r="B16" s="15" t="str">
        <f>IFERROR(__xludf.DUMMYFUNCTION("""COMPUTED_VALUE"""),"590")</f>
        <v>590</v>
      </c>
      <c r="C16" s="25" t="str">
        <f t="array" ref="C16">XLOOKUP(A16,'All deer keywords'!A:A,'All deer keywords'!C:C)</f>
        <v>21</v>
      </c>
      <c r="D16" s="26" t="str">
        <f t="array" ref="D16">XLOOKUP(A16,'All deer keywords'!A:A,'All deer keywords'!F:F)</f>
        <v>https://www.themeateater.com/hunt/elk/4-ways-elk-hunting-is-not-deer-hunting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 t="str">
        <f>IFERROR(__xludf.DUMMYFUNCTION("""COMPUTED_VALUE"""),"colorado mule deer hunting")</f>
        <v>colorado mule deer hunting</v>
      </c>
      <c r="B17" s="15" t="str">
        <f>IFERROR(__xludf.DUMMYFUNCTION("""COMPUTED_VALUE"""),"1300")</f>
        <v>1300</v>
      </c>
      <c r="C17" s="25" t="str">
        <f t="array" ref="C17">XLOOKUP(A17,'All deer keywords'!A:A,'All deer keywords'!C:C)</f>
        <v>22</v>
      </c>
      <c r="D17" s="26" t="str">
        <f t="array" ref="D17">XLOOKUP(A17,'All deer keywords'!A:A,'All deer keywords'!F:F)</f>
        <v>https://www.themeateater.com/watch/6252076018001/s2-e03-big-beautiful-bucks-colorado-mule-deer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 t="str">
        <f>IFERROR(__xludf.DUMMYFUNCTION("""COMPUTED_VALUE"""),"nebraska mule deer hunting")</f>
        <v>nebraska mule deer hunting</v>
      </c>
      <c r="B18" s="15" t="str">
        <f>IFERROR(__xludf.DUMMYFUNCTION("""COMPUTED_VALUE"""),"720")</f>
        <v>720</v>
      </c>
      <c r="C18" s="25" t="str">
        <f t="array" ref="C18">XLOOKUP(A18,'All deer keywords'!A:A,'All deer keywords'!C:C)</f>
        <v>22</v>
      </c>
      <c r="D18" s="26" t="str">
        <f t="array" ref="D18">XLOOKUP(A18,'All deer keywords'!A:A,'All deer keywords'!F:F)</f>
        <v>https://www.themeateater.com/hunt/big-game/ask-meateater-where-should-i-go-on-my-first-mule-deer-hunt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5" t="str">
        <f>IFERROR(__xludf.DUMMYFUNCTION("""COMPUTED_VALUE"""),"mule deer vs blacktail deer")</f>
        <v>mule deer vs blacktail deer</v>
      </c>
      <c r="B19" s="15" t="str">
        <f>IFERROR(__xludf.DUMMYFUNCTION("""COMPUTED_VALUE"""),"590")</f>
        <v>590</v>
      </c>
      <c r="C19" s="25" t="str">
        <f t="array" ref="C19">XLOOKUP(A19,'All deer keywords'!A:A,'All deer keywords'!C:C)</f>
        <v>23</v>
      </c>
      <c r="D19" s="26" t="str">
        <f t="array" ref="D19">XLOOKUP(A19,'All deer keywords'!A:A,'All deer keywords'!F:F)</f>
        <v>https://www.themeateater.com/watch/6175627104001/steven-rinella-explains-how-the-mule-deer-species-evolved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5" t="str">
        <f>IFERROR(__xludf.DUMMYFUNCTION("""COMPUTED_VALUE"""),"mule deer foundation")</f>
        <v>mule deer foundation</v>
      </c>
      <c r="B20" s="15" t="str">
        <f>IFERROR(__xludf.DUMMYFUNCTION("""COMPUTED_VALUE"""),"880")</f>
        <v>880</v>
      </c>
      <c r="C20" s="25" t="str">
        <f t="array" ref="C20">XLOOKUP(A20,'All deer keywords'!A:A,'All deer keywords'!C:C)</f>
        <v>24</v>
      </c>
      <c r="D20" s="26" t="str">
        <f t="array" ref="D20">XLOOKUP(A20,'All deer keywords'!A:A,'All deer keywords'!F:F)</f>
        <v>https://store.themeateater.com/products/mule-deer-foundation-donation.html?lang=en_US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 t="str">
        <f>IFERROR(__xludf.DUMMYFUNCTION("""COMPUTED_VALUE"""),"mule deer antlers")</f>
        <v>mule deer antlers</v>
      </c>
      <c r="B21" s="15" t="str">
        <f>IFERROR(__xludf.DUMMYFUNCTION("""COMPUTED_VALUE"""),"720")</f>
        <v>720</v>
      </c>
      <c r="C21" s="25" t="str">
        <f t="array" ref="C21">XLOOKUP(A21,'All deer keywords'!A:A,'All deer keywords'!C:C)</f>
        <v>27</v>
      </c>
      <c r="D21" s="26" t="str">
        <f t="array" ref="D21">XLOOKUP(A21,'All deer keywords'!A:A,'All deer keywords'!F:F)</f>
        <v>https://www.themeateater.com/watch/6290992279001/how-to-score-a-mule-deer-buck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5" t="str">
        <f>IFERROR(__xludf.DUMMYFUNCTION("""COMPUTED_VALUE"""),"mule deer doe")</f>
        <v>mule deer doe</v>
      </c>
      <c r="B22" s="15" t="str">
        <f>IFERROR(__xludf.DUMMYFUNCTION("""COMPUTED_VALUE"""),"880")</f>
        <v>880</v>
      </c>
      <c r="C22" s="25" t="str">
        <f t="array" ref="C22">XLOOKUP(A22,'All deer keywords'!A:A,'All deer keywords'!C:C)</f>
        <v>30</v>
      </c>
      <c r="D22" s="26" t="str">
        <f t="array" ref="D22">XLOOKUP(A22,'All deer keywords'!A:A,'All deer keywords'!F:F)</f>
        <v>https://www.themeateater.com/wired-to-hunt/whitetail-management/whitetails-and-mulies-a-comparison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5" t="str">
        <f>IFERROR(__xludf.DUMMYFUNCTION("""COMPUTED_VALUE"""),"mule deer hunts")</f>
        <v>mule deer hunts</v>
      </c>
      <c r="B23" s="15" t="str">
        <f>IFERROR(__xludf.DUMMYFUNCTION("""COMPUTED_VALUE"""),"1300")</f>
        <v>1300</v>
      </c>
      <c r="C23" s="25" t="str">
        <f t="array" ref="C23">XLOOKUP(A23,'All deer keywords'!A:A,'All deer keywords'!C:C)</f>
        <v>35</v>
      </c>
      <c r="D23" s="26" t="str">
        <f t="array" ref="D23">XLOOKUP(A23,'All deer keywords'!A:A,'All deer keywords'!F:F)</f>
        <v>https://www.themeateater.com/hunt/big-game/ask-meateater-where-should-i-go-on-my-first-mule-deer-hunt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 t="str">
        <f>IFERROR(__xludf.DUMMYFUNCTION("""COMPUTED_VALUE"""),"idaho mule deer hunts")</f>
        <v>idaho mule deer hunts</v>
      </c>
      <c r="B24" s="15" t="str">
        <f>IFERROR(__xludf.DUMMYFUNCTION("""COMPUTED_VALUE"""),"590")</f>
        <v>590</v>
      </c>
      <c r="C24" s="25" t="str">
        <f t="array" ref="C24">XLOOKUP(A24,'All deer keywords'!A:A,'All deer keywords'!C:C)</f>
        <v>36</v>
      </c>
      <c r="D24" s="26" t="str">
        <f t="array" ref="D24">XLOOKUP(A24,'All deer keywords'!A:A,'All deer keywords'!F:F)</f>
        <v>https://www.themeateater.com/hunt/big-game/ask-meateater-where-should-i-go-on-my-first-mule-deer-hunt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5" t="str">
        <f>IFERROR(__xludf.DUMMYFUNCTION("""COMPUTED_VALUE"""),"world record mule deer")</f>
        <v>world record mule deer</v>
      </c>
      <c r="B25" s="15" t="str">
        <f>IFERROR(__xludf.DUMMYFUNCTION("""COMPUTED_VALUE"""),"1300")</f>
        <v>1300</v>
      </c>
      <c r="C25" s="25" t="str">
        <f t="array" ref="C25">XLOOKUP(A25,'All deer keywords'!A:A,'All deer keywords'!C:C)</f>
        <v>39</v>
      </c>
      <c r="D25" s="26" t="str">
        <f t="array" ref="D25">XLOOKUP(A25,'All deer keywords'!A:A,'All deer keywords'!F:F)</f>
        <v>https://www.themeateater.com/conservation/wildlife-management/the-letterman-buck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5" t="str">
        <f>IFERROR(__xludf.DUMMYFUNCTION("""COMPUTED_VALUE"""),"wyoming mule deer hunts")</f>
        <v>wyoming mule deer hunts</v>
      </c>
      <c r="B26" s="15" t="str">
        <f>IFERROR(__xludf.DUMMYFUNCTION("""COMPUTED_VALUE"""),"720")</f>
        <v>720</v>
      </c>
      <c r="C26" s="25" t="str">
        <f t="array" ref="C26">XLOOKUP(A26,'All deer keywords'!A:A,'All deer keywords'!C:C)</f>
        <v>40</v>
      </c>
      <c r="D26" s="26" t="str">
        <f t="array" ref="D26">XLOOKUP(A26,'All deer keywords'!A:A,'All deer keywords'!F:F)</f>
        <v>https://www.themeateater.com/hunt/big-game/ask-meateater-where-should-i-go-on-my-first-mule-deer-hunt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5" t="str">
        <f>IFERROR(__xludf.DUMMYFUNCTION("""COMPUTED_VALUE"""),"montana mule deer hunts")</f>
        <v>montana mule deer hunts</v>
      </c>
      <c r="B27" s="15" t="str">
        <f>IFERROR(__xludf.DUMMYFUNCTION("""COMPUTED_VALUE"""),"720")</f>
        <v>720</v>
      </c>
      <c r="C27" s="25" t="str">
        <f t="array" ref="C27">XLOOKUP(A27,'All deer keywords'!A:A,'All deer keywords'!C:C)</f>
        <v>49</v>
      </c>
      <c r="D27" s="26" t="str">
        <f t="array" ref="D27">XLOOKUP(A27,'All deer keywords'!A:A,'All deer keywords'!F:F)</f>
        <v>https://www.themeateater.com/hunt/big-game/ask-meateater-where-should-i-go-on-my-first-mule-deer-hunt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5" t="str">
        <f>IFERROR(__xludf.DUMMYFUNCTION("""COMPUTED_VALUE"""),"mule deer range")</f>
        <v>mule deer range</v>
      </c>
      <c r="B28" s="15" t="str">
        <f>IFERROR(__xludf.DUMMYFUNCTION("""COMPUTED_VALUE"""),"590")</f>
        <v>590</v>
      </c>
      <c r="C28" s="25" t="str">
        <f t="array" ref="C28">XLOOKUP(A28,'All deer keywords'!A:A,'All deer keywords'!C:C)</f>
        <v>50</v>
      </c>
      <c r="D28" s="26" t="str">
        <f t="array" ref="D28">XLOOKUP(A28,'All deer keywords'!A:A,'All deer keywords'!F:F)</f>
        <v>https://www.themeateater.com/hunt/big-game/ask-meateater-where-should-i-go-on-my-first-mule-deer-hunt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5" t="str">
        <f>IFERROR(__xludf.DUMMYFUNCTION("""COMPUTED_VALUE"""),"monster mule deer")</f>
        <v>monster mule deer</v>
      </c>
      <c r="B29" s="15" t="str">
        <f>IFERROR(__xludf.DUMMYFUNCTION("""COMPUTED_VALUE"""),"880")</f>
        <v>880</v>
      </c>
      <c r="C29" s="25" t="str">
        <f t="array" ref="C29">XLOOKUP(A29,'All deer keywords'!A:A,'All deer keywords'!C:C)</f>
        <v>54</v>
      </c>
      <c r="D29" s="26" t="str">
        <f t="array" ref="D29">XLOOKUP(A29,'All deer keywords'!A:A,'All deer keywords'!F:F)</f>
        <v>https://www.themeateater.com/hunt/big-game/ask-meateater-where-should-i-go-on-my-first-mule-deer-hunt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5" t="str">
        <f>IFERROR(__xludf.DUMMYFUNCTION("""COMPUTED_VALUE"""),"doe mule deer")</f>
        <v>doe mule deer</v>
      </c>
      <c r="B30" s="15" t="str">
        <f>IFERROR(__xludf.DUMMYFUNCTION("""COMPUTED_VALUE"""),"720")</f>
        <v>720</v>
      </c>
      <c r="C30" s="25" t="str">
        <f t="array" ref="C30">XLOOKUP(A30,'All deer keywords'!A:A,'All deer keywords'!C:C)</f>
        <v>67</v>
      </c>
      <c r="D30" s="26" t="str">
        <f t="array" ref="D30">XLOOKUP(A30,'All deer keywords'!A:A,'All deer keywords'!F:F)</f>
        <v>https://www.themeateater.com/wired-to-hunt/whitetail-management/whitetails-and-mulies-a-comparison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5" t="str">
        <f>IFERROR(__xludf.DUMMYFUNCTION("""COMPUTED_VALUE"""),"female mule deer")</f>
        <v>female mule deer</v>
      </c>
      <c r="B31" s="15" t="str">
        <f>IFERROR(__xludf.DUMMYFUNCTION("""COMPUTED_VALUE"""),"720")</f>
        <v>720</v>
      </c>
      <c r="C31" s="25" t="str">
        <f t="array" ref="C31">XLOOKUP(A31,'All deer keywords'!A:A,'All deer keywords'!C:C)</f>
        <v>Not ranking</v>
      </c>
      <c r="D31" s="27" t="str">
        <f t="array" ref="D31">XLOOKUP(A31,'All deer keywords'!A:A,'All deer keywords'!F:F)</f>
        <v>Not ranking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5" t="str">
        <f>IFERROR(__xludf.DUMMYFUNCTION("""COMPUTED_VALUE"""),"mule deer mounts")</f>
        <v>mule deer mounts</v>
      </c>
      <c r="B32" s="15" t="str">
        <f>IFERROR(__xludf.DUMMYFUNCTION("""COMPUTED_VALUE"""),"720")</f>
        <v>720</v>
      </c>
      <c r="C32" s="25" t="str">
        <f t="array" ref="C32">XLOOKUP(A32,'All deer keywords'!A:A,'All deer keywords'!C:C)</f>
        <v>Not ranking</v>
      </c>
      <c r="D32" s="27" t="str">
        <f t="array" ref="D32">XLOOKUP(A32,'All deer keywords'!A:A,'All deer keywords'!F:F)</f>
        <v>Not ranking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5" t="str">
        <f>IFERROR(__xludf.DUMMYFUNCTION("""COMPUTED_VALUE"""),"south dakota mule deer hunting")</f>
        <v>south dakota mule deer hunting</v>
      </c>
      <c r="B33" s="15" t="str">
        <f>IFERROR(__xludf.DUMMYFUNCTION("""COMPUTED_VALUE"""),"720")</f>
        <v>720</v>
      </c>
      <c r="C33" s="25" t="str">
        <f t="array" ref="C33">XLOOKUP(A33,'All deer keywords'!A:A,'All deer keywords'!C:C)</f>
        <v>Not ranking</v>
      </c>
      <c r="D33" s="27" t="str">
        <f t="array" ref="D33">XLOOKUP(A33,'All deer keywords'!A:A,'All deer keywords'!F:F)</f>
        <v>Not ranking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5" t="str">
        <f>IFERROR(__xludf.DUMMYFUNCTION("""COMPUTED_VALUE"""),"antelope island mule deer")</f>
        <v>antelope island mule deer</v>
      </c>
      <c r="B34" s="15" t="str">
        <f>IFERROR(__xludf.DUMMYFUNCTION("""COMPUTED_VALUE"""),"590")</f>
        <v>590</v>
      </c>
      <c r="C34" s="25" t="str">
        <f t="array" ref="C34">XLOOKUP(A34,'All deer keywords'!A:A,'All deer keywords'!C:C)</f>
        <v>Not ranking</v>
      </c>
      <c r="D34" s="27" t="str">
        <f t="array" ref="D34">XLOOKUP(A34,'All deer keywords'!A:A,'All deer keywords'!F:F)</f>
        <v>Not ranking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5" t="str">
        <f>IFERROR(__xludf.DUMMYFUNCTION("""COMPUTED_VALUE"""),"mule deer pictures")</f>
        <v>mule deer pictures</v>
      </c>
      <c r="B35" s="15" t="str">
        <f>IFERROR(__xludf.DUMMYFUNCTION("""COMPUTED_VALUE"""),"590")</f>
        <v>590</v>
      </c>
      <c r="C35" s="25" t="str">
        <f t="array" ref="C35">XLOOKUP(A35,'All deer keywords'!A:A,'All deer keywords'!C:C)</f>
        <v>Not ranking</v>
      </c>
      <c r="D35" s="27" t="str">
        <f t="array" ref="D35">XLOOKUP(A35,'All deer keywords'!A:A,'All deer keywords'!F:F)</f>
        <v>Not ranking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5"/>
      <c r="B36" s="15"/>
      <c r="C36" s="15"/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5"/>
      <c r="B37" s="15"/>
      <c r="C37" s="15"/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5"/>
      <c r="B38" s="15"/>
      <c r="C38" s="15"/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5"/>
      <c r="B39" s="15"/>
      <c r="C39" s="15"/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5"/>
      <c r="B40" s="15"/>
      <c r="C40" s="15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5"/>
      <c r="B41" s="15"/>
      <c r="C41" s="15"/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5"/>
      <c r="B42" s="15"/>
      <c r="C42" s="15"/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5"/>
      <c r="B43" s="15"/>
      <c r="C43" s="15"/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5"/>
      <c r="B44" s="15"/>
      <c r="C44" s="15"/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5"/>
      <c r="B45" s="15"/>
      <c r="C45" s="15"/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/>
      <c r="B46" s="15"/>
      <c r="C46" s="15"/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5"/>
      <c r="B47" s="15"/>
      <c r="C47" s="15"/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5"/>
      <c r="B48" s="15"/>
      <c r="C48" s="15"/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5"/>
      <c r="B49" s="15"/>
      <c r="C49" s="15"/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5"/>
      <c r="B50" s="15"/>
      <c r="C50" s="15"/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5"/>
      <c r="B51" s="15"/>
      <c r="C51" s="15"/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5"/>
      <c r="B52" s="15"/>
      <c r="C52" s="15"/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5"/>
      <c r="B53" s="15"/>
      <c r="C53" s="15"/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5"/>
      <c r="B54" s="15"/>
      <c r="C54" s="15"/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5"/>
      <c r="B55" s="15"/>
      <c r="C55" s="15"/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5"/>
      <c r="B56" s="15"/>
      <c r="C56" s="15"/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5"/>
      <c r="B57" s="15"/>
      <c r="C57" s="15"/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5"/>
      <c r="B58" s="15"/>
      <c r="C58" s="15"/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5"/>
      <c r="B59" s="15"/>
      <c r="C59" s="15"/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5"/>
      <c r="B60" s="15"/>
      <c r="C60" s="15"/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5"/>
      <c r="B61" s="15"/>
      <c r="C61" s="15"/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5"/>
      <c r="B62" s="15"/>
      <c r="C62" s="15"/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5"/>
      <c r="B63" s="15"/>
      <c r="C63" s="15"/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5"/>
      <c r="B64" s="15"/>
      <c r="C64" s="15"/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5"/>
      <c r="B65" s="15"/>
      <c r="C65" s="15"/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5"/>
      <c r="B66" s="15"/>
      <c r="C66" s="15"/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5"/>
      <c r="B67" s="15"/>
      <c r="C67" s="15"/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5"/>
      <c r="B68" s="15"/>
      <c r="C68" s="15"/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5"/>
      <c r="B69" s="15"/>
      <c r="C69" s="15"/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5"/>
      <c r="B70" s="15"/>
      <c r="C70" s="15"/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5"/>
      <c r="B71" s="15"/>
      <c r="C71" s="15"/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5"/>
      <c r="B72" s="15"/>
      <c r="C72" s="15"/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/>
      <c r="B73" s="15"/>
      <c r="C73" s="15"/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/>
      <c r="B74" s="15"/>
      <c r="C74" s="15"/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/>
      <c r="B75" s="15"/>
      <c r="C75" s="15"/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5"/>
      <c r="B76" s="15"/>
      <c r="C76" s="15"/>
      <c r="D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5"/>
      <c r="B77" s="15"/>
      <c r="C77" s="15"/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/>
      <c r="B78" s="15"/>
      <c r="C78" s="15"/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5"/>
      <c r="B79" s="15"/>
      <c r="C79" s="15"/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5"/>
      <c r="B80" s="15"/>
      <c r="C80" s="15"/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5"/>
      <c r="B81" s="15"/>
      <c r="C81" s="15"/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5"/>
      <c r="B82" s="15"/>
      <c r="C82" s="15"/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5"/>
      <c r="B83" s="15"/>
      <c r="C83" s="15"/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/>
      <c r="B84" s="15"/>
      <c r="C84" s="15"/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/>
      <c r="B85" s="15"/>
      <c r="C85" s="15"/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/>
      <c r="B86" s="15"/>
      <c r="C86" s="15"/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/>
      <c r="B87" s="15"/>
      <c r="C87" s="15"/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/>
      <c r="B88" s="15"/>
      <c r="C88" s="15"/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/>
      <c r="B89" s="15"/>
      <c r="C89" s="15"/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/>
      <c r="B90" s="15"/>
      <c r="C90" s="15"/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/>
      <c r="B91" s="15"/>
      <c r="C91" s="15"/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/>
      <c r="B92" s="15"/>
      <c r="C92" s="15"/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/>
      <c r="B93" s="15"/>
      <c r="C93" s="15"/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/>
      <c r="B94" s="15"/>
      <c r="C94" s="15"/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/>
      <c r="B95" s="15"/>
      <c r="C95" s="15"/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/>
      <c r="B96" s="15"/>
      <c r="C96" s="15"/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/>
      <c r="B97" s="15"/>
      <c r="C97" s="15"/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/>
      <c r="B98" s="15"/>
      <c r="C98" s="15"/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/>
      <c r="B99" s="15"/>
      <c r="C99" s="15"/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/>
      <c r="B100" s="15"/>
      <c r="C100" s="15"/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/>
      <c r="B101" s="15"/>
      <c r="C101" s="15"/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/>
      <c r="B102" s="15"/>
      <c r="C102" s="15"/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/>
      <c r="B103" s="15"/>
      <c r="C103" s="15"/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/>
      <c r="B104" s="15"/>
      <c r="C104" s="15"/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/>
      <c r="B105" s="15"/>
      <c r="C105" s="15"/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/>
      <c r="B106" s="15"/>
      <c r="C106" s="15"/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/>
      <c r="B107" s="15"/>
      <c r="C107" s="15"/>
      <c r="D107" s="1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/>
      <c r="B108" s="15"/>
      <c r="C108" s="15"/>
      <c r="D108" s="1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5"/>
      <c r="B109" s="15"/>
      <c r="C109" s="15"/>
      <c r="D109" s="1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5"/>
      <c r="B110" s="15"/>
      <c r="C110" s="15"/>
      <c r="D110" s="1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5"/>
      <c r="B111" s="15"/>
      <c r="C111" s="15"/>
      <c r="D111" s="1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5"/>
      <c r="B112" s="15"/>
      <c r="C112" s="15"/>
      <c r="D112" s="1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5"/>
      <c r="B113" s="15"/>
      <c r="C113" s="15"/>
      <c r="D113" s="1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5"/>
      <c r="B114" s="15"/>
      <c r="C114" s="15"/>
      <c r="D114" s="1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5"/>
      <c r="B115" s="15"/>
      <c r="C115" s="15"/>
      <c r="D115" s="1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5"/>
      <c r="B116" s="15"/>
      <c r="C116" s="15"/>
      <c r="D116" s="1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5"/>
      <c r="B117" s="15"/>
      <c r="C117" s="15"/>
      <c r="D117" s="1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5"/>
      <c r="B118" s="15"/>
      <c r="C118" s="15"/>
      <c r="D118" s="1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5"/>
      <c r="B119" s="15"/>
      <c r="C119" s="15"/>
      <c r="D119" s="1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5"/>
      <c r="B120" s="15"/>
      <c r="C120" s="15"/>
      <c r="D120" s="1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/>
      <c r="B121" s="15"/>
      <c r="C121" s="15"/>
      <c r="D121" s="1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/>
      <c r="B122" s="15"/>
      <c r="C122" s="15"/>
      <c r="D122" s="1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/>
      <c r="B123" s="15"/>
      <c r="C123" s="15"/>
      <c r="D123" s="1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/>
      <c r="B124" s="15"/>
      <c r="C124" s="15"/>
      <c r="D124" s="1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/>
      <c r="B125" s="15"/>
      <c r="C125" s="15"/>
      <c r="D125" s="1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/>
      <c r="B126" s="15"/>
      <c r="C126" s="15"/>
      <c r="D126" s="1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5"/>
      <c r="B127" s="15"/>
      <c r="C127" s="15"/>
      <c r="D127" s="1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5"/>
      <c r="B128" s="15"/>
      <c r="C128" s="15"/>
      <c r="D128" s="1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5"/>
      <c r="B129" s="15"/>
      <c r="C129" s="15"/>
      <c r="D129" s="1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5"/>
      <c r="B130" s="15"/>
      <c r="C130" s="15"/>
      <c r="D130" s="1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5"/>
      <c r="B131" s="15"/>
      <c r="C131" s="15"/>
      <c r="D131" s="1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5"/>
      <c r="B132" s="15"/>
      <c r="C132" s="15"/>
      <c r="D132" s="1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5"/>
      <c r="B133" s="15"/>
      <c r="C133" s="15"/>
      <c r="D133" s="1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5"/>
      <c r="B134" s="15"/>
      <c r="C134" s="15"/>
      <c r="D134" s="1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5"/>
      <c r="B135" s="15"/>
      <c r="C135" s="15"/>
      <c r="D135" s="1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5"/>
      <c r="B136" s="15"/>
      <c r="C136" s="15"/>
      <c r="D136" s="1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5"/>
      <c r="B137" s="15"/>
      <c r="C137" s="15"/>
      <c r="D137" s="1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5"/>
      <c r="B138" s="15"/>
      <c r="C138" s="15"/>
      <c r="D138" s="1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5"/>
      <c r="B139" s="15"/>
      <c r="C139" s="15"/>
      <c r="D139" s="1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5"/>
      <c r="B140" s="15"/>
      <c r="C140" s="15"/>
      <c r="D140" s="1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5"/>
      <c r="B141" s="15"/>
      <c r="C141" s="15"/>
      <c r="D141" s="1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5"/>
      <c r="B142" s="15"/>
      <c r="C142" s="15"/>
      <c r="D142" s="1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5"/>
      <c r="B143" s="15"/>
      <c r="C143" s="15"/>
      <c r="D143" s="1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5"/>
      <c r="B144" s="15"/>
      <c r="C144" s="15"/>
      <c r="D144" s="1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5"/>
      <c r="B145" s="15"/>
      <c r="C145" s="15"/>
      <c r="D145" s="1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5"/>
      <c r="B146" s="15"/>
      <c r="C146" s="15"/>
      <c r="D146" s="1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5"/>
      <c r="B147" s="15"/>
      <c r="C147" s="15"/>
      <c r="D147" s="1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5"/>
      <c r="B148" s="15"/>
      <c r="C148" s="15"/>
      <c r="D148" s="1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5"/>
      <c r="B149" s="15"/>
      <c r="C149" s="15"/>
      <c r="D149" s="1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5"/>
      <c r="B150" s="15"/>
      <c r="C150" s="15"/>
      <c r="D150" s="1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5"/>
      <c r="B151" s="15"/>
      <c r="C151" s="15"/>
      <c r="D151" s="1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5"/>
      <c r="B152" s="15"/>
      <c r="C152" s="15"/>
      <c r="D152" s="1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5"/>
      <c r="B153" s="15"/>
      <c r="C153" s="15"/>
      <c r="D153" s="1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5"/>
      <c r="B154" s="15"/>
      <c r="C154" s="15"/>
      <c r="D154" s="1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5"/>
      <c r="B155" s="15"/>
      <c r="C155" s="15"/>
      <c r="D155" s="1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5"/>
      <c r="B156" s="15"/>
      <c r="C156" s="15"/>
      <c r="D156" s="1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5"/>
      <c r="B157" s="15"/>
      <c r="C157" s="15"/>
      <c r="D157" s="1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5"/>
      <c r="B158" s="15"/>
      <c r="C158" s="15"/>
      <c r="D158" s="1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5"/>
      <c r="B159" s="15"/>
      <c r="C159" s="15"/>
      <c r="D159" s="1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5"/>
      <c r="B160" s="15"/>
      <c r="C160" s="15"/>
      <c r="D160" s="1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5"/>
      <c r="B161" s="15"/>
      <c r="C161" s="15"/>
      <c r="D161" s="1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5"/>
      <c r="B162" s="15"/>
      <c r="C162" s="15"/>
      <c r="D162" s="1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/>
      <c r="B163" s="15"/>
      <c r="C163" s="15"/>
      <c r="D163" s="1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/>
      <c r="B164" s="15"/>
      <c r="C164" s="15"/>
      <c r="D164" s="1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/>
      <c r="B165" s="15"/>
      <c r="C165" s="15"/>
      <c r="D165" s="1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/>
      <c r="B166" s="15"/>
      <c r="C166" s="15"/>
      <c r="D166" s="1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5"/>
      <c r="B167" s="15"/>
      <c r="C167" s="15"/>
      <c r="D167" s="1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/>
      <c r="B168" s="15"/>
      <c r="C168" s="15"/>
      <c r="D168" s="1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/>
      <c r="B169" s="15"/>
      <c r="C169" s="15"/>
      <c r="D169" s="1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/>
      <c r="B170" s="15"/>
      <c r="C170" s="15"/>
      <c r="D170" s="1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/>
      <c r="B171" s="15"/>
      <c r="C171" s="15"/>
      <c r="D171" s="1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/>
      <c r="B172" s="15"/>
      <c r="C172" s="15"/>
      <c r="D172" s="1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/>
      <c r="B173" s="15"/>
      <c r="C173" s="15"/>
      <c r="D173" s="1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/>
      <c r="B174" s="15"/>
      <c r="C174" s="15"/>
      <c r="D174" s="1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/>
      <c r="B175" s="15"/>
      <c r="C175" s="15"/>
      <c r="D175" s="1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/>
      <c r="B176" s="15"/>
      <c r="C176" s="15"/>
      <c r="D176" s="1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/>
      <c r="B177" s="15"/>
      <c r="C177" s="15"/>
      <c r="D177" s="1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/>
      <c r="B178" s="15"/>
      <c r="C178" s="15"/>
      <c r="D178" s="1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/>
      <c r="B179" s="15"/>
      <c r="C179" s="15"/>
      <c r="D179" s="1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/>
      <c r="B180" s="15"/>
      <c r="C180" s="15"/>
      <c r="D180" s="1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/>
      <c r="B181" s="15"/>
      <c r="C181" s="15"/>
      <c r="D181" s="1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/>
      <c r="B182" s="15"/>
      <c r="C182" s="15"/>
      <c r="D182" s="1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/>
      <c r="B183" s="15"/>
      <c r="C183" s="15"/>
      <c r="D183" s="1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/>
      <c r="B184" s="15"/>
      <c r="C184" s="15"/>
      <c r="D184" s="1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/>
      <c r="B185" s="15"/>
      <c r="C185" s="15"/>
      <c r="D185" s="1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/>
      <c r="B186" s="15"/>
      <c r="C186" s="15"/>
      <c r="D186" s="1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/>
      <c r="B187" s="15"/>
      <c r="C187" s="15"/>
      <c r="D187" s="1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/>
      <c r="B188" s="15"/>
      <c r="C188" s="15"/>
      <c r="D188" s="1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/>
      <c r="B189" s="15"/>
      <c r="C189" s="15"/>
      <c r="D189" s="1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/>
      <c r="B190" s="15"/>
      <c r="C190" s="15"/>
      <c r="D190" s="1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/>
      <c r="B191" s="15"/>
      <c r="C191" s="15"/>
      <c r="D191" s="1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5"/>
      <c r="B192" s="15"/>
      <c r="C192" s="15"/>
      <c r="D192" s="1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5"/>
      <c r="B193" s="15"/>
      <c r="C193" s="15"/>
      <c r="D193" s="1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5"/>
      <c r="B194" s="15"/>
      <c r="C194" s="15"/>
      <c r="D194" s="1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5"/>
      <c r="B195" s="15"/>
      <c r="C195" s="15"/>
      <c r="D195" s="1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5"/>
      <c r="B196" s="15"/>
      <c r="C196" s="15"/>
      <c r="D196" s="1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5"/>
      <c r="B197" s="15"/>
      <c r="C197" s="15"/>
      <c r="D197" s="1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5"/>
      <c r="B198" s="15"/>
      <c r="C198" s="15"/>
      <c r="D198" s="1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5"/>
      <c r="B199" s="15"/>
      <c r="C199" s="15"/>
      <c r="D199" s="1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5"/>
      <c r="B200" s="15"/>
      <c r="C200" s="15"/>
      <c r="D200" s="1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5"/>
      <c r="B201" s="15"/>
      <c r="C201" s="15"/>
      <c r="D201" s="1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5"/>
      <c r="B202" s="15"/>
      <c r="C202" s="15"/>
      <c r="D202" s="1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5"/>
      <c r="B203" s="15"/>
      <c r="C203" s="15"/>
      <c r="D203" s="1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5"/>
      <c r="B204" s="15"/>
      <c r="C204" s="15"/>
      <c r="D204" s="1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5"/>
      <c r="B205" s="15"/>
      <c r="C205" s="15"/>
      <c r="D205" s="1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5"/>
      <c r="B206" s="15"/>
      <c r="C206" s="15"/>
      <c r="D206" s="1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5"/>
      <c r="B207" s="15"/>
      <c r="C207" s="15"/>
      <c r="D207" s="1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5"/>
      <c r="B208" s="15"/>
      <c r="C208" s="15"/>
      <c r="D208" s="1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5"/>
      <c r="B209" s="15"/>
      <c r="C209" s="15"/>
      <c r="D209" s="1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5"/>
      <c r="B210" s="15"/>
      <c r="C210" s="15"/>
      <c r="D210" s="1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5"/>
      <c r="B211" s="15"/>
      <c r="C211" s="15"/>
      <c r="D211" s="1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5"/>
      <c r="B212" s="15"/>
      <c r="C212" s="15"/>
      <c r="D212" s="1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5"/>
      <c r="B213" s="15"/>
      <c r="C213" s="15"/>
      <c r="D213" s="1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5"/>
      <c r="B214" s="15"/>
      <c r="C214" s="15"/>
      <c r="D214" s="1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5"/>
      <c r="B215" s="15"/>
      <c r="C215" s="15"/>
      <c r="D215" s="1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5"/>
      <c r="B216" s="15"/>
      <c r="C216" s="15"/>
      <c r="D216" s="1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5"/>
      <c r="B217" s="15"/>
      <c r="C217" s="15"/>
      <c r="D217" s="1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5"/>
      <c r="B218" s="15"/>
      <c r="C218" s="15"/>
      <c r="D218" s="1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5"/>
      <c r="B219" s="15"/>
      <c r="C219" s="15"/>
      <c r="D219" s="1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5"/>
      <c r="B220" s="15"/>
      <c r="C220" s="15"/>
      <c r="D220" s="1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5"/>
      <c r="B221" s="15"/>
      <c r="C221" s="15"/>
      <c r="D221" s="1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5"/>
      <c r="B222" s="15"/>
      <c r="C222" s="15"/>
      <c r="D222" s="1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5"/>
      <c r="B223" s="15"/>
      <c r="C223" s="15"/>
      <c r="D223" s="1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5"/>
      <c r="B224" s="15"/>
      <c r="C224" s="15"/>
      <c r="D224" s="1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5"/>
      <c r="B225" s="15"/>
      <c r="C225" s="15"/>
      <c r="D225" s="1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5"/>
      <c r="B226" s="15"/>
      <c r="C226" s="15"/>
      <c r="D226" s="1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5"/>
      <c r="B227" s="15"/>
      <c r="C227" s="15"/>
      <c r="D227" s="1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5"/>
      <c r="B228" s="15"/>
      <c r="C228" s="15"/>
      <c r="D228" s="1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5"/>
      <c r="B229" s="15"/>
      <c r="C229" s="15"/>
      <c r="D229" s="1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5"/>
      <c r="B230" s="15"/>
      <c r="C230" s="15"/>
      <c r="D230" s="1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5"/>
      <c r="B231" s="15"/>
      <c r="C231" s="15"/>
      <c r="D231" s="1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5"/>
      <c r="B232" s="15"/>
      <c r="C232" s="15"/>
      <c r="D232" s="1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5"/>
      <c r="B233" s="15"/>
      <c r="C233" s="15"/>
      <c r="D233" s="1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5"/>
      <c r="B234" s="15"/>
      <c r="C234" s="15"/>
      <c r="D234" s="1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5"/>
      <c r="B235" s="15"/>
      <c r="C235" s="15"/>
      <c r="D235" s="1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5"/>
      <c r="B236" s="15"/>
      <c r="C236" s="15"/>
      <c r="D236" s="1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5"/>
      <c r="B237" s="15"/>
      <c r="C237" s="15"/>
      <c r="D237" s="1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5"/>
      <c r="B238" s="15"/>
      <c r="C238" s="15"/>
      <c r="D238" s="1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5"/>
      <c r="B239" s="15"/>
      <c r="C239" s="15"/>
      <c r="D239" s="1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5"/>
      <c r="B240" s="15"/>
      <c r="C240" s="15"/>
      <c r="D240" s="1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5"/>
      <c r="B241" s="15"/>
      <c r="C241" s="15"/>
      <c r="D241" s="1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5"/>
      <c r="B242" s="15"/>
      <c r="C242" s="15"/>
      <c r="D242" s="1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5"/>
      <c r="B243" s="15"/>
      <c r="C243" s="15"/>
      <c r="D243" s="1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5"/>
      <c r="B244" s="15"/>
      <c r="C244" s="15"/>
      <c r="D244" s="1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5"/>
      <c r="B245" s="15"/>
      <c r="C245" s="15"/>
      <c r="D245" s="1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5"/>
      <c r="B246" s="15"/>
      <c r="C246" s="15"/>
      <c r="D246" s="1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5"/>
      <c r="B247" s="15"/>
      <c r="C247" s="15"/>
      <c r="D247" s="1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5"/>
      <c r="B248" s="15"/>
      <c r="C248" s="15"/>
      <c r="D248" s="1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5"/>
      <c r="B249" s="15"/>
      <c r="C249" s="15"/>
      <c r="D249" s="1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5"/>
      <c r="B250" s="15"/>
      <c r="C250" s="15"/>
      <c r="D250" s="1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5"/>
      <c r="B251" s="15"/>
      <c r="C251" s="15"/>
      <c r="D251" s="1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5"/>
      <c r="B252" s="15"/>
      <c r="C252" s="15"/>
      <c r="D252" s="1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5"/>
      <c r="B253" s="15"/>
      <c r="C253" s="15"/>
      <c r="D253" s="1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5"/>
      <c r="B254" s="15"/>
      <c r="C254" s="15"/>
      <c r="D254" s="1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5"/>
      <c r="B255" s="15"/>
      <c r="C255" s="15"/>
      <c r="D255" s="1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5"/>
      <c r="B256" s="15"/>
      <c r="C256" s="15"/>
      <c r="D256" s="1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5"/>
      <c r="B257" s="15"/>
      <c r="C257" s="15"/>
      <c r="D257" s="1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5"/>
      <c r="B258" s="15"/>
      <c r="C258" s="15"/>
      <c r="D258" s="1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5"/>
      <c r="B259" s="15"/>
      <c r="C259" s="15"/>
      <c r="D259" s="1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5"/>
      <c r="B260" s="15"/>
      <c r="C260" s="15"/>
      <c r="D260" s="1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5"/>
      <c r="B261" s="15"/>
      <c r="C261" s="15"/>
      <c r="D261" s="1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5"/>
      <c r="B262" s="15"/>
      <c r="C262" s="15"/>
      <c r="D262" s="1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5"/>
      <c r="B263" s="15"/>
      <c r="C263" s="15"/>
      <c r="D263" s="1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5"/>
      <c r="B264" s="15"/>
      <c r="C264" s="15"/>
      <c r="D264" s="1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5"/>
      <c r="B265" s="15"/>
      <c r="C265" s="15"/>
      <c r="D265" s="1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5"/>
      <c r="B266" s="15"/>
      <c r="C266" s="15"/>
      <c r="D266" s="1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5"/>
      <c r="B267" s="15"/>
      <c r="C267" s="15"/>
      <c r="D267" s="1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5"/>
      <c r="B268" s="15"/>
      <c r="C268" s="15"/>
      <c r="D268" s="1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5"/>
      <c r="B269" s="15"/>
      <c r="C269" s="15"/>
      <c r="D269" s="1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5"/>
      <c r="B270" s="15"/>
      <c r="C270" s="15"/>
      <c r="D270" s="1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5"/>
      <c r="B271" s="15"/>
      <c r="C271" s="15"/>
      <c r="D271" s="1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5"/>
      <c r="B272" s="15"/>
      <c r="C272" s="15"/>
      <c r="D272" s="1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5"/>
      <c r="B273" s="15"/>
      <c r="C273" s="15"/>
      <c r="D273" s="1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5"/>
      <c r="B274" s="15"/>
      <c r="C274" s="15"/>
      <c r="D274" s="1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5"/>
      <c r="B275" s="15"/>
      <c r="C275" s="15"/>
      <c r="D275" s="1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5"/>
      <c r="B276" s="15"/>
      <c r="C276" s="15"/>
      <c r="D276" s="1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5"/>
      <c r="B277" s="15"/>
      <c r="C277" s="15"/>
      <c r="D277" s="1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5"/>
      <c r="B278" s="15"/>
      <c r="C278" s="15"/>
      <c r="D278" s="1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5"/>
      <c r="B279" s="15"/>
      <c r="C279" s="15"/>
      <c r="D279" s="1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5"/>
      <c r="B280" s="15"/>
      <c r="C280" s="15"/>
      <c r="D280" s="1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5"/>
      <c r="B281" s="15"/>
      <c r="C281" s="15"/>
      <c r="D281" s="1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5"/>
      <c r="B282" s="15"/>
      <c r="C282" s="15"/>
      <c r="D282" s="1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5"/>
      <c r="B283" s="15"/>
      <c r="C283" s="15"/>
      <c r="D283" s="1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5"/>
      <c r="B284" s="15"/>
      <c r="C284" s="15"/>
      <c r="D284" s="1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5"/>
      <c r="B285" s="15"/>
      <c r="C285" s="15"/>
      <c r="D285" s="1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5"/>
      <c r="B286" s="15"/>
      <c r="C286" s="15"/>
      <c r="D286" s="1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5"/>
      <c r="B287" s="15"/>
      <c r="C287" s="15"/>
      <c r="D287" s="1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5"/>
      <c r="B288" s="15"/>
      <c r="C288" s="15"/>
      <c r="D288" s="1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5"/>
      <c r="B289" s="15"/>
      <c r="C289" s="15"/>
      <c r="D289" s="1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5"/>
      <c r="B290" s="15"/>
      <c r="C290" s="15"/>
      <c r="D290" s="1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5"/>
      <c r="B291" s="15"/>
      <c r="C291" s="15"/>
      <c r="D291" s="1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5"/>
      <c r="B292" s="15"/>
      <c r="C292" s="15"/>
      <c r="D292" s="1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5"/>
      <c r="B293" s="15"/>
      <c r="C293" s="15"/>
      <c r="D293" s="1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5"/>
      <c r="B294" s="15"/>
      <c r="C294" s="15"/>
      <c r="D294" s="1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5"/>
      <c r="B295" s="15"/>
      <c r="C295" s="15"/>
      <c r="D295" s="1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5"/>
      <c r="B296" s="15"/>
      <c r="C296" s="15"/>
      <c r="D296" s="1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5"/>
      <c r="B297" s="15"/>
      <c r="C297" s="15"/>
      <c r="D297" s="1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5"/>
      <c r="B298" s="15"/>
      <c r="C298" s="15"/>
      <c r="D298" s="1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5"/>
      <c r="B299" s="15"/>
      <c r="C299" s="15"/>
      <c r="D299" s="1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5"/>
      <c r="B300" s="15"/>
      <c r="C300" s="15"/>
      <c r="D300" s="1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5"/>
      <c r="B301" s="15"/>
      <c r="C301" s="15"/>
      <c r="D301" s="1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5"/>
      <c r="B302" s="15"/>
      <c r="C302" s="15"/>
      <c r="D302" s="1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5"/>
      <c r="B303" s="15"/>
      <c r="C303" s="15"/>
      <c r="D303" s="1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5"/>
      <c r="B304" s="15"/>
      <c r="C304" s="15"/>
      <c r="D304" s="1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5"/>
      <c r="B305" s="15"/>
      <c r="C305" s="15"/>
      <c r="D305" s="1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5"/>
      <c r="B306" s="15"/>
      <c r="C306" s="15"/>
      <c r="D306" s="1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5"/>
      <c r="B307" s="15"/>
      <c r="C307" s="15"/>
      <c r="D307" s="1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5"/>
      <c r="B308" s="15"/>
      <c r="C308" s="15"/>
      <c r="D308" s="1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5"/>
      <c r="B309" s="15"/>
      <c r="C309" s="15"/>
      <c r="D309" s="1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5"/>
      <c r="B310" s="15"/>
      <c r="C310" s="15"/>
      <c r="D310" s="1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5"/>
      <c r="B311" s="15"/>
      <c r="C311" s="15"/>
      <c r="D311" s="1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5"/>
      <c r="B312" s="15"/>
      <c r="C312" s="15"/>
      <c r="D312" s="1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5"/>
      <c r="B313" s="15"/>
      <c r="C313" s="15"/>
      <c r="D313" s="1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5"/>
      <c r="B314" s="15"/>
      <c r="C314" s="15"/>
      <c r="D314" s="1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5"/>
      <c r="B315" s="15"/>
      <c r="C315" s="15"/>
      <c r="D315" s="1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5"/>
      <c r="B316" s="15"/>
      <c r="C316" s="15"/>
      <c r="D316" s="1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5"/>
      <c r="B317" s="15"/>
      <c r="C317" s="15"/>
      <c r="D317" s="1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5"/>
      <c r="B318" s="15"/>
      <c r="C318" s="15"/>
      <c r="D318" s="1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5"/>
      <c r="B319" s="15"/>
      <c r="C319" s="15"/>
      <c r="D319" s="1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5"/>
      <c r="B320" s="15"/>
      <c r="C320" s="15"/>
      <c r="D320" s="1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5"/>
      <c r="B321" s="15"/>
      <c r="C321" s="15"/>
      <c r="D321" s="1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5"/>
      <c r="B322" s="15"/>
      <c r="C322" s="15"/>
      <c r="D322" s="1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5"/>
      <c r="B323" s="15"/>
      <c r="C323" s="15"/>
      <c r="D323" s="1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5"/>
      <c r="B324" s="15"/>
      <c r="C324" s="15"/>
      <c r="D324" s="1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5"/>
      <c r="B325" s="15"/>
      <c r="C325" s="15"/>
      <c r="D325" s="1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5"/>
      <c r="B326" s="15"/>
      <c r="C326" s="15"/>
      <c r="D326" s="1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5"/>
      <c r="B327" s="15"/>
      <c r="C327" s="15"/>
      <c r="D327" s="1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5"/>
      <c r="B328" s="15"/>
      <c r="C328" s="15"/>
      <c r="D328" s="1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5"/>
      <c r="B329" s="15"/>
      <c r="C329" s="15"/>
      <c r="D329" s="1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5"/>
      <c r="B330" s="15"/>
      <c r="C330" s="15"/>
      <c r="D330" s="1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5"/>
      <c r="B331" s="15"/>
      <c r="C331" s="15"/>
      <c r="D331" s="1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5"/>
      <c r="B332" s="15"/>
      <c r="C332" s="15"/>
      <c r="D332" s="1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5"/>
      <c r="B333" s="15"/>
      <c r="C333" s="15"/>
      <c r="D333" s="1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5"/>
      <c r="B334" s="15"/>
      <c r="C334" s="15"/>
      <c r="D334" s="1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5"/>
      <c r="B335" s="15"/>
      <c r="C335" s="15"/>
      <c r="D335" s="1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5"/>
      <c r="B336" s="15"/>
      <c r="C336" s="15"/>
      <c r="D336" s="1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5"/>
      <c r="B337" s="15"/>
      <c r="C337" s="15"/>
      <c r="D337" s="1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5"/>
      <c r="B338" s="15"/>
      <c r="C338" s="15"/>
      <c r="D338" s="1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5"/>
      <c r="B339" s="15"/>
      <c r="C339" s="15"/>
      <c r="D339" s="1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5"/>
      <c r="B340" s="15"/>
      <c r="C340" s="15"/>
      <c r="D340" s="1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5"/>
      <c r="B341" s="15"/>
      <c r="C341" s="15"/>
      <c r="D341" s="1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5"/>
      <c r="B342" s="15"/>
      <c r="C342" s="15"/>
      <c r="D342" s="1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5"/>
      <c r="B343" s="15"/>
      <c r="C343" s="15"/>
      <c r="D343" s="1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5"/>
      <c r="B344" s="15"/>
      <c r="C344" s="15"/>
      <c r="D344" s="1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5"/>
      <c r="B345" s="15"/>
      <c r="C345" s="15"/>
      <c r="D345" s="1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5"/>
      <c r="B346" s="15"/>
      <c r="C346" s="15"/>
      <c r="D346" s="1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5"/>
      <c r="B347" s="15"/>
      <c r="C347" s="15"/>
      <c r="D347" s="1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5"/>
      <c r="B348" s="15"/>
      <c r="C348" s="15"/>
      <c r="D348" s="1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5"/>
      <c r="B349" s="15"/>
      <c r="C349" s="15"/>
      <c r="D349" s="1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5"/>
      <c r="B350" s="15"/>
      <c r="C350" s="15"/>
      <c r="D350" s="1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5"/>
      <c r="B351" s="15"/>
      <c r="C351" s="15"/>
      <c r="D351" s="1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5"/>
      <c r="B352" s="15"/>
      <c r="C352" s="15"/>
      <c r="D352" s="1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5"/>
      <c r="B353" s="15"/>
      <c r="C353" s="15"/>
      <c r="D353" s="1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5"/>
      <c r="B354" s="15"/>
      <c r="C354" s="15"/>
      <c r="D354" s="1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5"/>
      <c r="B355" s="15"/>
      <c r="C355" s="15"/>
      <c r="D355" s="1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5"/>
      <c r="B356" s="15"/>
      <c r="C356" s="15"/>
      <c r="D356" s="1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5"/>
      <c r="B357" s="15"/>
      <c r="C357" s="15"/>
      <c r="D357" s="1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5"/>
      <c r="B358" s="15"/>
      <c r="C358" s="15"/>
      <c r="D358" s="1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5"/>
      <c r="B359" s="15"/>
      <c r="C359" s="15"/>
      <c r="D359" s="1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5"/>
      <c r="B360" s="15"/>
      <c r="C360" s="15"/>
      <c r="D360" s="1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5"/>
      <c r="B361" s="15"/>
      <c r="C361" s="15"/>
      <c r="D361" s="1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5"/>
      <c r="B362" s="15"/>
      <c r="C362" s="15"/>
      <c r="D362" s="1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5"/>
      <c r="B363" s="15"/>
      <c r="C363" s="15"/>
      <c r="D363" s="1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5"/>
      <c r="B364" s="15"/>
      <c r="C364" s="15"/>
      <c r="D364" s="1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5"/>
      <c r="B365" s="15"/>
      <c r="C365" s="15"/>
      <c r="D365" s="1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5"/>
      <c r="B366" s="15"/>
      <c r="C366" s="15"/>
      <c r="D366" s="1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5"/>
      <c r="B367" s="15"/>
      <c r="C367" s="15"/>
      <c r="D367" s="1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5"/>
      <c r="B368" s="15"/>
      <c r="C368" s="15"/>
      <c r="D368" s="1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5"/>
      <c r="B369" s="15"/>
      <c r="C369" s="15"/>
      <c r="D369" s="1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5"/>
      <c r="B370" s="15"/>
      <c r="C370" s="15"/>
      <c r="D370" s="1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5"/>
      <c r="B371" s="15"/>
      <c r="C371" s="15"/>
      <c r="D371" s="1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5"/>
      <c r="B372" s="15"/>
      <c r="C372" s="15"/>
      <c r="D372" s="1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5"/>
      <c r="B373" s="15"/>
      <c r="C373" s="15"/>
      <c r="D373" s="1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5"/>
      <c r="B374" s="15"/>
      <c r="C374" s="15"/>
      <c r="D374" s="1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5"/>
      <c r="B375" s="15"/>
      <c r="C375" s="15"/>
      <c r="D375" s="1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5"/>
      <c r="B376" s="15"/>
      <c r="C376" s="15"/>
      <c r="D376" s="1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5"/>
      <c r="B377" s="15"/>
      <c r="C377" s="15"/>
      <c r="D377" s="1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5"/>
      <c r="B378" s="15"/>
      <c r="C378" s="15"/>
      <c r="D378" s="1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5"/>
      <c r="B379" s="15"/>
      <c r="C379" s="15"/>
      <c r="D379" s="1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5"/>
      <c r="B380" s="15"/>
      <c r="C380" s="15"/>
      <c r="D380" s="1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5"/>
      <c r="B381" s="15"/>
      <c r="C381" s="15"/>
      <c r="D381" s="1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5"/>
      <c r="B382" s="15"/>
      <c r="C382" s="15"/>
      <c r="D382" s="1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5"/>
      <c r="B383" s="15"/>
      <c r="C383" s="15"/>
      <c r="D383" s="1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5"/>
      <c r="B384" s="15"/>
      <c r="C384" s="15"/>
      <c r="D384" s="1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5"/>
      <c r="B385" s="15"/>
      <c r="C385" s="15"/>
      <c r="D385" s="1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5"/>
      <c r="B386" s="15"/>
      <c r="C386" s="15"/>
      <c r="D386" s="1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5"/>
      <c r="B387" s="15"/>
      <c r="C387" s="15"/>
      <c r="D387" s="1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5"/>
      <c r="B388" s="15"/>
      <c r="C388" s="15"/>
      <c r="D388" s="1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5"/>
      <c r="B389" s="15"/>
      <c r="C389" s="15"/>
      <c r="D389" s="1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5"/>
      <c r="B390" s="15"/>
      <c r="C390" s="15"/>
      <c r="D390" s="1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5"/>
      <c r="B391" s="15"/>
      <c r="C391" s="15"/>
      <c r="D391" s="1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5"/>
      <c r="B392" s="15"/>
      <c r="C392" s="15"/>
      <c r="D392" s="1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5"/>
      <c r="B393" s="15"/>
      <c r="C393" s="15"/>
      <c r="D393" s="1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5"/>
      <c r="B394" s="15"/>
      <c r="C394" s="15"/>
      <c r="D394" s="1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5"/>
      <c r="B395" s="15"/>
      <c r="C395" s="15"/>
      <c r="D395" s="1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5"/>
      <c r="B396" s="15"/>
      <c r="C396" s="15"/>
      <c r="D396" s="1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5"/>
      <c r="B397" s="15"/>
      <c r="C397" s="15"/>
      <c r="D397" s="1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5"/>
      <c r="B398" s="15"/>
      <c r="C398" s="15"/>
      <c r="D398" s="1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5"/>
      <c r="B399" s="15"/>
      <c r="C399" s="15"/>
      <c r="D399" s="1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5"/>
      <c r="B400" s="15"/>
      <c r="C400" s="15"/>
      <c r="D400" s="1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5"/>
      <c r="B401" s="15"/>
      <c r="C401" s="15"/>
      <c r="D401" s="1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5"/>
      <c r="B402" s="15"/>
      <c r="C402" s="15"/>
      <c r="D402" s="1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5"/>
      <c r="B403" s="15"/>
      <c r="C403" s="15"/>
      <c r="D403" s="1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5"/>
      <c r="B404" s="15"/>
      <c r="C404" s="15"/>
      <c r="D404" s="1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5"/>
      <c r="B405" s="15"/>
      <c r="C405" s="15"/>
      <c r="D405" s="1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5"/>
      <c r="B406" s="15"/>
      <c r="C406" s="15"/>
      <c r="D406" s="1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5"/>
      <c r="B407" s="15"/>
      <c r="C407" s="15"/>
      <c r="D407" s="1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5"/>
      <c r="B408" s="15"/>
      <c r="C408" s="15"/>
      <c r="D408" s="1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5"/>
      <c r="B409" s="15"/>
      <c r="C409" s="15"/>
      <c r="D409" s="1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5"/>
      <c r="B410" s="15"/>
      <c r="C410" s="15"/>
      <c r="D410" s="1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5"/>
      <c r="B411" s="15"/>
      <c r="C411" s="15"/>
      <c r="D411" s="1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5"/>
      <c r="B412" s="15"/>
      <c r="C412" s="15"/>
      <c r="D412" s="1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5"/>
      <c r="B413" s="15"/>
      <c r="C413" s="15"/>
      <c r="D413" s="1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5"/>
      <c r="B414" s="15"/>
      <c r="C414" s="15"/>
      <c r="D414" s="1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5"/>
      <c r="B415" s="15"/>
      <c r="C415" s="15"/>
      <c r="D415" s="1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5"/>
      <c r="B416" s="15"/>
      <c r="C416" s="15"/>
      <c r="D416" s="1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5"/>
      <c r="B417" s="15"/>
      <c r="C417" s="15"/>
      <c r="D417" s="1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5"/>
      <c r="B418" s="15"/>
      <c r="C418" s="15"/>
      <c r="D418" s="1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5"/>
      <c r="B419" s="15"/>
      <c r="C419" s="15"/>
      <c r="D419" s="1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5"/>
      <c r="B420" s="15"/>
      <c r="C420" s="15"/>
      <c r="D420" s="1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5"/>
      <c r="B421" s="15"/>
      <c r="C421" s="15"/>
      <c r="D421" s="1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5"/>
      <c r="B422" s="15"/>
      <c r="C422" s="15"/>
      <c r="D422" s="1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5"/>
      <c r="B423" s="15"/>
      <c r="C423" s="15"/>
      <c r="D423" s="1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5"/>
      <c r="B424" s="15"/>
      <c r="C424" s="15"/>
      <c r="D424" s="1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5"/>
      <c r="B425" s="15"/>
      <c r="C425" s="15"/>
      <c r="D425" s="1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5"/>
      <c r="B426" s="15"/>
      <c r="C426" s="15"/>
      <c r="D426" s="1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5"/>
      <c r="B427" s="15"/>
      <c r="C427" s="15"/>
      <c r="D427" s="1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5"/>
      <c r="B428" s="15"/>
      <c r="C428" s="15"/>
      <c r="D428" s="1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5"/>
      <c r="B429" s="15"/>
      <c r="C429" s="15"/>
      <c r="D429" s="1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5"/>
      <c r="B430" s="15"/>
      <c r="C430" s="15"/>
      <c r="D430" s="1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5"/>
      <c r="B431" s="15"/>
      <c r="C431" s="15"/>
      <c r="D431" s="1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5"/>
      <c r="B432" s="15"/>
      <c r="C432" s="15"/>
      <c r="D432" s="1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5"/>
      <c r="B433" s="15"/>
      <c r="C433" s="15"/>
      <c r="D433" s="1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5"/>
      <c r="B434" s="15"/>
      <c r="C434" s="15"/>
      <c r="D434" s="1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5"/>
      <c r="B435" s="15"/>
      <c r="C435" s="15"/>
      <c r="D435" s="1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5"/>
      <c r="B436" s="15"/>
      <c r="C436" s="15"/>
      <c r="D436" s="1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5"/>
      <c r="B437" s="15"/>
      <c r="C437" s="15"/>
      <c r="D437" s="1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5"/>
      <c r="B438" s="15"/>
      <c r="C438" s="15"/>
      <c r="D438" s="1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5"/>
      <c r="B439" s="15"/>
      <c r="C439" s="15"/>
      <c r="D439" s="1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5"/>
      <c r="B440" s="15"/>
      <c r="C440" s="15"/>
      <c r="D440" s="1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5"/>
      <c r="B441" s="15"/>
      <c r="C441" s="15"/>
      <c r="D441" s="1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5"/>
      <c r="B442" s="15"/>
      <c r="C442" s="15"/>
      <c r="D442" s="1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5"/>
      <c r="B443" s="15"/>
      <c r="C443" s="15"/>
      <c r="D443" s="1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5"/>
      <c r="B444" s="15"/>
      <c r="C444" s="15"/>
      <c r="D444" s="1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5"/>
      <c r="B445" s="15"/>
      <c r="C445" s="15"/>
      <c r="D445" s="1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5"/>
      <c r="B446" s="15"/>
      <c r="C446" s="15"/>
      <c r="D446" s="1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5"/>
      <c r="B447" s="15"/>
      <c r="C447" s="15"/>
      <c r="D447" s="1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5"/>
      <c r="B448" s="15"/>
      <c r="C448" s="15"/>
      <c r="D448" s="1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5"/>
      <c r="B449" s="15"/>
      <c r="C449" s="15"/>
      <c r="D449" s="1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5"/>
      <c r="B450" s="15"/>
      <c r="C450" s="15"/>
      <c r="D450" s="1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5"/>
      <c r="B451" s="15"/>
      <c r="C451" s="15"/>
      <c r="D451" s="1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5"/>
      <c r="B452" s="15"/>
      <c r="C452" s="15"/>
      <c r="D452" s="1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5"/>
      <c r="B453" s="15"/>
      <c r="C453" s="15"/>
      <c r="D453" s="1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5"/>
      <c r="B454" s="15"/>
      <c r="C454" s="15"/>
      <c r="D454" s="1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5"/>
      <c r="B455" s="15"/>
      <c r="C455" s="15"/>
      <c r="D455" s="1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5"/>
      <c r="B456" s="15"/>
      <c r="C456" s="15"/>
      <c r="D456" s="1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5"/>
      <c r="B457" s="15"/>
      <c r="C457" s="15"/>
      <c r="D457" s="1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5"/>
      <c r="B458" s="15"/>
      <c r="C458" s="15"/>
      <c r="D458" s="1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5"/>
      <c r="B459" s="15"/>
      <c r="C459" s="15"/>
      <c r="D459" s="1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5"/>
      <c r="B460" s="15"/>
      <c r="C460" s="15"/>
      <c r="D460" s="1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5"/>
      <c r="B461" s="15"/>
      <c r="C461" s="15"/>
      <c r="D461" s="1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5"/>
      <c r="B462" s="15"/>
      <c r="C462" s="15"/>
      <c r="D462" s="1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5"/>
      <c r="B463" s="15"/>
      <c r="C463" s="15"/>
      <c r="D463" s="1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5"/>
      <c r="B464" s="15"/>
      <c r="C464" s="15"/>
      <c r="D464" s="1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5"/>
      <c r="B465" s="15"/>
      <c r="C465" s="15"/>
      <c r="D465" s="1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5"/>
      <c r="B466" s="15"/>
      <c r="C466" s="15"/>
      <c r="D466" s="1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5"/>
      <c r="B467" s="15"/>
      <c r="C467" s="15"/>
      <c r="D467" s="1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5"/>
      <c r="B468" s="15"/>
      <c r="C468" s="15"/>
      <c r="D468" s="1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5"/>
      <c r="B469" s="15"/>
      <c r="C469" s="15"/>
      <c r="D469" s="1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5"/>
      <c r="B470" s="15"/>
      <c r="C470" s="15"/>
      <c r="D470" s="1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5"/>
      <c r="B471" s="15"/>
      <c r="C471" s="15"/>
      <c r="D471" s="1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5"/>
      <c r="B472" s="15"/>
      <c r="C472" s="15"/>
      <c r="D472" s="1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5"/>
      <c r="B473" s="15"/>
      <c r="C473" s="15"/>
      <c r="D473" s="1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5"/>
      <c r="B474" s="15"/>
      <c r="C474" s="15"/>
      <c r="D474" s="1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5"/>
      <c r="B475" s="15"/>
      <c r="C475" s="15"/>
      <c r="D475" s="1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5"/>
      <c r="B476" s="15"/>
      <c r="C476" s="15"/>
      <c r="D476" s="1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5"/>
      <c r="B477" s="15"/>
      <c r="C477" s="15"/>
      <c r="D477" s="1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5"/>
      <c r="B478" s="15"/>
      <c r="C478" s="15"/>
      <c r="D478" s="1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5"/>
      <c r="B479" s="15"/>
      <c r="C479" s="15"/>
      <c r="D479" s="1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5"/>
      <c r="B480" s="15"/>
      <c r="C480" s="15"/>
      <c r="D480" s="1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5"/>
      <c r="B481" s="15"/>
      <c r="C481" s="15"/>
      <c r="D481" s="1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5"/>
      <c r="B482" s="15"/>
      <c r="C482" s="15"/>
      <c r="D482" s="1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5"/>
      <c r="B483" s="15"/>
      <c r="C483" s="15"/>
      <c r="D483" s="1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5"/>
      <c r="B484" s="15"/>
      <c r="C484" s="15"/>
      <c r="D484" s="1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5"/>
      <c r="B485" s="15"/>
      <c r="C485" s="15"/>
      <c r="D485" s="1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5"/>
      <c r="B486" s="15"/>
      <c r="C486" s="15"/>
      <c r="D486" s="1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5"/>
      <c r="B487" s="15"/>
      <c r="C487" s="15"/>
      <c r="D487" s="1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5"/>
      <c r="B488" s="15"/>
      <c r="C488" s="15"/>
      <c r="D488" s="1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5"/>
      <c r="B489" s="15"/>
      <c r="C489" s="15"/>
      <c r="D489" s="1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5"/>
      <c r="B490" s="15"/>
      <c r="C490" s="15"/>
      <c r="D490" s="1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5"/>
      <c r="B491" s="15"/>
      <c r="C491" s="15"/>
      <c r="D491" s="1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5"/>
      <c r="B492" s="15"/>
      <c r="C492" s="15"/>
      <c r="D492" s="1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5"/>
      <c r="B493" s="15"/>
      <c r="C493" s="15"/>
      <c r="D493" s="1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5"/>
      <c r="B494" s="15"/>
      <c r="C494" s="15"/>
      <c r="D494" s="1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5"/>
      <c r="B495" s="15"/>
      <c r="C495" s="15"/>
      <c r="D495" s="1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5"/>
      <c r="B496" s="15"/>
      <c r="C496" s="15"/>
      <c r="D496" s="1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5"/>
      <c r="B497" s="15"/>
      <c r="C497" s="15"/>
      <c r="D497" s="1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5"/>
      <c r="B498" s="15"/>
      <c r="C498" s="15"/>
      <c r="D498" s="1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5"/>
      <c r="B499" s="15"/>
      <c r="C499" s="15"/>
      <c r="D499" s="1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5"/>
      <c r="B500" s="15"/>
      <c r="C500" s="15"/>
      <c r="D500" s="1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5"/>
      <c r="B501" s="15"/>
      <c r="C501" s="15"/>
      <c r="D501" s="1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5"/>
      <c r="B502" s="15"/>
      <c r="C502" s="15"/>
      <c r="D502" s="1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5"/>
      <c r="B503" s="15"/>
      <c r="C503" s="15"/>
      <c r="D503" s="1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5"/>
      <c r="B504" s="15"/>
      <c r="C504" s="15"/>
      <c r="D504" s="1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5"/>
      <c r="B505" s="15"/>
      <c r="C505" s="15"/>
      <c r="D505" s="1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5"/>
      <c r="B506" s="15"/>
      <c r="C506" s="15"/>
      <c r="D506" s="1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5"/>
      <c r="B507" s="15"/>
      <c r="C507" s="15"/>
      <c r="D507" s="1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5"/>
      <c r="B508" s="15"/>
      <c r="C508" s="15"/>
      <c r="D508" s="1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5"/>
      <c r="B509" s="15"/>
      <c r="C509" s="15"/>
      <c r="D509" s="1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5"/>
      <c r="B510" s="15"/>
      <c r="C510" s="15"/>
      <c r="D510" s="1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5"/>
      <c r="B511" s="15"/>
      <c r="C511" s="15"/>
      <c r="D511" s="1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5"/>
      <c r="B512" s="15"/>
      <c r="C512" s="15"/>
      <c r="D512" s="1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5"/>
      <c r="B513" s="15"/>
      <c r="C513" s="15"/>
      <c r="D513" s="1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5"/>
      <c r="B514" s="15"/>
      <c r="C514" s="15"/>
      <c r="D514" s="1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5"/>
      <c r="B515" s="15"/>
      <c r="C515" s="15"/>
      <c r="D515" s="1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5"/>
      <c r="B516" s="15"/>
      <c r="C516" s="15"/>
      <c r="D516" s="1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5"/>
      <c r="B517" s="15"/>
      <c r="C517" s="15"/>
      <c r="D517" s="1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5"/>
      <c r="B518" s="15"/>
      <c r="C518" s="15"/>
      <c r="D518" s="1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5"/>
      <c r="B519" s="15"/>
      <c r="C519" s="15"/>
      <c r="D519" s="1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5"/>
      <c r="B520" s="15"/>
      <c r="C520" s="15"/>
      <c r="D520" s="1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5"/>
      <c r="B521" s="15"/>
      <c r="C521" s="15"/>
      <c r="D521" s="1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5"/>
      <c r="B522" s="15"/>
      <c r="C522" s="15"/>
      <c r="D522" s="1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5"/>
      <c r="B523" s="15"/>
      <c r="C523" s="15"/>
      <c r="D523" s="1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5"/>
      <c r="B524" s="15"/>
      <c r="C524" s="15"/>
      <c r="D524" s="1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5"/>
      <c r="B525" s="15"/>
      <c r="C525" s="15"/>
      <c r="D525" s="1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5"/>
      <c r="B526" s="15"/>
      <c r="C526" s="15"/>
      <c r="D526" s="1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5"/>
      <c r="B527" s="15"/>
      <c r="C527" s="15"/>
      <c r="D527" s="1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5"/>
      <c r="B528" s="15"/>
      <c r="C528" s="15"/>
      <c r="D528" s="1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5"/>
      <c r="B529" s="15"/>
      <c r="C529" s="15"/>
      <c r="D529" s="1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5"/>
      <c r="B530" s="15"/>
      <c r="C530" s="15"/>
      <c r="D530" s="1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5"/>
      <c r="B531" s="15"/>
      <c r="C531" s="15"/>
      <c r="D531" s="1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5"/>
      <c r="B532" s="15"/>
      <c r="C532" s="15"/>
      <c r="D532" s="1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5"/>
      <c r="B533" s="15"/>
      <c r="C533" s="15"/>
      <c r="D533" s="1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5"/>
      <c r="B534" s="15"/>
      <c r="C534" s="15"/>
      <c r="D534" s="1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5"/>
      <c r="B535" s="15"/>
      <c r="C535" s="15"/>
      <c r="D535" s="1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5"/>
      <c r="B536" s="15"/>
      <c r="C536" s="15"/>
      <c r="D536" s="1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5"/>
      <c r="B537" s="15"/>
      <c r="C537" s="15"/>
      <c r="D537" s="1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5"/>
      <c r="B538" s="15"/>
      <c r="C538" s="15"/>
      <c r="D538" s="1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5"/>
      <c r="B539" s="15"/>
      <c r="C539" s="15"/>
      <c r="D539" s="1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5"/>
      <c r="B540" s="15"/>
      <c r="C540" s="15"/>
      <c r="D540" s="1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5"/>
      <c r="B541" s="15"/>
      <c r="C541" s="15"/>
      <c r="D541" s="1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5"/>
      <c r="B542" s="15"/>
      <c r="C542" s="15"/>
      <c r="D542" s="1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5"/>
      <c r="B543" s="15"/>
      <c r="C543" s="15"/>
      <c r="D543" s="1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5"/>
      <c r="B544" s="15"/>
      <c r="C544" s="15"/>
      <c r="D544" s="1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5"/>
      <c r="B545" s="15"/>
      <c r="C545" s="15"/>
      <c r="D545" s="1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5"/>
      <c r="B546" s="15"/>
      <c r="C546" s="15"/>
      <c r="D546" s="1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5"/>
      <c r="B547" s="15"/>
      <c r="C547" s="15"/>
      <c r="D547" s="1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5"/>
      <c r="B548" s="15"/>
      <c r="C548" s="15"/>
      <c r="D548" s="1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5"/>
      <c r="B549" s="15"/>
      <c r="C549" s="15"/>
      <c r="D549" s="1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5"/>
      <c r="B550" s="15"/>
      <c r="C550" s="15"/>
      <c r="D550" s="1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5"/>
      <c r="B551" s="15"/>
      <c r="C551" s="15"/>
      <c r="D551" s="1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5"/>
      <c r="B552" s="15"/>
      <c r="C552" s="15"/>
      <c r="D552" s="1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5"/>
      <c r="B553" s="15"/>
      <c r="C553" s="15"/>
      <c r="D553" s="1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5"/>
      <c r="B554" s="15"/>
      <c r="C554" s="15"/>
      <c r="D554" s="1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5"/>
      <c r="B555" s="15"/>
      <c r="C555" s="15"/>
      <c r="D555" s="1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5"/>
      <c r="B556" s="15"/>
      <c r="C556" s="15"/>
      <c r="D556" s="1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5"/>
      <c r="B557" s="15"/>
      <c r="C557" s="15"/>
      <c r="D557" s="1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5"/>
      <c r="B558" s="15"/>
      <c r="C558" s="15"/>
      <c r="D558" s="1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5"/>
      <c r="B559" s="15"/>
      <c r="C559" s="15"/>
      <c r="D559" s="1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5"/>
      <c r="B560" s="15"/>
      <c r="C560" s="15"/>
      <c r="D560" s="1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5"/>
      <c r="B561" s="15"/>
      <c r="C561" s="15"/>
      <c r="D561" s="1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5"/>
      <c r="B562" s="15"/>
      <c r="C562" s="15"/>
      <c r="D562" s="1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5"/>
      <c r="B563" s="15"/>
      <c r="C563" s="15"/>
      <c r="D563" s="1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5"/>
      <c r="B564" s="15"/>
      <c r="C564" s="15"/>
      <c r="D564" s="1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5"/>
      <c r="B565" s="15"/>
      <c r="C565" s="15"/>
      <c r="D565" s="1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5"/>
      <c r="B566" s="15"/>
      <c r="C566" s="15"/>
      <c r="D566" s="1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5"/>
      <c r="B567" s="15"/>
      <c r="C567" s="15"/>
      <c r="D567" s="1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5"/>
      <c r="B568" s="15"/>
      <c r="C568" s="15"/>
      <c r="D568" s="1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5"/>
      <c r="B569" s="15"/>
      <c r="C569" s="15"/>
      <c r="D569" s="1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5"/>
      <c r="B570" s="15"/>
      <c r="C570" s="15"/>
      <c r="D570" s="1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5"/>
      <c r="B571" s="15"/>
      <c r="C571" s="15"/>
      <c r="D571" s="1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5"/>
      <c r="B572" s="15"/>
      <c r="C572" s="15"/>
      <c r="D572" s="1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5"/>
      <c r="B573" s="15"/>
      <c r="C573" s="15"/>
      <c r="D573" s="1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5"/>
      <c r="B574" s="15"/>
      <c r="C574" s="15"/>
      <c r="D574" s="1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5"/>
      <c r="B575" s="15"/>
      <c r="C575" s="15"/>
      <c r="D575" s="1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5"/>
      <c r="B576" s="15"/>
      <c r="C576" s="15"/>
      <c r="D576" s="1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5"/>
      <c r="B577" s="15"/>
      <c r="C577" s="15"/>
      <c r="D577" s="1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5"/>
      <c r="B578" s="15"/>
      <c r="C578" s="15"/>
      <c r="D578" s="1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5"/>
      <c r="B579" s="15"/>
      <c r="C579" s="15"/>
      <c r="D579" s="1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5"/>
      <c r="B580" s="15"/>
      <c r="C580" s="15"/>
      <c r="D580" s="1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5"/>
      <c r="B581" s="15"/>
      <c r="C581" s="15"/>
      <c r="D581" s="1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5"/>
      <c r="B582" s="15"/>
      <c r="C582" s="15"/>
      <c r="D582" s="1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5"/>
      <c r="B583" s="15"/>
      <c r="C583" s="15"/>
      <c r="D583" s="1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5"/>
      <c r="B584" s="15"/>
      <c r="C584" s="15"/>
      <c r="D584" s="1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5"/>
      <c r="B585" s="15"/>
      <c r="C585" s="15"/>
      <c r="D585" s="1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5"/>
      <c r="B586" s="15"/>
      <c r="C586" s="15"/>
      <c r="D586" s="1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5"/>
      <c r="B587" s="15"/>
      <c r="C587" s="15"/>
      <c r="D587" s="1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5"/>
      <c r="B588" s="15"/>
      <c r="C588" s="15"/>
      <c r="D588" s="1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5"/>
      <c r="B589" s="15"/>
      <c r="C589" s="15"/>
      <c r="D589" s="1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5"/>
      <c r="B590" s="15"/>
      <c r="C590" s="15"/>
      <c r="D590" s="1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5"/>
      <c r="B591" s="15"/>
      <c r="C591" s="15"/>
      <c r="D591" s="1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5"/>
      <c r="B592" s="15"/>
      <c r="C592" s="15"/>
      <c r="D592" s="1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5"/>
      <c r="B593" s="15"/>
      <c r="C593" s="15"/>
      <c r="D593" s="1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5"/>
      <c r="B594" s="15"/>
      <c r="C594" s="15"/>
      <c r="D594" s="1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5"/>
      <c r="B595" s="15"/>
      <c r="C595" s="15"/>
      <c r="D595" s="1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5"/>
      <c r="B596" s="15"/>
      <c r="C596" s="15"/>
      <c r="D596" s="1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5"/>
      <c r="B597" s="15"/>
      <c r="C597" s="15"/>
      <c r="D597" s="1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5"/>
      <c r="B598" s="15"/>
      <c r="C598" s="15"/>
      <c r="D598" s="1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5"/>
      <c r="B599" s="15"/>
      <c r="C599" s="15"/>
      <c r="D599" s="1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5"/>
      <c r="B600" s="15"/>
      <c r="C600" s="15"/>
      <c r="D600" s="1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5"/>
      <c r="B601" s="15"/>
      <c r="C601" s="15"/>
      <c r="D601" s="1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5"/>
      <c r="B602" s="15"/>
      <c r="C602" s="15"/>
      <c r="D602" s="1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5"/>
      <c r="B603" s="15"/>
      <c r="C603" s="15"/>
      <c r="D603" s="1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5"/>
      <c r="B604" s="15"/>
      <c r="C604" s="15"/>
      <c r="D604" s="1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5"/>
      <c r="B605" s="15"/>
      <c r="C605" s="15"/>
      <c r="D605" s="1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5"/>
      <c r="B606" s="15"/>
      <c r="C606" s="15"/>
      <c r="D606" s="1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5"/>
      <c r="B607" s="15"/>
      <c r="C607" s="15"/>
      <c r="D607" s="1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5"/>
      <c r="B608" s="15"/>
      <c r="C608" s="15"/>
      <c r="D608" s="1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5"/>
      <c r="B609" s="15"/>
      <c r="C609" s="15"/>
      <c r="D609" s="1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5"/>
      <c r="B610" s="15"/>
      <c r="C610" s="15"/>
      <c r="D610" s="1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5"/>
      <c r="B611" s="15"/>
      <c r="C611" s="15"/>
      <c r="D611" s="1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5"/>
      <c r="B612" s="15"/>
      <c r="C612" s="15"/>
      <c r="D612" s="1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5"/>
      <c r="B613" s="15"/>
      <c r="C613" s="15"/>
      <c r="D613" s="1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5"/>
      <c r="B614" s="15"/>
      <c r="C614" s="15"/>
      <c r="D614" s="1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5"/>
      <c r="B615" s="15"/>
      <c r="C615" s="15"/>
      <c r="D615" s="1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5"/>
      <c r="B616" s="15"/>
      <c r="C616" s="15"/>
      <c r="D616" s="1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5"/>
      <c r="B617" s="15"/>
      <c r="C617" s="15"/>
      <c r="D617" s="1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5"/>
      <c r="B618" s="15"/>
      <c r="C618" s="15"/>
      <c r="D618" s="1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5"/>
      <c r="B619" s="15"/>
      <c r="C619" s="15"/>
      <c r="D619" s="1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5"/>
      <c r="B620" s="15"/>
      <c r="C620" s="15"/>
      <c r="D620" s="1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5"/>
      <c r="B621" s="15"/>
      <c r="C621" s="15"/>
      <c r="D621" s="1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5"/>
      <c r="B622" s="15"/>
      <c r="C622" s="15"/>
      <c r="D622" s="1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5"/>
      <c r="B623" s="15"/>
      <c r="C623" s="15"/>
      <c r="D623" s="1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5"/>
      <c r="B624" s="15"/>
      <c r="C624" s="15"/>
      <c r="D624" s="1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5"/>
      <c r="B625" s="15"/>
      <c r="C625" s="15"/>
      <c r="D625" s="1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5"/>
      <c r="B626" s="15"/>
      <c r="C626" s="15"/>
      <c r="D626" s="1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5"/>
      <c r="B627" s="15"/>
      <c r="C627" s="15"/>
      <c r="D627" s="1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5"/>
      <c r="B628" s="15"/>
      <c r="C628" s="15"/>
      <c r="D628" s="1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5"/>
      <c r="B629" s="15"/>
      <c r="C629" s="15"/>
      <c r="D629" s="1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5"/>
      <c r="B630" s="15"/>
      <c r="C630" s="15"/>
      <c r="D630" s="1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5"/>
      <c r="B631" s="15"/>
      <c r="C631" s="15"/>
      <c r="D631" s="1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5"/>
      <c r="B632" s="15"/>
      <c r="C632" s="15"/>
      <c r="D632" s="1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5"/>
      <c r="B633" s="15"/>
      <c r="C633" s="15"/>
      <c r="D633" s="1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5"/>
      <c r="B634" s="15"/>
      <c r="C634" s="15"/>
      <c r="D634" s="1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5"/>
      <c r="B635" s="15"/>
      <c r="C635" s="15"/>
      <c r="D635" s="1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5"/>
      <c r="B636" s="15"/>
      <c r="C636" s="15"/>
      <c r="D636" s="1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5"/>
      <c r="B637" s="15"/>
      <c r="C637" s="15"/>
      <c r="D637" s="1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5"/>
      <c r="B638" s="15"/>
      <c r="C638" s="15"/>
      <c r="D638" s="1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5"/>
      <c r="B639" s="15"/>
      <c r="C639" s="15"/>
      <c r="D639" s="1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5"/>
      <c r="B640" s="15"/>
      <c r="C640" s="15"/>
      <c r="D640" s="1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5"/>
      <c r="B641" s="15"/>
      <c r="C641" s="15"/>
      <c r="D641" s="1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5"/>
      <c r="B642" s="15"/>
      <c r="C642" s="15"/>
      <c r="D642" s="1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5"/>
      <c r="B643" s="15"/>
      <c r="C643" s="15"/>
      <c r="D643" s="1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5"/>
      <c r="B644" s="15"/>
      <c r="C644" s="15"/>
      <c r="D644" s="1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5"/>
      <c r="B645" s="15"/>
      <c r="C645" s="15"/>
      <c r="D645" s="1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5"/>
      <c r="B646" s="15"/>
      <c r="C646" s="15"/>
      <c r="D646" s="1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5"/>
      <c r="B647" s="15"/>
      <c r="C647" s="15"/>
      <c r="D647" s="1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5"/>
      <c r="B648" s="15"/>
      <c r="C648" s="15"/>
      <c r="D648" s="1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5"/>
      <c r="B649" s="15"/>
      <c r="C649" s="15"/>
      <c r="D649" s="1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5"/>
      <c r="B650" s="15"/>
      <c r="C650" s="15"/>
      <c r="D650" s="1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5"/>
      <c r="B651" s="15"/>
      <c r="C651" s="15"/>
      <c r="D651" s="1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5"/>
      <c r="B652" s="15"/>
      <c r="C652" s="15"/>
      <c r="D652" s="1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5"/>
      <c r="B653" s="15"/>
      <c r="C653" s="15"/>
      <c r="D653" s="1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5"/>
      <c r="B654" s="15"/>
      <c r="C654" s="15"/>
      <c r="D654" s="1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5"/>
      <c r="B655" s="15"/>
      <c r="C655" s="15"/>
      <c r="D655" s="1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5"/>
      <c r="B656" s="15"/>
      <c r="C656" s="15"/>
      <c r="D656" s="1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5"/>
      <c r="B657" s="15"/>
      <c r="C657" s="15"/>
      <c r="D657" s="1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5"/>
      <c r="B658" s="15"/>
      <c r="C658" s="15"/>
      <c r="D658" s="1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5"/>
      <c r="B659" s="15"/>
      <c r="C659" s="15"/>
      <c r="D659" s="1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5"/>
      <c r="B660" s="15"/>
      <c r="C660" s="15"/>
      <c r="D660" s="1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5"/>
      <c r="B661" s="15"/>
      <c r="C661" s="15"/>
      <c r="D661" s="1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5"/>
      <c r="B662" s="15"/>
      <c r="C662" s="15"/>
      <c r="D662" s="1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5"/>
      <c r="B663" s="15"/>
      <c r="C663" s="15"/>
      <c r="D663" s="1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5"/>
      <c r="B664" s="15"/>
      <c r="C664" s="15"/>
      <c r="D664" s="1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5"/>
      <c r="B665" s="15"/>
      <c r="C665" s="15"/>
      <c r="D665" s="1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5"/>
      <c r="B666" s="15"/>
      <c r="C666" s="15"/>
      <c r="D666" s="1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5"/>
      <c r="B667" s="15"/>
      <c r="C667" s="15"/>
      <c r="D667" s="1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5"/>
      <c r="B668" s="15"/>
      <c r="C668" s="15"/>
      <c r="D668" s="1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5"/>
      <c r="B669" s="15"/>
      <c r="C669" s="15"/>
      <c r="D669" s="1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5"/>
      <c r="B670" s="15"/>
      <c r="C670" s="15"/>
      <c r="D670" s="1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5"/>
      <c r="B671" s="15"/>
      <c r="C671" s="15"/>
      <c r="D671" s="1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5"/>
      <c r="B672" s="15"/>
      <c r="C672" s="15"/>
      <c r="D672" s="1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5"/>
      <c r="B673" s="15"/>
      <c r="C673" s="15"/>
      <c r="D673" s="1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5"/>
      <c r="B674" s="15"/>
      <c r="C674" s="15"/>
      <c r="D674" s="1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5"/>
      <c r="B675" s="15"/>
      <c r="C675" s="15"/>
      <c r="D675" s="1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5"/>
      <c r="B676" s="15"/>
      <c r="C676" s="15"/>
      <c r="D676" s="1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5"/>
      <c r="B677" s="15"/>
      <c r="C677" s="15"/>
      <c r="D677" s="1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5"/>
      <c r="B678" s="15"/>
      <c r="C678" s="15"/>
      <c r="D678" s="1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5"/>
      <c r="B679" s="15"/>
      <c r="C679" s="15"/>
      <c r="D679" s="1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5"/>
      <c r="B680" s="15"/>
      <c r="C680" s="15"/>
      <c r="D680" s="1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5"/>
      <c r="B681" s="15"/>
      <c r="C681" s="15"/>
      <c r="D681" s="1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5"/>
      <c r="B682" s="15"/>
      <c r="C682" s="15"/>
      <c r="D682" s="1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5"/>
      <c r="B683" s="15"/>
      <c r="C683" s="15"/>
      <c r="D683" s="1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5"/>
      <c r="B684" s="15"/>
      <c r="C684" s="15"/>
      <c r="D684" s="1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5"/>
      <c r="B685" s="15"/>
      <c r="C685" s="15"/>
      <c r="D685" s="1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5"/>
      <c r="B686" s="15"/>
      <c r="C686" s="15"/>
      <c r="D686" s="1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5"/>
      <c r="B687" s="15"/>
      <c r="C687" s="15"/>
      <c r="D687" s="1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5"/>
      <c r="B688" s="15"/>
      <c r="C688" s="15"/>
      <c r="D688" s="1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5"/>
      <c r="B689" s="15"/>
      <c r="C689" s="15"/>
      <c r="D689" s="1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5"/>
      <c r="B690" s="15"/>
      <c r="C690" s="15"/>
      <c r="D690" s="1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5"/>
      <c r="B691" s="15"/>
      <c r="C691" s="15"/>
      <c r="D691" s="1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5"/>
      <c r="B692" s="15"/>
      <c r="C692" s="15"/>
      <c r="D692" s="1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5"/>
      <c r="B693" s="15"/>
      <c r="C693" s="15"/>
      <c r="D693" s="1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5"/>
      <c r="B694" s="15"/>
      <c r="C694" s="15"/>
      <c r="D694" s="1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5"/>
      <c r="B695" s="15"/>
      <c r="C695" s="15"/>
      <c r="D695" s="1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5"/>
      <c r="B696" s="15"/>
      <c r="C696" s="15"/>
      <c r="D696" s="1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5"/>
      <c r="B697" s="15"/>
      <c r="C697" s="15"/>
      <c r="D697" s="1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5"/>
      <c r="B698" s="15"/>
      <c r="C698" s="15"/>
      <c r="D698" s="1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5"/>
      <c r="B699" s="15"/>
      <c r="C699" s="15"/>
      <c r="D699" s="1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5"/>
      <c r="B700" s="15"/>
      <c r="C700" s="15"/>
      <c r="D700" s="1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5"/>
      <c r="B701" s="15"/>
      <c r="C701" s="15"/>
      <c r="D701" s="1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5"/>
      <c r="B702" s="15"/>
      <c r="C702" s="15"/>
      <c r="D702" s="1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5"/>
      <c r="B703" s="15"/>
      <c r="C703" s="15"/>
      <c r="D703" s="1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5"/>
      <c r="B704" s="15"/>
      <c r="C704" s="15"/>
      <c r="D704" s="1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5"/>
      <c r="B705" s="15"/>
      <c r="C705" s="15"/>
      <c r="D705" s="1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5"/>
      <c r="B706" s="15"/>
      <c r="C706" s="15"/>
      <c r="D706" s="1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5"/>
      <c r="B707" s="15"/>
      <c r="C707" s="15"/>
      <c r="D707" s="1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5"/>
      <c r="B708" s="15"/>
      <c r="C708" s="15"/>
      <c r="D708" s="1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5"/>
      <c r="B709" s="15"/>
      <c r="C709" s="15"/>
      <c r="D709" s="1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5"/>
      <c r="B710" s="15"/>
      <c r="C710" s="15"/>
      <c r="D710" s="1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5"/>
      <c r="B711" s="15"/>
      <c r="C711" s="15"/>
      <c r="D711" s="1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5"/>
      <c r="B712" s="15"/>
      <c r="C712" s="15"/>
      <c r="D712" s="1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5"/>
      <c r="B713" s="15"/>
      <c r="C713" s="15"/>
      <c r="D713" s="1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5"/>
      <c r="B714" s="15"/>
      <c r="C714" s="15"/>
      <c r="D714" s="1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5"/>
      <c r="B715" s="15"/>
      <c r="C715" s="15"/>
      <c r="D715" s="1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5"/>
      <c r="B716" s="15"/>
      <c r="C716" s="15"/>
      <c r="D716" s="1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5"/>
      <c r="B717" s="15"/>
      <c r="C717" s="15"/>
      <c r="D717" s="1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5"/>
      <c r="B718" s="15"/>
      <c r="C718" s="15"/>
      <c r="D718" s="1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5"/>
      <c r="B719" s="15"/>
      <c r="C719" s="15"/>
      <c r="D719" s="1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5"/>
      <c r="B720" s="15"/>
      <c r="C720" s="15"/>
      <c r="D720" s="1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5"/>
      <c r="B721" s="15"/>
      <c r="C721" s="15"/>
      <c r="D721" s="1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5"/>
      <c r="B722" s="15"/>
      <c r="C722" s="15"/>
      <c r="D722" s="1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5"/>
      <c r="B723" s="15"/>
      <c r="C723" s="15"/>
      <c r="D723" s="1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5"/>
      <c r="B724" s="15"/>
      <c r="C724" s="15"/>
      <c r="D724" s="1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5"/>
      <c r="B725" s="15"/>
      <c r="C725" s="15"/>
      <c r="D725" s="1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5"/>
      <c r="B726" s="15"/>
      <c r="C726" s="15"/>
      <c r="D726" s="1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5"/>
      <c r="B727" s="15"/>
      <c r="C727" s="15"/>
      <c r="D727" s="1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5"/>
      <c r="B728" s="15"/>
      <c r="C728" s="15"/>
      <c r="D728" s="1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5"/>
      <c r="B729" s="15"/>
      <c r="C729" s="15"/>
      <c r="D729" s="1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5"/>
      <c r="B730" s="15"/>
      <c r="C730" s="15"/>
      <c r="D730" s="1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5"/>
      <c r="B731" s="15"/>
      <c r="C731" s="15"/>
      <c r="D731" s="1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5"/>
      <c r="B732" s="15"/>
      <c r="C732" s="15"/>
      <c r="D732" s="1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5"/>
      <c r="B733" s="15"/>
      <c r="C733" s="15"/>
      <c r="D733" s="1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5"/>
      <c r="B734" s="15"/>
      <c r="C734" s="15"/>
      <c r="D734" s="1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5"/>
      <c r="B735" s="15"/>
      <c r="C735" s="15"/>
      <c r="D735" s="1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5"/>
      <c r="B736" s="15"/>
      <c r="C736" s="15"/>
      <c r="D736" s="1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5"/>
      <c r="B737" s="15"/>
      <c r="C737" s="15"/>
      <c r="D737" s="1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5"/>
      <c r="B738" s="15"/>
      <c r="C738" s="15"/>
      <c r="D738" s="1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5"/>
      <c r="B739" s="15"/>
      <c r="C739" s="15"/>
      <c r="D739" s="1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5"/>
      <c r="B740" s="15"/>
      <c r="C740" s="15"/>
      <c r="D740" s="1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5"/>
      <c r="B741" s="15"/>
      <c r="C741" s="15"/>
      <c r="D741" s="1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5"/>
      <c r="B742" s="15"/>
      <c r="C742" s="15"/>
      <c r="D742" s="1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5"/>
      <c r="B743" s="15"/>
      <c r="C743" s="15"/>
      <c r="D743" s="1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5"/>
      <c r="B744" s="15"/>
      <c r="C744" s="15"/>
      <c r="D744" s="1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5"/>
      <c r="B745" s="15"/>
      <c r="C745" s="15"/>
      <c r="D745" s="1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5"/>
      <c r="B746" s="15"/>
      <c r="C746" s="15"/>
      <c r="D746" s="1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5"/>
      <c r="B747" s="15"/>
      <c r="C747" s="15"/>
      <c r="D747" s="1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5"/>
      <c r="B748" s="15"/>
      <c r="C748" s="15"/>
      <c r="D748" s="1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5"/>
      <c r="B749" s="15"/>
      <c r="C749" s="15"/>
      <c r="D749" s="1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5"/>
      <c r="B750" s="15"/>
      <c r="C750" s="15"/>
      <c r="D750" s="1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5"/>
      <c r="B751" s="15"/>
      <c r="C751" s="15"/>
      <c r="D751" s="1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5"/>
      <c r="B752" s="15"/>
      <c r="C752" s="15"/>
      <c r="D752" s="1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5"/>
      <c r="B753" s="15"/>
      <c r="C753" s="15"/>
      <c r="D753" s="1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5"/>
      <c r="B754" s="15"/>
      <c r="C754" s="15"/>
      <c r="D754" s="1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5"/>
      <c r="B755" s="15"/>
      <c r="C755" s="15"/>
      <c r="D755" s="1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5"/>
      <c r="B756" s="15"/>
      <c r="C756" s="15"/>
      <c r="D756" s="1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5"/>
      <c r="B757" s="15"/>
      <c r="C757" s="15"/>
      <c r="D757" s="1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5"/>
      <c r="B758" s="15"/>
      <c r="C758" s="15"/>
      <c r="D758" s="1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5"/>
      <c r="B759" s="15"/>
      <c r="C759" s="15"/>
      <c r="D759" s="1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5"/>
      <c r="B760" s="15"/>
      <c r="C760" s="15"/>
      <c r="D760" s="1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5"/>
      <c r="B761" s="15"/>
      <c r="C761" s="15"/>
      <c r="D761" s="1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5"/>
      <c r="B762" s="15"/>
      <c r="C762" s="15"/>
      <c r="D762" s="1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5"/>
      <c r="B763" s="15"/>
      <c r="C763" s="15"/>
      <c r="D763" s="1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5"/>
      <c r="B764" s="15"/>
      <c r="C764" s="15"/>
      <c r="D764" s="1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5"/>
      <c r="B765" s="15"/>
      <c r="C765" s="15"/>
      <c r="D765" s="1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5"/>
      <c r="B766" s="15"/>
      <c r="C766" s="15"/>
      <c r="D766" s="1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5"/>
      <c r="B767" s="15"/>
      <c r="C767" s="15"/>
      <c r="D767" s="1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5"/>
      <c r="B768" s="15"/>
      <c r="C768" s="15"/>
      <c r="D768" s="1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5"/>
      <c r="B769" s="15"/>
      <c r="C769" s="15"/>
      <c r="D769" s="1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5"/>
      <c r="B770" s="15"/>
      <c r="C770" s="15"/>
      <c r="D770" s="1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5"/>
      <c r="B771" s="15"/>
      <c r="C771" s="15"/>
      <c r="D771" s="1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5"/>
      <c r="B772" s="15"/>
      <c r="C772" s="15"/>
      <c r="D772" s="1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5"/>
      <c r="B773" s="15"/>
      <c r="C773" s="15"/>
      <c r="D773" s="1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5"/>
      <c r="B774" s="15"/>
      <c r="C774" s="15"/>
      <c r="D774" s="1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5"/>
      <c r="B775" s="15"/>
      <c r="C775" s="15"/>
      <c r="D775" s="1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5"/>
      <c r="B776" s="15"/>
      <c r="C776" s="15"/>
      <c r="D776" s="1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5"/>
      <c r="B777" s="15"/>
      <c r="C777" s="15"/>
      <c r="D777" s="1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5"/>
      <c r="B778" s="15"/>
      <c r="C778" s="15"/>
      <c r="D778" s="1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5"/>
      <c r="B779" s="15"/>
      <c r="C779" s="15"/>
      <c r="D779" s="1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5"/>
      <c r="B780" s="15"/>
      <c r="C780" s="15"/>
      <c r="D780" s="1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5"/>
      <c r="B781" s="15"/>
      <c r="C781" s="15"/>
      <c r="D781" s="1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5"/>
      <c r="B782" s="15"/>
      <c r="C782" s="15"/>
      <c r="D782" s="1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5"/>
      <c r="B783" s="15"/>
      <c r="C783" s="15"/>
      <c r="D783" s="1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5"/>
      <c r="B784" s="15"/>
      <c r="C784" s="15"/>
      <c r="D784" s="1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5"/>
      <c r="B785" s="15"/>
      <c r="C785" s="15"/>
      <c r="D785" s="1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5"/>
      <c r="B786" s="15"/>
      <c r="C786" s="15"/>
      <c r="D786" s="1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5"/>
      <c r="B787" s="15"/>
      <c r="C787" s="15"/>
      <c r="D787" s="1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5"/>
      <c r="B788" s="15"/>
      <c r="C788" s="15"/>
      <c r="D788" s="1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5"/>
      <c r="B789" s="15"/>
      <c r="C789" s="15"/>
      <c r="D789" s="1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5"/>
      <c r="B790" s="15"/>
      <c r="C790" s="15"/>
      <c r="D790" s="1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5"/>
      <c r="B791" s="15"/>
      <c r="C791" s="15"/>
      <c r="D791" s="1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5"/>
      <c r="B792" s="15"/>
      <c r="C792" s="15"/>
      <c r="D792" s="1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5"/>
      <c r="B793" s="15"/>
      <c r="C793" s="15"/>
      <c r="D793" s="1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5"/>
      <c r="B794" s="15"/>
      <c r="C794" s="15"/>
      <c r="D794" s="1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5"/>
      <c r="B795" s="15"/>
      <c r="C795" s="15"/>
      <c r="D795" s="1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5"/>
      <c r="B796" s="15"/>
      <c r="C796" s="15"/>
      <c r="D796" s="1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5"/>
      <c r="B797" s="15"/>
      <c r="C797" s="15"/>
      <c r="D797" s="1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5"/>
      <c r="B798" s="15"/>
      <c r="C798" s="15"/>
      <c r="D798" s="1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5"/>
      <c r="B799" s="15"/>
      <c r="C799" s="15"/>
      <c r="D799" s="1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5"/>
      <c r="B800" s="15"/>
      <c r="C800" s="15"/>
      <c r="D800" s="1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5"/>
      <c r="B801" s="15"/>
      <c r="C801" s="15"/>
      <c r="D801" s="1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5"/>
      <c r="B802" s="15"/>
      <c r="C802" s="15"/>
      <c r="D802" s="1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5"/>
      <c r="B803" s="15"/>
      <c r="C803" s="15"/>
      <c r="D803" s="1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5"/>
      <c r="B804" s="15"/>
      <c r="C804" s="15"/>
      <c r="D804" s="1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5"/>
      <c r="B805" s="15"/>
      <c r="C805" s="15"/>
      <c r="D805" s="1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5"/>
      <c r="B806" s="15"/>
      <c r="C806" s="15"/>
      <c r="D806" s="1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5"/>
      <c r="B807" s="15"/>
      <c r="C807" s="15"/>
      <c r="D807" s="1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5"/>
      <c r="B808" s="15"/>
      <c r="C808" s="15"/>
      <c r="D808" s="1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5"/>
      <c r="B809" s="15"/>
      <c r="C809" s="15"/>
      <c r="D809" s="1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5"/>
      <c r="B810" s="15"/>
      <c r="C810" s="15"/>
      <c r="D810" s="1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5"/>
      <c r="B811" s="15"/>
      <c r="C811" s="15"/>
      <c r="D811" s="1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5"/>
      <c r="B812" s="15"/>
      <c r="C812" s="15"/>
      <c r="D812" s="1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5"/>
      <c r="B813" s="15"/>
      <c r="C813" s="15"/>
      <c r="D813" s="1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5"/>
      <c r="B814" s="15"/>
      <c r="C814" s="15"/>
      <c r="D814" s="1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5"/>
      <c r="B815" s="15"/>
      <c r="C815" s="15"/>
      <c r="D815" s="1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5"/>
      <c r="B816" s="15"/>
      <c r="C816" s="15"/>
      <c r="D816" s="1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5"/>
      <c r="B817" s="15"/>
      <c r="C817" s="15"/>
      <c r="D817" s="1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5"/>
      <c r="B818" s="15"/>
      <c r="C818" s="15"/>
      <c r="D818" s="1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5"/>
      <c r="B819" s="15"/>
      <c r="C819" s="15"/>
      <c r="D819" s="1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5"/>
      <c r="B820" s="15"/>
      <c r="C820" s="15"/>
      <c r="D820" s="1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5"/>
      <c r="B821" s="15"/>
      <c r="C821" s="15"/>
      <c r="D821" s="1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5"/>
      <c r="B822" s="15"/>
      <c r="C822" s="15"/>
      <c r="D822" s="1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5"/>
      <c r="B823" s="15"/>
      <c r="C823" s="15"/>
      <c r="D823" s="1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5"/>
      <c r="B824" s="15"/>
      <c r="C824" s="15"/>
      <c r="D824" s="1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5"/>
      <c r="B825" s="15"/>
      <c r="C825" s="15"/>
      <c r="D825" s="1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5"/>
      <c r="B826" s="15"/>
      <c r="C826" s="15"/>
      <c r="D826" s="1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5"/>
      <c r="B827" s="15"/>
      <c r="C827" s="15"/>
      <c r="D827" s="1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5"/>
      <c r="B828" s="15"/>
      <c r="C828" s="15"/>
      <c r="D828" s="1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5"/>
      <c r="B829" s="15"/>
      <c r="C829" s="15"/>
      <c r="D829" s="1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5"/>
      <c r="B830" s="15"/>
      <c r="C830" s="15"/>
      <c r="D830" s="1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5"/>
      <c r="B831" s="15"/>
      <c r="C831" s="15"/>
      <c r="D831" s="1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5"/>
      <c r="B832" s="15"/>
      <c r="C832" s="15"/>
      <c r="D832" s="1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5"/>
      <c r="B833" s="15"/>
      <c r="C833" s="15"/>
      <c r="D833" s="1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5"/>
      <c r="B834" s="15"/>
      <c r="C834" s="15"/>
      <c r="D834" s="1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5"/>
      <c r="B835" s="15"/>
      <c r="C835" s="15"/>
      <c r="D835" s="1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5"/>
      <c r="B836" s="15"/>
      <c r="C836" s="15"/>
      <c r="D836" s="1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5"/>
      <c r="B837" s="15"/>
      <c r="C837" s="15"/>
      <c r="D837" s="1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5"/>
      <c r="B838" s="15"/>
      <c r="C838" s="15"/>
      <c r="D838" s="1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5"/>
      <c r="B839" s="15"/>
      <c r="C839" s="15"/>
      <c r="D839" s="1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5"/>
      <c r="B840" s="15"/>
      <c r="C840" s="15"/>
      <c r="D840" s="1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5"/>
      <c r="B841" s="15"/>
      <c r="C841" s="15"/>
      <c r="D841" s="1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5"/>
      <c r="B842" s="15"/>
      <c r="C842" s="15"/>
      <c r="D842" s="1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5"/>
      <c r="B843" s="15"/>
      <c r="C843" s="15"/>
      <c r="D843" s="1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5"/>
      <c r="B844" s="15"/>
      <c r="C844" s="15"/>
      <c r="D844" s="1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5"/>
      <c r="B845" s="15"/>
      <c r="C845" s="15"/>
      <c r="D845" s="1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5"/>
      <c r="B846" s="15"/>
      <c r="C846" s="15"/>
      <c r="D846" s="1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5"/>
      <c r="B847" s="15"/>
      <c r="C847" s="15"/>
      <c r="D847" s="1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5"/>
      <c r="B848" s="15"/>
      <c r="C848" s="15"/>
      <c r="D848" s="1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5"/>
      <c r="B849" s="15"/>
      <c r="C849" s="15"/>
      <c r="D849" s="1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5"/>
      <c r="B850" s="15"/>
      <c r="C850" s="15"/>
      <c r="D850" s="1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5"/>
      <c r="B851" s="15"/>
      <c r="C851" s="15"/>
      <c r="D851" s="1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5"/>
      <c r="B852" s="15"/>
      <c r="C852" s="15"/>
      <c r="D852" s="1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5"/>
      <c r="B853" s="15"/>
      <c r="C853" s="15"/>
      <c r="D853" s="1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5"/>
      <c r="B854" s="15"/>
      <c r="C854" s="15"/>
      <c r="D854" s="1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5"/>
      <c r="B855" s="15"/>
      <c r="C855" s="15"/>
      <c r="D855" s="1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5"/>
      <c r="B856" s="15"/>
      <c r="C856" s="15"/>
      <c r="D856" s="1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5"/>
      <c r="B857" s="15"/>
      <c r="C857" s="15"/>
      <c r="D857" s="1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5"/>
      <c r="B858" s="15"/>
      <c r="C858" s="15"/>
      <c r="D858" s="1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5"/>
      <c r="B859" s="15"/>
      <c r="C859" s="15"/>
      <c r="D859" s="1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5"/>
      <c r="B860" s="15"/>
      <c r="C860" s="15"/>
      <c r="D860" s="1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5"/>
      <c r="B861" s="15"/>
      <c r="C861" s="15"/>
      <c r="D861" s="1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5"/>
      <c r="B862" s="15"/>
      <c r="C862" s="15"/>
      <c r="D862" s="1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5"/>
      <c r="B863" s="15"/>
      <c r="C863" s="15"/>
      <c r="D863" s="1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5"/>
      <c r="B864" s="15"/>
      <c r="C864" s="15"/>
      <c r="D864" s="1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5"/>
      <c r="B865" s="15"/>
      <c r="C865" s="15"/>
      <c r="D865" s="1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5"/>
      <c r="B866" s="15"/>
      <c r="C866" s="15"/>
      <c r="D866" s="1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5"/>
      <c r="B867" s="15"/>
      <c r="C867" s="15"/>
      <c r="D867" s="1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5"/>
      <c r="B868" s="15"/>
      <c r="C868" s="15"/>
      <c r="D868" s="1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5"/>
      <c r="B869" s="15"/>
      <c r="C869" s="15"/>
      <c r="D869" s="1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5"/>
      <c r="B870" s="15"/>
      <c r="C870" s="15"/>
      <c r="D870" s="1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5"/>
      <c r="B871" s="15"/>
      <c r="C871" s="15"/>
      <c r="D871" s="1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5"/>
      <c r="B872" s="15"/>
      <c r="C872" s="15"/>
      <c r="D872" s="1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5"/>
      <c r="B873" s="15"/>
      <c r="C873" s="15"/>
      <c r="D873" s="1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5"/>
      <c r="B874" s="15"/>
      <c r="C874" s="15"/>
      <c r="D874" s="1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5"/>
      <c r="B875" s="15"/>
      <c r="C875" s="15"/>
      <c r="D875" s="1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5"/>
      <c r="B876" s="15"/>
      <c r="C876" s="15"/>
      <c r="D876" s="1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5"/>
      <c r="B877" s="15"/>
      <c r="C877" s="15"/>
      <c r="D877" s="1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5"/>
      <c r="B878" s="15"/>
      <c r="C878" s="15"/>
      <c r="D878" s="1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5"/>
      <c r="B879" s="15"/>
      <c r="C879" s="15"/>
      <c r="D879" s="1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5"/>
      <c r="B880" s="15"/>
      <c r="C880" s="15"/>
      <c r="D880" s="1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5"/>
      <c r="B881" s="15"/>
      <c r="C881" s="15"/>
      <c r="D881" s="1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5"/>
      <c r="B882" s="15"/>
      <c r="C882" s="15"/>
      <c r="D882" s="1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5"/>
      <c r="B883" s="15"/>
      <c r="C883" s="15"/>
      <c r="D883" s="1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5"/>
      <c r="B884" s="15"/>
      <c r="C884" s="15"/>
      <c r="D884" s="1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5"/>
      <c r="B885" s="15"/>
      <c r="C885" s="15"/>
      <c r="D885" s="1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5"/>
      <c r="B886" s="15"/>
      <c r="C886" s="15"/>
      <c r="D886" s="1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5"/>
      <c r="B887" s="15"/>
      <c r="C887" s="15"/>
      <c r="D887" s="1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5"/>
      <c r="B888" s="15"/>
      <c r="C888" s="15"/>
      <c r="D888" s="1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5"/>
      <c r="B889" s="15"/>
      <c r="C889" s="15"/>
      <c r="D889" s="1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5"/>
      <c r="B890" s="15"/>
      <c r="C890" s="15"/>
      <c r="D890" s="1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5"/>
      <c r="B891" s="15"/>
      <c r="C891" s="15"/>
      <c r="D891" s="1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5"/>
      <c r="B892" s="15"/>
      <c r="C892" s="15"/>
      <c r="D892" s="1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5"/>
      <c r="B893" s="15"/>
      <c r="C893" s="15"/>
      <c r="D893" s="1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5"/>
      <c r="B894" s="15"/>
      <c r="C894" s="15"/>
      <c r="D894" s="1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5"/>
      <c r="B895" s="15"/>
      <c r="C895" s="15"/>
      <c r="D895" s="1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5"/>
      <c r="B896" s="15"/>
      <c r="C896" s="15"/>
      <c r="D896" s="1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5"/>
      <c r="B897" s="15"/>
      <c r="C897" s="15"/>
      <c r="D897" s="1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5"/>
      <c r="B898" s="15"/>
      <c r="C898" s="15"/>
      <c r="D898" s="1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5"/>
      <c r="B899" s="15"/>
      <c r="C899" s="15"/>
      <c r="D899" s="1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5"/>
      <c r="B900" s="15"/>
      <c r="C900" s="15"/>
      <c r="D900" s="1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5"/>
      <c r="B901" s="15"/>
      <c r="C901" s="15"/>
      <c r="D901" s="1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5"/>
      <c r="B902" s="15"/>
      <c r="C902" s="15"/>
      <c r="D902" s="1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5"/>
      <c r="B903" s="15"/>
      <c r="C903" s="15"/>
      <c r="D903" s="1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5"/>
      <c r="B904" s="15"/>
      <c r="C904" s="15"/>
      <c r="D904" s="1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5"/>
      <c r="B905" s="15"/>
      <c r="C905" s="15"/>
      <c r="D905" s="1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5"/>
      <c r="B906" s="15"/>
      <c r="C906" s="15"/>
      <c r="D906" s="1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5"/>
      <c r="B907" s="15"/>
      <c r="C907" s="15"/>
      <c r="D907" s="1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5"/>
      <c r="B908" s="15"/>
      <c r="C908" s="15"/>
      <c r="D908" s="1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5"/>
      <c r="B909" s="15"/>
      <c r="C909" s="15"/>
      <c r="D909" s="1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5"/>
      <c r="B910" s="15"/>
      <c r="C910" s="15"/>
      <c r="D910" s="1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5"/>
      <c r="B911" s="15"/>
      <c r="C911" s="15"/>
      <c r="D911" s="1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5"/>
      <c r="B912" s="15"/>
      <c r="C912" s="15"/>
      <c r="D912" s="1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5"/>
      <c r="B913" s="15"/>
      <c r="C913" s="15"/>
      <c r="D913" s="1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5"/>
      <c r="B914" s="15"/>
      <c r="C914" s="15"/>
      <c r="D914" s="1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5"/>
      <c r="B915" s="15"/>
      <c r="C915" s="15"/>
      <c r="D915" s="1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5"/>
      <c r="B916" s="15"/>
      <c r="C916" s="15"/>
      <c r="D916" s="1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5"/>
      <c r="B917" s="15"/>
      <c r="C917" s="15"/>
      <c r="D917" s="1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5"/>
      <c r="B918" s="15"/>
      <c r="C918" s="15"/>
      <c r="D918" s="1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5"/>
      <c r="B919" s="15"/>
      <c r="C919" s="15"/>
      <c r="D919" s="1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5"/>
      <c r="B920" s="15"/>
      <c r="C920" s="15"/>
      <c r="D920" s="1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5"/>
      <c r="B921" s="15"/>
      <c r="C921" s="15"/>
      <c r="D921" s="1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5"/>
      <c r="B922" s="15"/>
      <c r="C922" s="15"/>
      <c r="D922" s="1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5"/>
      <c r="B923" s="15"/>
      <c r="C923" s="15"/>
      <c r="D923" s="1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5"/>
      <c r="B924" s="15"/>
      <c r="C924" s="15"/>
      <c r="D924" s="1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5"/>
      <c r="B925" s="15"/>
      <c r="C925" s="15"/>
      <c r="D925" s="1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5"/>
      <c r="B926" s="15"/>
      <c r="C926" s="15"/>
      <c r="D926" s="1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5"/>
      <c r="B927" s="15"/>
      <c r="C927" s="15"/>
      <c r="D927" s="1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5"/>
      <c r="B928" s="15"/>
      <c r="C928" s="15"/>
      <c r="D928" s="1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5"/>
      <c r="B929" s="15"/>
      <c r="C929" s="15"/>
      <c r="D929" s="1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5"/>
      <c r="B930" s="15"/>
      <c r="C930" s="15"/>
      <c r="D930" s="1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5"/>
      <c r="B931" s="15"/>
      <c r="C931" s="15"/>
      <c r="D931" s="1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5"/>
      <c r="B932" s="15"/>
      <c r="C932" s="15"/>
      <c r="D932" s="1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5"/>
      <c r="B933" s="15"/>
      <c r="C933" s="15"/>
      <c r="D933" s="1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5"/>
      <c r="B934" s="15"/>
      <c r="C934" s="15"/>
      <c r="D934" s="1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5"/>
      <c r="B935" s="15"/>
      <c r="C935" s="15"/>
      <c r="D935" s="1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5"/>
      <c r="B936" s="15"/>
      <c r="C936" s="15"/>
      <c r="D936" s="1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5"/>
      <c r="B937" s="15"/>
      <c r="C937" s="15"/>
      <c r="D937" s="1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5"/>
      <c r="B938" s="15"/>
      <c r="C938" s="15"/>
      <c r="D938" s="1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5"/>
      <c r="B939" s="15"/>
      <c r="C939" s="15"/>
      <c r="D939" s="1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5"/>
      <c r="B940" s="15"/>
      <c r="C940" s="15"/>
      <c r="D940" s="1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5"/>
      <c r="B941" s="15"/>
      <c r="C941" s="15"/>
      <c r="D941" s="1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5"/>
      <c r="B942" s="15"/>
      <c r="C942" s="15"/>
      <c r="D942" s="1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5"/>
      <c r="B943" s="15"/>
      <c r="C943" s="15"/>
      <c r="D943" s="1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5"/>
      <c r="B944" s="15"/>
      <c r="C944" s="15"/>
      <c r="D944" s="1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5"/>
      <c r="B945" s="15"/>
      <c r="C945" s="15"/>
      <c r="D945" s="1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5"/>
      <c r="B946" s="15"/>
      <c r="C946" s="15"/>
      <c r="D946" s="1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5"/>
      <c r="B947" s="15"/>
      <c r="C947" s="15"/>
      <c r="D947" s="1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5"/>
      <c r="B948" s="15"/>
      <c r="C948" s="15"/>
      <c r="D948" s="1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5"/>
      <c r="B949" s="15"/>
      <c r="C949" s="15"/>
      <c r="D949" s="1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5"/>
      <c r="B950" s="15"/>
      <c r="C950" s="15"/>
      <c r="D950" s="1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5"/>
      <c r="B951" s="15"/>
      <c r="C951" s="15"/>
      <c r="D951" s="1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5"/>
      <c r="B952" s="15"/>
      <c r="C952" s="15"/>
      <c r="D952" s="1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5"/>
      <c r="B953" s="15"/>
      <c r="C953" s="15"/>
      <c r="D953" s="1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5"/>
      <c r="B954" s="15"/>
      <c r="C954" s="15"/>
      <c r="D954" s="1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5"/>
      <c r="B955" s="15"/>
      <c r="C955" s="15"/>
      <c r="D955" s="1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5"/>
      <c r="B956" s="15"/>
      <c r="C956" s="15"/>
      <c r="D956" s="1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5"/>
      <c r="B957" s="15"/>
      <c r="C957" s="15"/>
      <c r="D957" s="1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5"/>
      <c r="B958" s="15"/>
      <c r="C958" s="15"/>
      <c r="D958" s="1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5"/>
      <c r="B959" s="15"/>
      <c r="C959" s="15"/>
      <c r="D959" s="1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5"/>
      <c r="B960" s="15"/>
      <c r="C960" s="15"/>
      <c r="D960" s="1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5"/>
      <c r="B961" s="15"/>
      <c r="C961" s="15"/>
      <c r="D961" s="1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5"/>
      <c r="B962" s="15"/>
      <c r="C962" s="15"/>
      <c r="D962" s="1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5"/>
      <c r="B963" s="15"/>
      <c r="C963" s="15"/>
      <c r="D963" s="1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5"/>
      <c r="B964" s="15"/>
      <c r="C964" s="15"/>
      <c r="D964" s="1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5"/>
      <c r="B965" s="15"/>
      <c r="C965" s="15"/>
      <c r="D965" s="1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5"/>
      <c r="B966" s="15"/>
      <c r="C966" s="15"/>
      <c r="D966" s="1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5"/>
      <c r="B967" s="15"/>
      <c r="C967" s="15"/>
      <c r="D967" s="1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5"/>
      <c r="B968" s="15"/>
      <c r="C968" s="15"/>
      <c r="D968" s="1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5"/>
      <c r="B969" s="15"/>
      <c r="C969" s="15"/>
      <c r="D969" s="1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5"/>
      <c r="B970" s="15"/>
      <c r="C970" s="15"/>
      <c r="D970" s="1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5"/>
      <c r="B971" s="15"/>
      <c r="C971" s="15"/>
      <c r="D971" s="1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5"/>
      <c r="B972" s="15"/>
      <c r="C972" s="15"/>
      <c r="D972" s="1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5"/>
      <c r="B973" s="15"/>
      <c r="C973" s="15"/>
      <c r="D973" s="1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5"/>
      <c r="B974" s="15"/>
      <c r="C974" s="15"/>
      <c r="D974" s="1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5"/>
      <c r="B975" s="15"/>
      <c r="C975" s="15"/>
      <c r="D975" s="1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5"/>
      <c r="B976" s="15"/>
      <c r="C976" s="15"/>
      <c r="D976" s="1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5"/>
      <c r="B977" s="15"/>
      <c r="C977" s="15"/>
      <c r="D977" s="1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5"/>
      <c r="B978" s="15"/>
      <c r="C978" s="15"/>
      <c r="D978" s="1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5"/>
      <c r="B979" s="15"/>
      <c r="C979" s="15"/>
      <c r="D979" s="1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5"/>
      <c r="B980" s="15"/>
      <c r="C980" s="15"/>
      <c r="D980" s="1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5"/>
      <c r="B981" s="15"/>
      <c r="C981" s="15"/>
      <c r="D981" s="1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5"/>
      <c r="B982" s="15"/>
      <c r="C982" s="15"/>
      <c r="D982" s="1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5"/>
      <c r="B983" s="15"/>
      <c r="C983" s="15"/>
      <c r="D983" s="1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5"/>
      <c r="B984" s="15"/>
      <c r="C984" s="15"/>
      <c r="D984" s="1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5"/>
      <c r="B985" s="15"/>
      <c r="C985" s="15"/>
      <c r="D985" s="1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5"/>
      <c r="B986" s="15"/>
      <c r="C986" s="15"/>
      <c r="D986" s="1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5"/>
      <c r="B987" s="15"/>
      <c r="C987" s="15"/>
      <c r="D987" s="1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5"/>
      <c r="B988" s="15"/>
      <c r="C988" s="15"/>
      <c r="D988" s="1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5"/>
      <c r="B989" s="15"/>
      <c r="C989" s="15"/>
      <c r="D989" s="1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5"/>
      <c r="B990" s="15"/>
      <c r="C990" s="15"/>
      <c r="D990" s="1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5"/>
      <c r="B991" s="15"/>
      <c r="C991" s="15"/>
      <c r="D991" s="1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5"/>
      <c r="B992" s="15"/>
      <c r="C992" s="15"/>
      <c r="D992" s="1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5"/>
      <c r="B993" s="15"/>
      <c r="C993" s="15"/>
      <c r="D993" s="1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5"/>
      <c r="B994" s="15"/>
      <c r="C994" s="15"/>
      <c r="D994" s="1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5"/>
      <c r="B995" s="15"/>
      <c r="C995" s="15"/>
      <c r="D995" s="1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5"/>
      <c r="B996" s="15"/>
      <c r="C996" s="15"/>
      <c r="D996" s="1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5"/>
      <c r="B997" s="15"/>
      <c r="C997" s="15"/>
      <c r="D997" s="1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5"/>
      <c r="B998" s="15"/>
      <c r="C998" s="15"/>
      <c r="D998" s="1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5"/>
      <c r="B999" s="15"/>
      <c r="C999" s="15"/>
      <c r="D999" s="1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5"/>
      <c r="B1000" s="15"/>
      <c r="C1000" s="15"/>
      <c r="D1000" s="1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1:B1"/>
    <mergeCell ref="C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25.25"/>
    <col customWidth="1" min="3" max="3" width="20.0"/>
    <col customWidth="1" min="4" max="4" width="25.25"/>
  </cols>
  <sheetData>
    <row r="1">
      <c r="A1" s="19" t="s">
        <v>13</v>
      </c>
      <c r="C1" s="30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4" t="str">
        <f>IFERROR(__xludf.DUMMYFUNCTION("QUERY('All deer keywords'!A:H, ""SELECT A, B WHERE A CONTAINS 'what' OR A CONTAINS 'when'"",1)"),"Keyword")</f>
        <v>Keyword</v>
      </c>
      <c r="B2" s="15" t="str">
        <f>IFERROR(__xludf.DUMMYFUNCTION("""COMPUTED_VALUE"""),"Search Volume")</f>
        <v>Search Volume</v>
      </c>
      <c r="C2" s="28" t="s">
        <v>16</v>
      </c>
      <c r="D2" s="31" t="s">
        <v>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tr">
        <f>IFERROR(__xludf.DUMMYFUNCTION("""COMPUTED_VALUE"""),"what colors can deer see")</f>
        <v>what colors can deer see</v>
      </c>
      <c r="B3" s="15" t="str">
        <f>IFERROR(__xludf.DUMMYFUNCTION("""COMPUTED_VALUE"""),"1000")</f>
        <v>1000</v>
      </c>
      <c r="C3" s="25" t="str">
        <f t="array" ref="C3">XLOOKUP(A3,'All deer keywords'!A:A,'All deer keywords'!C:C)</f>
        <v>3</v>
      </c>
      <c r="D3" s="26" t="str">
        <f t="array" ref="D3">XLOOKUP(A3,'All deer keywords'!A:A,'All deer keywords'!F:F)</f>
        <v>https://www.themeateater.com/wired-to-hunt/whitetail-hunting/deer-vision-how-whitetails-see-color-light-and-movement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tr">
        <f>IFERROR(__xludf.DUMMYFUNCTION("""COMPUTED_VALUE"""),"what colours can deer see")</f>
        <v>what colours can deer see</v>
      </c>
      <c r="B4" s="15" t="str">
        <f>IFERROR(__xludf.DUMMYFUNCTION("""COMPUTED_VALUE"""),"1000")</f>
        <v>1000</v>
      </c>
      <c r="C4" s="25" t="str">
        <f t="array" ref="C4">XLOOKUP(A4,'All deer keywords'!A:A,'All deer keywords'!C:C)</f>
        <v>3</v>
      </c>
      <c r="D4" s="26" t="str">
        <f t="array" ref="D4">XLOOKUP(A4,'All deer keywords'!A:A,'All deer keywords'!F:F)</f>
        <v>https://www.themeateater.com/wired-to-hunt/whitetail-hunting/deer-vision-how-whitetails-see-color-light-and-movement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tr">
        <f>IFERROR(__xludf.DUMMYFUNCTION("""COMPUTED_VALUE"""),"when is the rut for deer 2022")</f>
        <v>when is the rut for deer 2022</v>
      </c>
      <c r="B5" s="15" t="str">
        <f>IFERROR(__xludf.DUMMYFUNCTION("""COMPUTED_VALUE"""),"720")</f>
        <v>720</v>
      </c>
      <c r="C5" s="25" t="str">
        <f t="array" ref="C5">XLOOKUP(A5,'All deer keywords'!A:A,'All deer keywords'!C:C)</f>
        <v>10</v>
      </c>
      <c r="D5" s="26" t="str">
        <f t="array" ref="D5">XLOOKUP(A5,'All deer keywords'!A:A,'All deer keywords'!F:F)</f>
        <v>https://www.themeateater.com/wired-to-hunt/whitetail-hunting/rut-fresh-report-10-27-2022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tr">
        <f>IFERROR(__xludf.DUMMYFUNCTION("""COMPUTED_VALUE"""),"when do deer sleep")</f>
        <v>when do deer sleep</v>
      </c>
      <c r="B6" s="15" t="str">
        <f>IFERROR(__xludf.DUMMYFUNCTION("""COMPUTED_VALUE"""),"720")</f>
        <v>720</v>
      </c>
      <c r="C6" s="25" t="str">
        <f t="array" ref="C6">XLOOKUP(A6,'All deer keywords'!A:A,'All deer keywords'!C:C)</f>
        <v>15</v>
      </c>
      <c r="D6" s="26" t="str">
        <f t="array" ref="D6">XLOOKUP(A6,'All deer keywords'!A:A,'All deer keywords'!F:F)</f>
        <v>https://www.themeateater.com/wired-to-hunt/whitetail-scouting/where-do-deer-sleep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tr">
        <f>IFERROR(__xludf.DUMMYFUNCTION("""COMPUTED_VALUE"""),"when does deer sleep")</f>
        <v>when does deer sleep</v>
      </c>
      <c r="B7" s="15" t="str">
        <f>IFERROR(__xludf.DUMMYFUNCTION("""COMPUTED_VALUE"""),"590")</f>
        <v>590</v>
      </c>
      <c r="C7" s="25" t="str">
        <f t="array" ref="C7">XLOOKUP(A7,'All deer keywords'!A:A,'All deer keywords'!C:C)</f>
        <v>17</v>
      </c>
      <c r="D7" s="26" t="str">
        <f t="array" ref="D7">XLOOKUP(A7,'All deer keywords'!A:A,'All deer keywords'!F:F)</f>
        <v>https://www.themeateater.com/wired-to-hunt/whitetail-scouting/where-do-deer-sleep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tr">
        <f>IFERROR(__xludf.DUMMYFUNCTION("""COMPUTED_VALUE"""),"what is female deer called")</f>
        <v>what is female deer called</v>
      </c>
      <c r="B8" s="15" t="str">
        <f>IFERROR(__xludf.DUMMYFUNCTION("""COMPUTED_VALUE"""),"720")</f>
        <v>720</v>
      </c>
      <c r="C8" s="25" t="str">
        <f t="array" ref="C8">XLOOKUP(A8,'All deer keywords'!A:A,'All deer keywords'!C:C)</f>
        <v>19</v>
      </c>
      <c r="D8" s="26" t="str">
        <f t="array" ref="D8">XLOOKUP(A8,'All deer keywords'!A:A,'All deer keywords'!F:F)</f>
        <v>https://www.themeateater.com/conservation/wildlife-management/why-do-female-deer-sometimes-grow-antlers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tr">
        <f>IFERROR(__xludf.DUMMYFUNCTION("""COMPUTED_VALUE"""),"what is a female deer called")</f>
        <v>what is a female deer called</v>
      </c>
      <c r="B9" s="15" t="str">
        <f>IFERROR(__xludf.DUMMYFUNCTION("""COMPUTED_VALUE"""),"720")</f>
        <v>720</v>
      </c>
      <c r="C9" s="25" t="str">
        <f t="array" ref="C9">XLOOKUP(A9,'All deer keywords'!A:A,'All deer keywords'!C:C)</f>
        <v>20</v>
      </c>
      <c r="D9" s="26" t="str">
        <f t="array" ref="D9">XLOOKUP(A9,'All deer keywords'!A:A,'All deer keywords'!F:F)</f>
        <v>https://www.themeateater.com/conservation/wildlife-management/why-do-female-deer-sometimes-grow-antlers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 t="str">
        <f>IFERROR(__xludf.DUMMYFUNCTION("""COMPUTED_VALUE"""),"what does deer poop look like")</f>
        <v>what does deer poop look like</v>
      </c>
      <c r="B10" s="15" t="str">
        <f>IFERROR(__xludf.DUMMYFUNCTION("""COMPUTED_VALUE"""),"3600")</f>
        <v>3600</v>
      </c>
      <c r="C10" s="25" t="str">
        <f t="array" ref="C10">XLOOKUP(A10,'All deer keywords'!A:A,'All deer keywords'!C:C)</f>
        <v>23</v>
      </c>
      <c r="D10" s="26" t="str">
        <f t="array" ref="D10">XLOOKUP(A10,'All deer keywords'!A:A,'All deer keywords'!F:F)</f>
        <v>https://www.themeateater.com/wired-to-hunt/whitetail-scouting/fact-checker-can-you-identify-a-mature-buck-by-droppings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 t="str">
        <f>IFERROR(__xludf.DUMMYFUNCTION("""COMPUTED_VALUE"""),"when are deer most active")</f>
        <v>when are deer most active</v>
      </c>
      <c r="B11" s="15" t="str">
        <f>IFERROR(__xludf.DUMMYFUNCTION("""COMPUTED_VALUE"""),"880")</f>
        <v>880</v>
      </c>
      <c r="C11" s="25" t="str">
        <f t="array" ref="C11">XLOOKUP(A11,'All deer keywords'!A:A,'All deer keywords'!C:C)</f>
        <v>24</v>
      </c>
      <c r="D11" s="26" t="str">
        <f t="array" ref="D11">XLOOKUP(A11,'All deer keywords'!A:A,'All deer keywords'!F:F)</f>
        <v>https://www.themeateater.com/wired-to-hunt/whitetail-hunting/does-temperature-affect-deer-movement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 t="str">
        <f>IFERROR(__xludf.DUMMYFUNCTION("""COMPUTED_VALUE"""),"what does a deer sound like")</f>
        <v>what does a deer sound like</v>
      </c>
      <c r="B12" s="15" t="str">
        <f>IFERROR(__xludf.DUMMYFUNCTION("""COMPUTED_VALUE"""),"880")</f>
        <v>880</v>
      </c>
      <c r="C12" s="25" t="str">
        <f t="array" ref="C12">XLOOKUP(A12,'All deer keywords'!A:A,'All deer keywords'!C:C)</f>
        <v>28</v>
      </c>
      <c r="D12" s="26" t="str">
        <f t="array" ref="D12">XLOOKUP(A12,'All deer keywords'!A:A,'All deer keywords'!F:F)</f>
        <v>https://www.themeateater.com/hunt/whitetail-deer/video-rutting-buck-makes-crazy-vocalizations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 t="str">
        <f>IFERROR(__xludf.DUMMYFUNCTION("""COMPUTED_VALUE"""),"when is the deer rut")</f>
        <v>when is the deer rut</v>
      </c>
      <c r="B13" s="15" t="str">
        <f>IFERROR(__xludf.DUMMYFUNCTION("""COMPUTED_VALUE"""),"590")</f>
        <v>590</v>
      </c>
      <c r="C13" s="25" t="str">
        <f t="array" ref="C13">XLOOKUP(A13,'All deer keywords'!A:A,'All deer keywords'!C:C)</f>
        <v>34</v>
      </c>
      <c r="D13" s="26" t="str">
        <f t="array" ref="D13">XLOOKUP(A13,'All deer keywords'!A:A,'All deer keywords'!F:F)</f>
        <v>https://www.themeateater.com/wired-to-hunt/whitetail-hunting/rut-fresh-report-11-17-2022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 t="str">
        <f>IFERROR(__xludf.DUMMYFUNCTION("""COMPUTED_VALUE"""),"what do a deer sound like")</f>
        <v>what do a deer sound like</v>
      </c>
      <c r="B14" s="15" t="str">
        <f>IFERROR(__xludf.DUMMYFUNCTION("""COMPUTED_VALUE"""),"590")</f>
        <v>590</v>
      </c>
      <c r="C14" s="25" t="str">
        <f t="array" ref="C14">XLOOKUP(A14,'All deer keywords'!A:A,'All deer keywords'!C:C)</f>
        <v>35</v>
      </c>
      <c r="D14" s="26" t="str">
        <f t="array" ref="D14">XLOOKUP(A14,'All deer keywords'!A:A,'All deer keywords'!F:F)</f>
        <v>https://www.themeateater.com/hunt/whitetail-deer/video-rutting-buck-makes-crazy-vocalizations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 t="str">
        <f>IFERROR(__xludf.DUMMYFUNCTION("""COMPUTED_VALUE"""),"what does deer sound like")</f>
        <v>what does deer sound like</v>
      </c>
      <c r="B15" s="15" t="str">
        <f>IFERROR(__xludf.DUMMYFUNCTION("""COMPUTED_VALUE"""),"720")</f>
        <v>720</v>
      </c>
      <c r="C15" s="25" t="str">
        <f t="array" ref="C15">XLOOKUP(A15,'All deer keywords'!A:A,'All deer keywords'!C:C)</f>
        <v>46</v>
      </c>
      <c r="D15" s="26" t="str">
        <f t="array" ref="D15">XLOOKUP(A15,'All deer keywords'!A:A,'All deer keywords'!F:F)</f>
        <v>https://www.themeateater.com/hunt/whitetail-deer/video-rutting-buck-makes-crazy-vocalizations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 t="str">
        <f>IFERROR(__xludf.DUMMYFUNCTION("""COMPUTED_VALUE"""),"do deer move when its windy")</f>
        <v>do deer move when its windy</v>
      </c>
      <c r="B16" s="15" t="str">
        <f>IFERROR(__xludf.DUMMYFUNCTION("""COMPUTED_VALUE"""),"590")</f>
        <v>590</v>
      </c>
      <c r="C16" s="25" t="str">
        <f t="array" ref="C16">XLOOKUP(A16,'All deer keywords'!A:A,'All deer keywords'!C:C)</f>
        <v>46</v>
      </c>
      <c r="D16" s="26" t="str">
        <f t="array" ref="D16">XLOOKUP(A16,'All deer keywords'!A:A,'All deer keywords'!F:F)</f>
        <v>https://www.themeateater.com/wired-to-hunt/whitetail-hunting/how-to-kill-a-buck-in-high-wind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 t="str">
        <f>IFERROR(__xludf.DUMMYFUNCTION("""COMPUTED_VALUE"""),"what sound does a deer make")</f>
        <v>what sound does a deer make</v>
      </c>
      <c r="B17" s="15" t="str">
        <f>IFERROR(__xludf.DUMMYFUNCTION("""COMPUTED_VALUE"""),"1900")</f>
        <v>1900</v>
      </c>
      <c r="C17" s="25" t="str">
        <f t="array" ref="C17">XLOOKUP(A17,'All deer keywords'!A:A,'All deer keywords'!C:C)</f>
        <v>50</v>
      </c>
      <c r="D17" s="26" t="str">
        <f t="array" ref="D17">XLOOKUP(A17,'All deer keywords'!A:A,'All deer keywords'!F:F)</f>
        <v>https://www.themeateater.com/hunt/whitetail-deer/video-rutting-buck-makes-crazy-vocalizations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 t="str">
        <f>IFERROR(__xludf.DUMMYFUNCTION("""COMPUTED_VALUE"""),"what do deer eat in the wild")</f>
        <v>what do deer eat in the wild</v>
      </c>
      <c r="B18" s="15" t="str">
        <f>IFERROR(__xludf.DUMMYFUNCTION("""COMPUTED_VALUE"""),"590")</f>
        <v>590</v>
      </c>
      <c r="C18" s="25" t="str">
        <f t="array" ref="C18">XLOOKUP(A18,'All deer keywords'!A:A,'All deer keywords'!C:C)</f>
        <v>52</v>
      </c>
      <c r="D18" s="26" t="str">
        <f t="array" ref="D18">XLOOKUP(A18,'All deer keywords'!A:A,'All deer keywords'!F:F)</f>
        <v>https://www.themeateater.com/wired-to-hunt/whitetail-management/10-natural-food-sources-every-deer-hunter-should-know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5" t="str">
        <f>IFERROR(__xludf.DUMMYFUNCTION("""COMPUTED_VALUE"""),"what do deers like to eat")</f>
        <v>what do deers like to eat</v>
      </c>
      <c r="B19" s="15" t="str">
        <f>IFERROR(__xludf.DUMMYFUNCTION("""COMPUTED_VALUE"""),"590")</f>
        <v>590</v>
      </c>
      <c r="C19" s="25" t="str">
        <f t="array" ref="C19">XLOOKUP(A19,'All deer keywords'!A:A,'All deer keywords'!C:C)</f>
        <v>52</v>
      </c>
      <c r="D19" s="26" t="str">
        <f t="array" ref="D19">XLOOKUP(A19,'All deer keywords'!A:A,'All deer keywords'!F:F)</f>
        <v>https://www.themeateater.com/wired-to-hunt/whitetail-management/10-natural-food-sources-every-deer-hunter-should-know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5" t="str">
        <f>IFERROR(__xludf.DUMMYFUNCTION("""COMPUTED_VALUE"""),"what is deer meat called")</f>
        <v>what is deer meat called</v>
      </c>
      <c r="B20" s="15" t="str">
        <f>IFERROR(__xludf.DUMMYFUNCTION("""COMPUTED_VALUE"""),"1600")</f>
        <v>1600</v>
      </c>
      <c r="C20" s="25" t="str">
        <f t="array" ref="C20">XLOOKUP(A20,'All deer keywords'!A:A,'All deer keywords'!C:C)</f>
        <v>54</v>
      </c>
      <c r="D20" s="26" t="str">
        <f t="array" ref="D20">XLOOKUP(A20,'All deer keywords'!A:A,'All deer keywords'!F:F)</f>
        <v>https://www.themeateater.com/cook/butchering-and-processing/how-much-fat-should-you-add-to-ground-venison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 t="str">
        <f>IFERROR(__xludf.DUMMYFUNCTION("""COMPUTED_VALUE"""),"what sound does the deer make")</f>
        <v>what sound does the deer make</v>
      </c>
      <c r="B21" s="15" t="str">
        <f>IFERROR(__xludf.DUMMYFUNCTION("""COMPUTED_VALUE"""),"1300")</f>
        <v>1300</v>
      </c>
      <c r="C21" s="25" t="str">
        <f t="array" ref="C21">XLOOKUP(A21,'All deer keywords'!A:A,'All deer keywords'!C:C)</f>
        <v>54</v>
      </c>
      <c r="D21" s="26" t="str">
        <f t="array" ref="D21">XLOOKUP(A21,'All deer keywords'!A:A,'All deer keywords'!F:F)</f>
        <v>https://www.themeateater.com/hunt/whitetail-deer/video-rutting-buck-makes-crazy-vocalizations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5" t="str">
        <f>IFERROR(__xludf.DUMMYFUNCTION("""COMPUTED_VALUE"""),"what deer eat")</f>
        <v>what deer eat</v>
      </c>
      <c r="B22" s="15" t="str">
        <f>IFERROR(__xludf.DUMMYFUNCTION("""COMPUTED_VALUE"""),"1000")</f>
        <v>1000</v>
      </c>
      <c r="C22" s="25" t="str">
        <f t="array" ref="C22">XLOOKUP(A22,'All deer keywords'!A:A,'All deer keywords'!C:C)</f>
        <v>54</v>
      </c>
      <c r="D22" s="26" t="str">
        <f t="array" ref="D22">XLOOKUP(A22,'All deer keywords'!A:A,'All deer keywords'!F:F)</f>
        <v>https://www.themeateater.com/wired-to-hunt/whitetail-management/10-natural-food-sources-every-deer-hunter-should-know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5" t="str">
        <f>IFERROR(__xludf.DUMMYFUNCTION("""COMPUTED_VALUE"""),"what do deer like to eat")</f>
        <v>what do deer like to eat</v>
      </c>
      <c r="B23" s="15" t="str">
        <f>IFERROR(__xludf.DUMMYFUNCTION("""COMPUTED_VALUE"""),"2900")</f>
        <v>2900</v>
      </c>
      <c r="C23" s="25" t="str">
        <f t="array" ref="C23">XLOOKUP(A23,'All deer keywords'!A:A,'All deer keywords'!C:C)</f>
        <v>63</v>
      </c>
      <c r="D23" s="26" t="str">
        <f t="array" ref="D23">XLOOKUP(A23,'All deer keywords'!A:A,'All deer keywords'!F:F)</f>
        <v>https://www.themeateater.com/wired-to-hunt/whitetail-management/10-natural-food-sources-every-deer-hunter-should-know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 t="str">
        <f>IFERROR(__xludf.DUMMYFUNCTION("""COMPUTED_VALUE"""),"what eats deer")</f>
        <v>what eats deer</v>
      </c>
      <c r="B24" s="15" t="str">
        <f>IFERROR(__xludf.DUMMYFUNCTION("""COMPUTED_VALUE"""),"1600")</f>
        <v>1600</v>
      </c>
      <c r="C24" s="25" t="str">
        <f t="array" ref="C24">XLOOKUP(A24,'All deer keywords'!A:A,'All deer keywords'!C:C)</f>
        <v>64</v>
      </c>
      <c r="D24" s="26" t="str">
        <f t="array" ref="D24">XLOOKUP(A24,'All deer keywords'!A:A,'All deer keywords'!F:F)</f>
        <v>https://www.themeateater.com/conservation/wildlife-management/coyotes-kill-deer-not-deer-herds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5" t="str">
        <f>IFERROR(__xludf.DUMMYFUNCTION("""COMPUTED_VALUE"""),"what do white tailed deer eat")</f>
        <v>what do white tailed deer eat</v>
      </c>
      <c r="B25" s="15" t="str">
        <f>IFERROR(__xludf.DUMMYFUNCTION("""COMPUTED_VALUE"""),"880")</f>
        <v>880</v>
      </c>
      <c r="C25" s="25" t="str">
        <f t="array" ref="C25">XLOOKUP(A25,'All deer keywords'!A:A,'All deer keywords'!C:C)</f>
        <v>65</v>
      </c>
      <c r="D25" s="26" t="str">
        <f t="array" ref="D25">XLOOKUP(A25,'All deer keywords'!A:A,'All deer keywords'!F:F)</f>
        <v>https://www.themeateater.com/wired-to-hunt/whitetail-management/10-natural-food-sources-every-deer-hunter-should-know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5" t="str">
        <f>IFERROR(__xludf.DUMMYFUNCTION("""COMPUTED_VALUE"""),"when do whitetail deer shed their antlers")</f>
        <v>when do whitetail deer shed their antlers</v>
      </c>
      <c r="B26" s="15" t="str">
        <f>IFERROR(__xludf.DUMMYFUNCTION("""COMPUTED_VALUE"""),"1000")</f>
        <v>1000</v>
      </c>
      <c r="C26" s="25" t="str">
        <f t="array" ref="C26">XLOOKUP(A26,'All deer keywords'!A:A,'All deer keywords'!C:C)</f>
        <v>69</v>
      </c>
      <c r="D26" s="26" t="str">
        <f t="array" ref="D26">XLOOKUP(A26,'All deer keywords'!A:A,'All deer keywords'!F:F)</f>
        <v>https://www.themeateater.com/wired-to-hunt/whitetail-scouting/ask-wired-to-hunt-when-should-you-start-shed-hunting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5" t="str">
        <f>IFERROR(__xludf.DUMMYFUNCTION("""COMPUTED_VALUE"""),"what does cwd look like in deer meat")</f>
        <v>what does cwd look like in deer meat</v>
      </c>
      <c r="B27" s="15" t="str">
        <f>IFERROR(__xludf.DUMMYFUNCTION("""COMPUTED_VALUE"""),"1300")</f>
        <v>1300</v>
      </c>
      <c r="C27" s="25" t="str">
        <f t="array" ref="C27">XLOOKUP(A27,'All deer keywords'!A:A,'All deer keywords'!C:C)</f>
        <v>80</v>
      </c>
      <c r="D27" s="26" t="str">
        <f t="array" ref="D27">XLOOKUP(A27,'All deer keywords'!A:A,'All deer keywords'!F:F)</f>
        <v>https://www.themeateater.com/hunt/big-game/why-every-hunter-should-care-about-chronic-wasting-disease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5" t="str">
        <f>IFERROR(__xludf.DUMMYFUNCTION("""COMPUTED_VALUE"""),"when do deer lose their antlers")</f>
        <v>when do deer lose their antlers</v>
      </c>
      <c r="B28" s="15" t="str">
        <f>IFERROR(__xludf.DUMMYFUNCTION("""COMPUTED_VALUE"""),"1000")</f>
        <v>1000</v>
      </c>
      <c r="C28" s="25" t="str">
        <f t="array" ref="C28">XLOOKUP(A28,'All deer keywords'!A:A,'All deer keywords'!C:C)</f>
        <v>80</v>
      </c>
      <c r="D28" s="26" t="str">
        <f t="array" ref="D28">XLOOKUP(A28,'All deer keywords'!A:A,'All deer keywords'!F:F)</f>
        <v>https://www.themeateater.com/wired-to-hunt/whitetail-management/why-midwest-whitetails-shedding-early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5" t="str">
        <f>IFERROR(__xludf.DUMMYFUNCTION("""COMPUTED_VALUE"""),"when is rutting season for deer")</f>
        <v>when is rutting season for deer</v>
      </c>
      <c r="B29" s="15" t="str">
        <f>IFERROR(__xludf.DUMMYFUNCTION("""COMPUTED_VALUE"""),"1000")</f>
        <v>1000</v>
      </c>
      <c r="C29" s="25" t="str">
        <f t="array" ref="C29">XLOOKUP(A29,'All deer keywords'!A:A,'All deer keywords'!C:C)</f>
        <v>85</v>
      </c>
      <c r="D29" s="26" t="str">
        <f t="array" ref="D29">XLOOKUP(A29,'All deer keywords'!A:A,'All deer keywords'!F:F)</f>
        <v>https://www.themeateater.com/wired-to-hunt/whitetail-hunting/rut-fresh-report-11-17-2022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5" t="str">
        <f>IFERROR(__xludf.DUMMYFUNCTION("""COMPUTED_VALUE"""),"what do deer eat")</f>
        <v>what do deer eat</v>
      </c>
      <c r="B30" s="15" t="str">
        <f>IFERROR(__xludf.DUMMYFUNCTION("""COMPUTED_VALUE"""),"18100")</f>
        <v>18100</v>
      </c>
      <c r="C30" s="25" t="str">
        <f t="array" ref="C30">XLOOKUP(A30,'All deer keywords'!A:A,'All deer keywords'!C:C)</f>
        <v>86</v>
      </c>
      <c r="D30" s="26" t="str">
        <f t="array" ref="D30">XLOOKUP(A30,'All deer keywords'!A:A,'All deer keywords'!F:F)</f>
        <v>https://www.themeateater.com/wired-to-hunt/whitetail-management/10-natural-food-sources-every-deer-hunter-should-know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5" t="str">
        <f>IFERROR(__xludf.DUMMYFUNCTION("""COMPUTED_VALUE"""),"what does deer taste like")</f>
        <v>what does deer taste like</v>
      </c>
      <c r="B31" s="15" t="str">
        <f>IFERROR(__xludf.DUMMYFUNCTION("""COMPUTED_VALUE"""),"720")</f>
        <v>720</v>
      </c>
      <c r="C31" s="25" t="str">
        <f t="array" ref="C31">XLOOKUP(A31,'All deer keywords'!A:A,'All deer keywords'!C:C)</f>
        <v>96</v>
      </c>
      <c r="D31" s="26" t="str">
        <f t="array" ref="D31">XLOOKUP(A31,'All deer keywords'!A:A,'All deer keywords'!F:F)</f>
        <v>https://www.themeateater.com/cook/cooking-techniques/stop-using-the-word-gamey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5" t="str">
        <f>IFERROR(__xludf.DUMMYFUNCTION("""COMPUTED_VALUE"""),"what is cwd in deer")</f>
        <v>what is cwd in deer</v>
      </c>
      <c r="B32" s="15" t="str">
        <f>IFERROR(__xludf.DUMMYFUNCTION("""COMPUTED_VALUE"""),"1300")</f>
        <v>1300</v>
      </c>
      <c r="C32" s="25" t="str">
        <f t="array" ref="C32">XLOOKUP(A32,'All deer keywords'!A:A,'All deer keywords'!C:C)</f>
        <v>99</v>
      </c>
      <c r="D32" s="26" t="str">
        <f t="array" ref="D32">XLOOKUP(A32,'All deer keywords'!A:A,'All deer keywords'!F:F)</f>
        <v>https://www.themeateater.com/wired-to-hunt/whitetail-management/what-the-cwd-bill-means-for-deer-and-deer-hunters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5" t="str">
        <f>IFERROR(__xludf.DUMMYFUNCTION("""COMPUTED_VALUE"""),"what do deers eat")</f>
        <v>what do deers eat</v>
      </c>
      <c r="B33" s="15" t="str">
        <f>IFERROR(__xludf.DUMMYFUNCTION("""COMPUTED_VALUE"""),"5400")</f>
        <v>5400</v>
      </c>
      <c r="C33" s="25" t="str">
        <f t="array" ref="C33">XLOOKUP(A33,'All deer keywords'!A:A,'All deer keywords'!C:C)</f>
        <v>Not ranking</v>
      </c>
      <c r="D33" s="27" t="str">
        <f t="array" ref="D33">XLOOKUP(A33,'All deer keywords'!A:A,'All deer keywords'!F:F)</f>
        <v>Not ranking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5" t="str">
        <f>IFERROR(__xludf.DUMMYFUNCTION("""COMPUTED_VALUE"""),"when do deer shed their antlers")</f>
        <v>when do deer shed their antlers</v>
      </c>
      <c r="B34" s="15" t="str">
        <f>IFERROR(__xludf.DUMMYFUNCTION("""COMPUTED_VALUE"""),"4400")</f>
        <v>4400</v>
      </c>
      <c r="C34" s="25" t="str">
        <f t="array" ref="C34">XLOOKUP(A34,'All deer keywords'!A:A,'All deer keywords'!C:C)</f>
        <v>Not ranking</v>
      </c>
      <c r="D34" s="27" t="str">
        <f t="array" ref="D34">XLOOKUP(A34,'All deer keywords'!A:A,'All deer keywords'!F:F)</f>
        <v>Not ranking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5" t="str">
        <f>IFERROR(__xludf.DUMMYFUNCTION("""COMPUTED_VALUE"""),"when is deer season")</f>
        <v>when is deer season</v>
      </c>
      <c r="B35" s="15" t="str">
        <f>IFERROR(__xludf.DUMMYFUNCTION("""COMPUTED_VALUE"""),"2400")</f>
        <v>2400</v>
      </c>
      <c r="C35" s="25" t="str">
        <f t="array" ref="C35">XLOOKUP(A35,'All deer keywords'!A:A,'All deer keywords'!C:C)</f>
        <v>Not ranking</v>
      </c>
      <c r="D35" s="27" t="str">
        <f t="array" ref="D35">XLOOKUP(A35,'All deer keywords'!A:A,'All deer keywords'!F:F)</f>
        <v>Not ranking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5" t="str">
        <f>IFERROR(__xludf.DUMMYFUNCTION("""COMPUTED_VALUE"""),"what is ehd in deer")</f>
        <v>what is ehd in deer</v>
      </c>
      <c r="B36" s="15" t="str">
        <f>IFERROR(__xludf.DUMMYFUNCTION("""COMPUTED_VALUE"""),"1900")</f>
        <v>1900</v>
      </c>
      <c r="C36" s="25" t="str">
        <f t="array" ref="C36">XLOOKUP(A36,'All deer keywords'!A:A,'All deer keywords'!C:C)</f>
        <v>Not ranking</v>
      </c>
      <c r="D36" s="27" t="str">
        <f t="array" ref="D36">XLOOKUP(A36,'All deer keywords'!A:A,'All deer keywords'!F:F)</f>
        <v>Not ranking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5" t="str">
        <f>IFERROR(__xludf.DUMMYFUNCTION("""COMPUTED_VALUE"""),"when does deer season end")</f>
        <v>when does deer season end</v>
      </c>
      <c r="B37" s="15" t="str">
        <f>IFERROR(__xludf.DUMMYFUNCTION("""COMPUTED_VALUE"""),"1600")</f>
        <v>1600</v>
      </c>
      <c r="C37" s="25" t="str">
        <f t="array" ref="C37">XLOOKUP(A37,'All deer keywords'!A:A,'All deer keywords'!C:C)</f>
        <v>Not ranking</v>
      </c>
      <c r="D37" s="27" t="str">
        <f t="array" ref="D37">XLOOKUP(A37,'All deer keywords'!A:A,'All deer keywords'!F:F)</f>
        <v>Not ranking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5" t="str">
        <f>IFERROR(__xludf.DUMMYFUNCTION("""COMPUTED_VALUE"""),"what do deer eat in the winter")</f>
        <v>what do deer eat in the winter</v>
      </c>
      <c r="B38" s="15" t="str">
        <f>IFERROR(__xludf.DUMMYFUNCTION("""COMPUTED_VALUE"""),"1300")</f>
        <v>1300</v>
      </c>
      <c r="C38" s="25" t="str">
        <f t="array" ref="C38">XLOOKUP(A38,'All deer keywords'!A:A,'All deer keywords'!C:C)</f>
        <v>Not ranking</v>
      </c>
      <c r="D38" s="27" t="str">
        <f t="array" ref="D38">XLOOKUP(A38,'All deer keywords'!A:A,'All deer keywords'!F:F)</f>
        <v>Not ranking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5" t="str">
        <f>IFERROR(__xludf.DUMMYFUNCTION("""COMPUTED_VALUE"""),"what does deer eat")</f>
        <v>what does deer eat</v>
      </c>
      <c r="B39" s="15" t="str">
        <f>IFERROR(__xludf.DUMMYFUNCTION("""COMPUTED_VALUE"""),"1300")</f>
        <v>1300</v>
      </c>
      <c r="C39" s="25" t="str">
        <f t="array" ref="C39">XLOOKUP(A39,'All deer keywords'!A:A,'All deer keywords'!C:C)</f>
        <v>Not ranking</v>
      </c>
      <c r="D39" s="27" t="str">
        <f t="array" ref="D39">XLOOKUP(A39,'All deer keywords'!A:A,'All deer keywords'!F:F)</f>
        <v>Not ranking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5" t="str">
        <f>IFERROR(__xludf.DUMMYFUNCTION("""COMPUTED_VALUE"""),"when is deer season in texas")</f>
        <v>when is deer season in texas</v>
      </c>
      <c r="B40" s="15" t="str">
        <f>IFERROR(__xludf.DUMMYFUNCTION("""COMPUTED_VALUE"""),"1000")</f>
        <v>1000</v>
      </c>
      <c r="C40" s="25" t="str">
        <f t="array" ref="C40">XLOOKUP(A40,'All deer keywords'!A:A,'All deer keywords'!C:C)</f>
        <v>Not ranking</v>
      </c>
      <c r="D40" s="27" t="str">
        <f t="array" ref="D40">XLOOKUP(A40,'All deer keywords'!A:A,'All deer keywords'!F:F)</f>
        <v>Not ranking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5" t="str">
        <f>IFERROR(__xludf.DUMMYFUNCTION("""COMPUTED_VALUE"""),"what are deer antlers made of")</f>
        <v>what are deer antlers made of</v>
      </c>
      <c r="B41" s="15" t="str">
        <f>IFERROR(__xludf.DUMMYFUNCTION("""COMPUTED_VALUE"""),"880")</f>
        <v>880</v>
      </c>
      <c r="C41" s="25" t="str">
        <f t="array" ref="C41">XLOOKUP(A41,'All deer keywords'!A:A,'All deer keywords'!C:C)</f>
        <v>Not ranking</v>
      </c>
      <c r="D41" s="27" t="str">
        <f t="array" ref="D41">XLOOKUP(A41,'All deer keywords'!A:A,'All deer keywords'!F:F)</f>
        <v>Not ranking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5" t="str">
        <f>IFERROR(__xludf.DUMMYFUNCTION("""COMPUTED_VALUE"""),"when does deer season end in texas")</f>
        <v>when does deer season end in texas</v>
      </c>
      <c r="B42" s="15" t="str">
        <f>IFERROR(__xludf.DUMMYFUNCTION("""COMPUTED_VALUE"""),"880")</f>
        <v>880</v>
      </c>
      <c r="C42" s="25" t="str">
        <f t="array" ref="C42">XLOOKUP(A42,'All deer keywords'!A:A,'All deer keywords'!C:C)</f>
        <v>Not ranking</v>
      </c>
      <c r="D42" s="27" t="str">
        <f t="array" ref="D42">XLOOKUP(A42,'All deer keywords'!A:A,'All deer keywords'!F:F)</f>
        <v>Not ranking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5" t="str">
        <f>IFERROR(__xludf.DUMMYFUNCTION("""COMPUTED_VALUE"""),"when does deer season start in texas")</f>
        <v>when does deer season start in texas</v>
      </c>
      <c r="B43" s="15" t="str">
        <f>IFERROR(__xludf.DUMMYFUNCTION("""COMPUTED_VALUE"""),"880")</f>
        <v>880</v>
      </c>
      <c r="C43" s="25" t="str">
        <f t="array" ref="C43">XLOOKUP(A43,'All deer keywords'!A:A,'All deer keywords'!C:C)</f>
        <v>Not ranking</v>
      </c>
      <c r="D43" s="27" t="str">
        <f t="array" ref="D43">XLOOKUP(A43,'All deer keywords'!A:A,'All deer keywords'!F:F)</f>
        <v>Not ranking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5" t="str">
        <f>IFERROR(__xludf.DUMMYFUNCTION("""COMPUTED_VALUE"""),"what can you feed deer")</f>
        <v>what can you feed deer</v>
      </c>
      <c r="B44" s="15" t="str">
        <f>IFERROR(__xludf.DUMMYFUNCTION("""COMPUTED_VALUE"""),"720")</f>
        <v>720</v>
      </c>
      <c r="C44" s="25" t="str">
        <f t="array" ref="C44">XLOOKUP(A44,'All deer keywords'!A:A,'All deer keywords'!C:C)</f>
        <v>Not ranking</v>
      </c>
      <c r="D44" s="27" t="str">
        <f t="array" ref="D44">XLOOKUP(A44,'All deer keywords'!A:A,'All deer keywords'!F:F)</f>
        <v>Not ranking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5" t="str">
        <f>IFERROR(__xludf.DUMMYFUNCTION("""COMPUTED_VALUE"""),"what do deer eat in winter")</f>
        <v>what do deer eat in winter</v>
      </c>
      <c r="B45" s="15" t="str">
        <f>IFERROR(__xludf.DUMMYFUNCTION("""COMPUTED_VALUE"""),"720")</f>
        <v>720</v>
      </c>
      <c r="C45" s="25" t="str">
        <f t="array" ref="C45">XLOOKUP(A45,'All deer keywords'!A:A,'All deer keywords'!C:C)</f>
        <v>Not ranking</v>
      </c>
      <c r="D45" s="27" t="str">
        <f t="array" ref="D45">XLOOKUP(A45,'All deer keywords'!A:A,'All deer keywords'!F:F)</f>
        <v>Not ranking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 t="str">
        <f>IFERROR(__xludf.DUMMYFUNCTION("""COMPUTED_VALUE"""),"what does it mean when a deer crosses your path")</f>
        <v>what does it mean when a deer crosses your path</v>
      </c>
      <c r="B46" s="15" t="str">
        <f>IFERROR(__xludf.DUMMYFUNCTION("""COMPUTED_VALUE"""),"720")</f>
        <v>720</v>
      </c>
      <c r="C46" s="25" t="str">
        <f t="array" ref="C46">XLOOKUP(A46,'All deer keywords'!A:A,'All deer keywords'!C:C)</f>
        <v>Not ranking</v>
      </c>
      <c r="D46" s="27" t="str">
        <f t="array" ref="D46">XLOOKUP(A46,'All deer keywords'!A:A,'All deer keywords'!F:F)</f>
        <v>Not ranking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5" t="str">
        <f>IFERROR(__xludf.DUMMYFUNCTION("""COMPUTED_VALUE"""),"when does deer season end in alabama")</f>
        <v>when does deer season end in alabama</v>
      </c>
      <c r="B47" s="15" t="str">
        <f>IFERROR(__xludf.DUMMYFUNCTION("""COMPUTED_VALUE"""),"720")</f>
        <v>720</v>
      </c>
      <c r="C47" s="25" t="str">
        <f t="array" ref="C47">XLOOKUP(A47,'All deer keywords'!A:A,'All deer keywords'!C:C)</f>
        <v>Not ranking</v>
      </c>
      <c r="D47" s="27" t="str">
        <f t="array" ref="D47">XLOOKUP(A47,'All deer keywords'!A:A,'All deer keywords'!F:F)</f>
        <v>Not ranking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5" t="str">
        <f>IFERROR(__xludf.DUMMYFUNCTION("""COMPUTED_VALUE"""),"when does deer season end in georgia")</f>
        <v>when does deer season end in georgia</v>
      </c>
      <c r="B48" s="15" t="str">
        <f>IFERROR(__xludf.DUMMYFUNCTION("""COMPUTED_VALUE"""),"720")</f>
        <v>720</v>
      </c>
      <c r="C48" s="25" t="str">
        <f t="array" ref="C48">XLOOKUP(A48,'All deer keywords'!A:A,'All deer keywords'!C:C)</f>
        <v>Not ranking</v>
      </c>
      <c r="D48" s="27" t="str">
        <f t="array" ref="D48">XLOOKUP(A48,'All deer keywords'!A:A,'All deer keywords'!F:F)</f>
        <v>Not ranking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5" t="str">
        <f>IFERROR(__xludf.DUMMYFUNCTION("""COMPUTED_VALUE"""),"when does deer season start in georgia")</f>
        <v>when does deer season start in georgia</v>
      </c>
      <c r="B49" s="15" t="str">
        <f>IFERROR(__xludf.DUMMYFUNCTION("""COMPUTED_VALUE"""),"720")</f>
        <v>720</v>
      </c>
      <c r="C49" s="25" t="str">
        <f t="array" ref="C49">XLOOKUP(A49,'All deer keywords'!A:A,'All deer keywords'!C:C)</f>
        <v>Not ranking</v>
      </c>
      <c r="D49" s="27" t="str">
        <f t="array" ref="D49">XLOOKUP(A49,'All deer keywords'!A:A,'All deer keywords'!F:F)</f>
        <v>Not ranking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5" t="str">
        <f>IFERROR(__xludf.DUMMYFUNCTION("""COMPUTED_VALUE"""),"when is deer season in georgia")</f>
        <v>when is deer season in georgia</v>
      </c>
      <c r="B50" s="15" t="str">
        <f>IFERROR(__xludf.DUMMYFUNCTION("""COMPUTED_VALUE"""),"720")</f>
        <v>720</v>
      </c>
      <c r="C50" s="25" t="str">
        <f t="array" ref="C50">XLOOKUP(A50,'All deer keywords'!A:A,'All deer keywords'!C:C)</f>
        <v>Not ranking</v>
      </c>
      <c r="D50" s="27" t="str">
        <f t="array" ref="D50">XLOOKUP(A50,'All deer keywords'!A:A,'All deer keywords'!F:F)</f>
        <v>Not ranking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5" t="str">
        <f>IFERROR(__xludf.DUMMYFUNCTION("""COMPUTED_VALUE"""),"what is blue tongue in deer")</f>
        <v>what is blue tongue in deer</v>
      </c>
      <c r="B51" s="15" t="str">
        <f>IFERROR(__xludf.DUMMYFUNCTION("""COMPUTED_VALUE"""),"590")</f>
        <v>590</v>
      </c>
      <c r="C51" s="25" t="str">
        <f t="array" ref="C51">XLOOKUP(A51,'All deer keywords'!A:A,'All deer keywords'!C:C)</f>
        <v>Not ranking</v>
      </c>
      <c r="D51" s="27" t="str">
        <f t="array" ref="D51">XLOOKUP(A51,'All deer keywords'!A:A,'All deer keywords'!F:F)</f>
        <v>Not ranking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5" t="str">
        <f>IFERROR(__xludf.DUMMYFUNCTION("""COMPUTED_VALUE"""),"when is deer season in missouri")</f>
        <v>when is deer season in missouri</v>
      </c>
      <c r="B52" s="15" t="str">
        <f>IFERROR(__xludf.DUMMYFUNCTION("""COMPUTED_VALUE"""),"590")</f>
        <v>590</v>
      </c>
      <c r="C52" s="25" t="str">
        <f t="array" ref="C52">XLOOKUP(A52,'All deer keywords'!A:A,'All deer keywords'!C:C)</f>
        <v>Not ranking</v>
      </c>
      <c r="D52" s="27" t="str">
        <f t="array" ref="D52">XLOOKUP(A52,'All deer keywords'!A:A,'All deer keywords'!F:F)</f>
        <v>Not ranking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5"/>
      <c r="B53" s="15"/>
      <c r="C53" s="15"/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5"/>
      <c r="B54" s="15"/>
      <c r="C54" s="15"/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5"/>
      <c r="B55" s="15"/>
      <c r="C55" s="15"/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5"/>
      <c r="B56" s="15"/>
      <c r="C56" s="15"/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5"/>
      <c r="B57" s="15"/>
      <c r="C57" s="15"/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5"/>
      <c r="B58" s="15"/>
      <c r="C58" s="15"/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5"/>
      <c r="B59" s="15"/>
      <c r="C59" s="15"/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5"/>
      <c r="B60" s="15"/>
      <c r="C60" s="15"/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5"/>
      <c r="B61" s="15"/>
      <c r="C61" s="15"/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5"/>
      <c r="B62" s="15"/>
      <c r="C62" s="15"/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5"/>
      <c r="B63" s="15"/>
      <c r="C63" s="15"/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5"/>
      <c r="B64" s="15"/>
      <c r="C64" s="15"/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5"/>
      <c r="B65" s="15"/>
      <c r="C65" s="15"/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5"/>
      <c r="B66" s="15"/>
      <c r="C66" s="15"/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5"/>
      <c r="B67" s="15"/>
      <c r="C67" s="15"/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5"/>
      <c r="B68" s="15"/>
      <c r="C68" s="15"/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5"/>
      <c r="B69" s="15"/>
      <c r="C69" s="15"/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5"/>
      <c r="B70" s="15"/>
      <c r="C70" s="15"/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5"/>
      <c r="B71" s="15"/>
      <c r="C71" s="15"/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5"/>
      <c r="B72" s="15"/>
      <c r="C72" s="15"/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/>
      <c r="B73" s="15"/>
      <c r="C73" s="15"/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/>
      <c r="B74" s="15"/>
      <c r="C74" s="15"/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/>
      <c r="B75" s="15"/>
      <c r="C75" s="15"/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5"/>
      <c r="B76" s="15"/>
      <c r="C76" s="15"/>
      <c r="D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5"/>
      <c r="B77" s="15"/>
      <c r="C77" s="15"/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/>
      <c r="B78" s="15"/>
      <c r="C78" s="15"/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5"/>
      <c r="B79" s="15"/>
      <c r="C79" s="15"/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5"/>
      <c r="B80" s="15"/>
      <c r="C80" s="15"/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5"/>
      <c r="B81" s="15"/>
      <c r="C81" s="15"/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5"/>
      <c r="B82" s="15"/>
      <c r="C82" s="15"/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5"/>
      <c r="B83" s="15"/>
      <c r="C83" s="15"/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/>
      <c r="B84" s="15"/>
      <c r="C84" s="15"/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/>
      <c r="B85" s="15"/>
      <c r="C85" s="15"/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/>
      <c r="B86" s="15"/>
      <c r="C86" s="15"/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/>
      <c r="B87" s="15"/>
      <c r="C87" s="15"/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/>
      <c r="B88" s="15"/>
      <c r="C88" s="15"/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/>
      <c r="B89" s="15"/>
      <c r="C89" s="15"/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/>
      <c r="B90" s="15"/>
      <c r="C90" s="15"/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/>
      <c r="B91" s="15"/>
      <c r="C91" s="15"/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/>
      <c r="B92" s="15"/>
      <c r="C92" s="15"/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/>
      <c r="B93" s="15"/>
      <c r="C93" s="15"/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/>
      <c r="B94" s="15"/>
      <c r="C94" s="15"/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/>
      <c r="B95" s="15"/>
      <c r="C95" s="15"/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/>
      <c r="B96" s="15"/>
      <c r="C96" s="15"/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/>
      <c r="B97" s="15"/>
      <c r="C97" s="15"/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/>
      <c r="B98" s="15"/>
      <c r="C98" s="15"/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/>
      <c r="B99" s="15"/>
      <c r="C99" s="15"/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/>
      <c r="B100" s="15"/>
      <c r="C100" s="15"/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/>
      <c r="B101" s="15"/>
      <c r="C101" s="15"/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/>
      <c r="B102" s="15"/>
      <c r="C102" s="15"/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/>
      <c r="B103" s="15"/>
      <c r="C103" s="15"/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/>
      <c r="B104" s="15"/>
      <c r="C104" s="15"/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/>
      <c r="B105" s="15"/>
      <c r="C105" s="15"/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/>
      <c r="B106" s="15"/>
      <c r="C106" s="15"/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/>
      <c r="B107" s="15"/>
      <c r="C107" s="15"/>
      <c r="D107" s="1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/>
      <c r="B108" s="15"/>
      <c r="C108" s="15"/>
      <c r="D108" s="1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5"/>
      <c r="B109" s="15"/>
      <c r="C109" s="15"/>
      <c r="D109" s="1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5"/>
      <c r="B110" s="15"/>
      <c r="C110" s="15"/>
      <c r="D110" s="1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5"/>
      <c r="B111" s="15"/>
      <c r="C111" s="15"/>
      <c r="D111" s="1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5"/>
      <c r="B112" s="15"/>
      <c r="C112" s="15"/>
      <c r="D112" s="1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5"/>
      <c r="B113" s="15"/>
      <c r="C113" s="15"/>
      <c r="D113" s="1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5"/>
      <c r="B114" s="15"/>
      <c r="C114" s="15"/>
      <c r="D114" s="1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5"/>
      <c r="B115" s="15"/>
      <c r="C115" s="15"/>
      <c r="D115" s="1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5"/>
      <c r="B116" s="15"/>
      <c r="C116" s="15"/>
      <c r="D116" s="1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5"/>
      <c r="B117" s="15"/>
      <c r="C117" s="15"/>
      <c r="D117" s="1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5"/>
      <c r="B118" s="15"/>
      <c r="C118" s="15"/>
      <c r="D118" s="1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5"/>
      <c r="B119" s="15"/>
      <c r="C119" s="15"/>
      <c r="D119" s="1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5"/>
      <c r="B120" s="15"/>
      <c r="C120" s="15"/>
      <c r="D120" s="1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/>
      <c r="B121" s="15"/>
      <c r="C121" s="15"/>
      <c r="D121" s="1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/>
      <c r="B122" s="15"/>
      <c r="C122" s="15"/>
      <c r="D122" s="1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/>
      <c r="B123" s="15"/>
      <c r="C123" s="15"/>
      <c r="D123" s="1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/>
      <c r="B124" s="15"/>
      <c r="C124" s="15"/>
      <c r="D124" s="1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/>
      <c r="B125" s="15"/>
      <c r="C125" s="15"/>
      <c r="D125" s="1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/>
      <c r="B126" s="15"/>
      <c r="C126" s="15"/>
      <c r="D126" s="1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5"/>
      <c r="B127" s="15"/>
      <c r="C127" s="15"/>
      <c r="D127" s="1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5"/>
      <c r="B128" s="15"/>
      <c r="C128" s="15"/>
      <c r="D128" s="1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5"/>
      <c r="B129" s="15"/>
      <c r="C129" s="15"/>
      <c r="D129" s="1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5"/>
      <c r="B130" s="15"/>
      <c r="C130" s="15"/>
      <c r="D130" s="1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5"/>
      <c r="B131" s="15"/>
      <c r="C131" s="15"/>
      <c r="D131" s="1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5"/>
      <c r="B132" s="15"/>
      <c r="C132" s="15"/>
      <c r="D132" s="1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5"/>
      <c r="B133" s="15"/>
      <c r="C133" s="15"/>
      <c r="D133" s="1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5"/>
      <c r="B134" s="15"/>
      <c r="C134" s="15"/>
      <c r="D134" s="1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5"/>
      <c r="B135" s="15"/>
      <c r="C135" s="15"/>
      <c r="D135" s="1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5"/>
      <c r="B136" s="15"/>
      <c r="C136" s="15"/>
      <c r="D136" s="1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5"/>
      <c r="B137" s="15"/>
      <c r="C137" s="15"/>
      <c r="D137" s="1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5"/>
      <c r="B138" s="15"/>
      <c r="C138" s="15"/>
      <c r="D138" s="1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5"/>
      <c r="B139" s="15"/>
      <c r="C139" s="15"/>
      <c r="D139" s="1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5"/>
      <c r="B140" s="15"/>
      <c r="C140" s="15"/>
      <c r="D140" s="1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5"/>
      <c r="B141" s="15"/>
      <c r="C141" s="15"/>
      <c r="D141" s="1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5"/>
      <c r="B142" s="15"/>
      <c r="C142" s="15"/>
      <c r="D142" s="1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5"/>
      <c r="B143" s="15"/>
      <c r="C143" s="15"/>
      <c r="D143" s="1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5"/>
      <c r="B144" s="15"/>
      <c r="C144" s="15"/>
      <c r="D144" s="1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5"/>
      <c r="B145" s="15"/>
      <c r="C145" s="15"/>
      <c r="D145" s="1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5"/>
      <c r="B146" s="15"/>
      <c r="C146" s="15"/>
      <c r="D146" s="1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5"/>
      <c r="B147" s="15"/>
      <c r="C147" s="15"/>
      <c r="D147" s="1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5"/>
      <c r="B148" s="15"/>
      <c r="C148" s="15"/>
      <c r="D148" s="1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5"/>
      <c r="B149" s="15"/>
      <c r="C149" s="15"/>
      <c r="D149" s="1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5"/>
      <c r="B150" s="15"/>
      <c r="C150" s="15"/>
      <c r="D150" s="1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5"/>
      <c r="B151" s="15"/>
      <c r="C151" s="15"/>
      <c r="D151" s="1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5"/>
      <c r="B152" s="15"/>
      <c r="C152" s="15"/>
      <c r="D152" s="1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5"/>
      <c r="B153" s="15"/>
      <c r="C153" s="15"/>
      <c r="D153" s="1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5"/>
      <c r="B154" s="15"/>
      <c r="C154" s="15"/>
      <c r="D154" s="1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5"/>
      <c r="B155" s="15"/>
      <c r="C155" s="15"/>
      <c r="D155" s="1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5"/>
      <c r="B156" s="15"/>
      <c r="C156" s="15"/>
      <c r="D156" s="1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5"/>
      <c r="B157" s="15"/>
      <c r="C157" s="15"/>
      <c r="D157" s="1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5"/>
      <c r="B158" s="15"/>
      <c r="C158" s="15"/>
      <c r="D158" s="1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5"/>
      <c r="B159" s="15"/>
      <c r="C159" s="15"/>
      <c r="D159" s="1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5"/>
      <c r="B160" s="15"/>
      <c r="C160" s="15"/>
      <c r="D160" s="1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5"/>
      <c r="B161" s="15"/>
      <c r="C161" s="15"/>
      <c r="D161" s="1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5"/>
      <c r="B162" s="15"/>
      <c r="C162" s="15"/>
      <c r="D162" s="1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/>
      <c r="B163" s="15"/>
      <c r="C163" s="15"/>
      <c r="D163" s="1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/>
      <c r="B164" s="15"/>
      <c r="C164" s="15"/>
      <c r="D164" s="1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/>
      <c r="B165" s="15"/>
      <c r="C165" s="15"/>
      <c r="D165" s="1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/>
      <c r="B166" s="15"/>
      <c r="C166" s="15"/>
      <c r="D166" s="1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5"/>
      <c r="B167" s="15"/>
      <c r="C167" s="15"/>
      <c r="D167" s="1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/>
      <c r="B168" s="15"/>
      <c r="C168" s="15"/>
      <c r="D168" s="1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/>
      <c r="B169" s="15"/>
      <c r="C169" s="15"/>
      <c r="D169" s="1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/>
      <c r="B170" s="15"/>
      <c r="C170" s="15"/>
      <c r="D170" s="1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/>
      <c r="B171" s="15"/>
      <c r="C171" s="15"/>
      <c r="D171" s="1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/>
      <c r="B172" s="15"/>
      <c r="C172" s="15"/>
      <c r="D172" s="1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/>
      <c r="B173" s="15"/>
      <c r="C173" s="15"/>
      <c r="D173" s="1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/>
      <c r="B174" s="15"/>
      <c r="C174" s="15"/>
      <c r="D174" s="1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/>
      <c r="B175" s="15"/>
      <c r="C175" s="15"/>
      <c r="D175" s="1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/>
      <c r="B176" s="15"/>
      <c r="C176" s="15"/>
      <c r="D176" s="1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/>
      <c r="B177" s="15"/>
      <c r="C177" s="15"/>
      <c r="D177" s="1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/>
      <c r="B178" s="15"/>
      <c r="C178" s="15"/>
      <c r="D178" s="1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/>
      <c r="B179" s="15"/>
      <c r="C179" s="15"/>
      <c r="D179" s="1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/>
      <c r="B180" s="15"/>
      <c r="C180" s="15"/>
      <c r="D180" s="1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/>
      <c r="B181" s="15"/>
      <c r="C181" s="15"/>
      <c r="D181" s="1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/>
      <c r="B182" s="15"/>
      <c r="C182" s="15"/>
      <c r="D182" s="1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/>
      <c r="B183" s="15"/>
      <c r="C183" s="15"/>
      <c r="D183" s="1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/>
      <c r="B184" s="15"/>
      <c r="C184" s="15"/>
      <c r="D184" s="1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/>
      <c r="B185" s="15"/>
      <c r="C185" s="15"/>
      <c r="D185" s="1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/>
      <c r="B186" s="15"/>
      <c r="C186" s="15"/>
      <c r="D186" s="1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/>
      <c r="B187" s="15"/>
      <c r="C187" s="15"/>
      <c r="D187" s="1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/>
      <c r="B188" s="15"/>
      <c r="C188" s="15"/>
      <c r="D188" s="1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/>
      <c r="B189" s="15"/>
      <c r="C189" s="15"/>
      <c r="D189" s="1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/>
      <c r="B190" s="15"/>
      <c r="C190" s="15"/>
      <c r="D190" s="1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/>
      <c r="B191" s="15"/>
      <c r="C191" s="15"/>
      <c r="D191" s="1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5"/>
      <c r="B192" s="15"/>
      <c r="C192" s="15"/>
      <c r="D192" s="1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5"/>
      <c r="B193" s="15"/>
      <c r="C193" s="15"/>
      <c r="D193" s="1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5"/>
      <c r="B194" s="15"/>
      <c r="C194" s="15"/>
      <c r="D194" s="1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5"/>
      <c r="B195" s="15"/>
      <c r="C195" s="15"/>
      <c r="D195" s="1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5"/>
      <c r="B196" s="15"/>
      <c r="C196" s="15"/>
      <c r="D196" s="1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5"/>
      <c r="B197" s="15"/>
      <c r="C197" s="15"/>
      <c r="D197" s="1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5"/>
      <c r="B198" s="15"/>
      <c r="C198" s="15"/>
      <c r="D198" s="1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5"/>
      <c r="B199" s="15"/>
      <c r="C199" s="15"/>
      <c r="D199" s="1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5"/>
      <c r="B200" s="15"/>
      <c r="C200" s="15"/>
      <c r="D200" s="1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5"/>
      <c r="B201" s="15"/>
      <c r="C201" s="15"/>
      <c r="D201" s="1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5"/>
      <c r="B202" s="15"/>
      <c r="C202" s="15"/>
      <c r="D202" s="1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5"/>
      <c r="B203" s="15"/>
      <c r="C203" s="15"/>
      <c r="D203" s="1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5"/>
      <c r="B204" s="15"/>
      <c r="C204" s="15"/>
      <c r="D204" s="1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5"/>
      <c r="B205" s="15"/>
      <c r="C205" s="15"/>
      <c r="D205" s="1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5"/>
      <c r="B206" s="15"/>
      <c r="C206" s="15"/>
      <c r="D206" s="1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5"/>
      <c r="B207" s="15"/>
      <c r="C207" s="15"/>
      <c r="D207" s="1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5"/>
      <c r="B208" s="15"/>
      <c r="C208" s="15"/>
      <c r="D208" s="1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5"/>
      <c r="B209" s="15"/>
      <c r="C209" s="15"/>
      <c r="D209" s="1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5"/>
      <c r="B210" s="15"/>
      <c r="C210" s="15"/>
      <c r="D210" s="1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5"/>
      <c r="B211" s="15"/>
      <c r="C211" s="15"/>
      <c r="D211" s="1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5"/>
      <c r="B212" s="15"/>
      <c r="C212" s="15"/>
      <c r="D212" s="1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5"/>
      <c r="B213" s="15"/>
      <c r="C213" s="15"/>
      <c r="D213" s="1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5"/>
      <c r="B214" s="15"/>
      <c r="C214" s="15"/>
      <c r="D214" s="1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5"/>
      <c r="B215" s="15"/>
      <c r="C215" s="15"/>
      <c r="D215" s="1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5"/>
      <c r="B216" s="15"/>
      <c r="C216" s="15"/>
      <c r="D216" s="1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5"/>
      <c r="B217" s="15"/>
      <c r="C217" s="15"/>
      <c r="D217" s="1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5"/>
      <c r="B218" s="15"/>
      <c r="C218" s="15"/>
      <c r="D218" s="1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5"/>
      <c r="B219" s="15"/>
      <c r="C219" s="15"/>
      <c r="D219" s="1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5"/>
      <c r="B220" s="15"/>
      <c r="C220" s="15"/>
      <c r="D220" s="1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5"/>
      <c r="B221" s="15"/>
      <c r="C221" s="15"/>
      <c r="D221" s="1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5"/>
      <c r="B222" s="15"/>
      <c r="C222" s="15"/>
      <c r="D222" s="1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5"/>
      <c r="B223" s="15"/>
      <c r="C223" s="15"/>
      <c r="D223" s="1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5"/>
      <c r="B224" s="15"/>
      <c r="C224" s="15"/>
      <c r="D224" s="1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5"/>
      <c r="B225" s="15"/>
      <c r="C225" s="15"/>
      <c r="D225" s="1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5"/>
      <c r="B226" s="15"/>
      <c r="C226" s="15"/>
      <c r="D226" s="1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5"/>
      <c r="B227" s="15"/>
      <c r="C227" s="15"/>
      <c r="D227" s="1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5"/>
      <c r="B228" s="15"/>
      <c r="C228" s="15"/>
      <c r="D228" s="1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5"/>
      <c r="B229" s="15"/>
      <c r="C229" s="15"/>
      <c r="D229" s="1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5"/>
      <c r="B230" s="15"/>
      <c r="C230" s="15"/>
      <c r="D230" s="1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5"/>
      <c r="B231" s="15"/>
      <c r="C231" s="15"/>
      <c r="D231" s="1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5"/>
      <c r="B232" s="15"/>
      <c r="C232" s="15"/>
      <c r="D232" s="1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5"/>
      <c r="B233" s="15"/>
      <c r="C233" s="15"/>
      <c r="D233" s="1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5"/>
      <c r="B234" s="15"/>
      <c r="C234" s="15"/>
      <c r="D234" s="1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5"/>
      <c r="B235" s="15"/>
      <c r="C235" s="15"/>
      <c r="D235" s="1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5"/>
      <c r="B236" s="15"/>
      <c r="C236" s="15"/>
      <c r="D236" s="1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5"/>
      <c r="B237" s="15"/>
      <c r="C237" s="15"/>
      <c r="D237" s="1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5"/>
      <c r="B238" s="15"/>
      <c r="C238" s="15"/>
      <c r="D238" s="1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5"/>
      <c r="B239" s="15"/>
      <c r="C239" s="15"/>
      <c r="D239" s="1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5"/>
      <c r="B240" s="15"/>
      <c r="C240" s="15"/>
      <c r="D240" s="1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5"/>
      <c r="B241" s="15"/>
      <c r="C241" s="15"/>
      <c r="D241" s="1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5"/>
      <c r="B242" s="15"/>
      <c r="C242" s="15"/>
      <c r="D242" s="1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5"/>
      <c r="B243" s="15"/>
      <c r="C243" s="15"/>
      <c r="D243" s="1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5"/>
      <c r="B244" s="15"/>
      <c r="C244" s="15"/>
      <c r="D244" s="1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5"/>
      <c r="B245" s="15"/>
      <c r="C245" s="15"/>
      <c r="D245" s="1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5"/>
      <c r="B246" s="15"/>
      <c r="C246" s="15"/>
      <c r="D246" s="1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5"/>
      <c r="B247" s="15"/>
      <c r="C247" s="15"/>
      <c r="D247" s="1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5"/>
      <c r="B248" s="15"/>
      <c r="C248" s="15"/>
      <c r="D248" s="1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5"/>
      <c r="B249" s="15"/>
      <c r="C249" s="15"/>
      <c r="D249" s="1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5"/>
      <c r="B250" s="15"/>
      <c r="C250" s="15"/>
      <c r="D250" s="1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5"/>
      <c r="B251" s="15"/>
      <c r="C251" s="15"/>
      <c r="D251" s="1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5"/>
      <c r="B252" s="15"/>
      <c r="C252" s="15"/>
      <c r="D252" s="1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5"/>
      <c r="B253" s="15"/>
      <c r="C253" s="15"/>
      <c r="D253" s="1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5"/>
      <c r="B254" s="15"/>
      <c r="C254" s="15"/>
      <c r="D254" s="1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5"/>
      <c r="B255" s="15"/>
      <c r="C255" s="15"/>
      <c r="D255" s="1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5"/>
      <c r="B256" s="15"/>
      <c r="C256" s="15"/>
      <c r="D256" s="1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5"/>
      <c r="B257" s="15"/>
      <c r="C257" s="15"/>
      <c r="D257" s="1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5"/>
      <c r="B258" s="15"/>
      <c r="C258" s="15"/>
      <c r="D258" s="1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5"/>
      <c r="B259" s="15"/>
      <c r="C259" s="15"/>
      <c r="D259" s="1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5"/>
      <c r="B260" s="15"/>
      <c r="C260" s="15"/>
      <c r="D260" s="1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5"/>
      <c r="B261" s="15"/>
      <c r="C261" s="15"/>
      <c r="D261" s="1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5"/>
      <c r="B262" s="15"/>
      <c r="C262" s="15"/>
      <c r="D262" s="1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5"/>
      <c r="B263" s="15"/>
      <c r="C263" s="15"/>
      <c r="D263" s="1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5"/>
      <c r="B264" s="15"/>
      <c r="C264" s="15"/>
      <c r="D264" s="1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5"/>
      <c r="B265" s="15"/>
      <c r="C265" s="15"/>
      <c r="D265" s="1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5"/>
      <c r="B266" s="15"/>
      <c r="C266" s="15"/>
      <c r="D266" s="1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5"/>
      <c r="B267" s="15"/>
      <c r="C267" s="15"/>
      <c r="D267" s="1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5"/>
      <c r="B268" s="15"/>
      <c r="C268" s="15"/>
      <c r="D268" s="1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5"/>
      <c r="B269" s="15"/>
      <c r="C269" s="15"/>
      <c r="D269" s="1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5"/>
      <c r="B270" s="15"/>
      <c r="C270" s="15"/>
      <c r="D270" s="1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5"/>
      <c r="B271" s="15"/>
      <c r="C271" s="15"/>
      <c r="D271" s="1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5"/>
      <c r="B272" s="15"/>
      <c r="C272" s="15"/>
      <c r="D272" s="1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5"/>
      <c r="B273" s="15"/>
      <c r="C273" s="15"/>
      <c r="D273" s="1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5"/>
      <c r="B274" s="15"/>
      <c r="C274" s="15"/>
      <c r="D274" s="1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5"/>
      <c r="B275" s="15"/>
      <c r="C275" s="15"/>
      <c r="D275" s="1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5"/>
      <c r="B276" s="15"/>
      <c r="C276" s="15"/>
      <c r="D276" s="1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5"/>
      <c r="B277" s="15"/>
      <c r="C277" s="15"/>
      <c r="D277" s="1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5"/>
      <c r="B278" s="15"/>
      <c r="C278" s="15"/>
      <c r="D278" s="1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5"/>
      <c r="B279" s="15"/>
      <c r="C279" s="15"/>
      <c r="D279" s="1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5"/>
      <c r="B280" s="15"/>
      <c r="C280" s="15"/>
      <c r="D280" s="1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5"/>
      <c r="B281" s="15"/>
      <c r="C281" s="15"/>
      <c r="D281" s="1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5"/>
      <c r="B282" s="15"/>
      <c r="C282" s="15"/>
      <c r="D282" s="1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5"/>
      <c r="B283" s="15"/>
      <c r="C283" s="15"/>
      <c r="D283" s="1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5"/>
      <c r="B284" s="15"/>
      <c r="C284" s="15"/>
      <c r="D284" s="1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5"/>
      <c r="B285" s="15"/>
      <c r="C285" s="15"/>
      <c r="D285" s="1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5"/>
      <c r="B286" s="15"/>
      <c r="C286" s="15"/>
      <c r="D286" s="1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5"/>
      <c r="B287" s="15"/>
      <c r="C287" s="15"/>
      <c r="D287" s="1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5"/>
      <c r="B288" s="15"/>
      <c r="C288" s="15"/>
      <c r="D288" s="1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5"/>
      <c r="B289" s="15"/>
      <c r="C289" s="15"/>
      <c r="D289" s="1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5"/>
      <c r="B290" s="15"/>
      <c r="C290" s="15"/>
      <c r="D290" s="1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5"/>
      <c r="B291" s="15"/>
      <c r="C291" s="15"/>
      <c r="D291" s="1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5"/>
      <c r="B292" s="15"/>
      <c r="C292" s="15"/>
      <c r="D292" s="1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5"/>
      <c r="B293" s="15"/>
      <c r="C293" s="15"/>
      <c r="D293" s="1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5"/>
      <c r="B294" s="15"/>
      <c r="C294" s="15"/>
      <c r="D294" s="1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5"/>
      <c r="B295" s="15"/>
      <c r="C295" s="15"/>
      <c r="D295" s="1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5"/>
      <c r="B296" s="15"/>
      <c r="C296" s="15"/>
      <c r="D296" s="1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5"/>
      <c r="B297" s="15"/>
      <c r="C297" s="15"/>
      <c r="D297" s="1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5"/>
      <c r="B298" s="15"/>
      <c r="C298" s="15"/>
      <c r="D298" s="1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5"/>
      <c r="B299" s="15"/>
      <c r="C299" s="15"/>
      <c r="D299" s="1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5"/>
      <c r="B300" s="15"/>
      <c r="C300" s="15"/>
      <c r="D300" s="1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5"/>
      <c r="B301" s="15"/>
      <c r="C301" s="15"/>
      <c r="D301" s="1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5"/>
      <c r="B302" s="15"/>
      <c r="C302" s="15"/>
      <c r="D302" s="1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5"/>
      <c r="B303" s="15"/>
      <c r="C303" s="15"/>
      <c r="D303" s="1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5"/>
      <c r="B304" s="15"/>
      <c r="C304" s="15"/>
      <c r="D304" s="1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5"/>
      <c r="B305" s="15"/>
      <c r="C305" s="15"/>
      <c r="D305" s="1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5"/>
      <c r="B306" s="15"/>
      <c r="C306" s="15"/>
      <c r="D306" s="1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5"/>
      <c r="B307" s="15"/>
      <c r="C307" s="15"/>
      <c r="D307" s="1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5"/>
      <c r="B308" s="15"/>
      <c r="C308" s="15"/>
      <c r="D308" s="1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5"/>
      <c r="B309" s="15"/>
      <c r="C309" s="15"/>
      <c r="D309" s="1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5"/>
      <c r="B310" s="15"/>
      <c r="C310" s="15"/>
      <c r="D310" s="1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5"/>
      <c r="B311" s="15"/>
      <c r="C311" s="15"/>
      <c r="D311" s="1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5"/>
      <c r="B312" s="15"/>
      <c r="C312" s="15"/>
      <c r="D312" s="1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5"/>
      <c r="B313" s="15"/>
      <c r="C313" s="15"/>
      <c r="D313" s="1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5"/>
      <c r="B314" s="15"/>
      <c r="C314" s="15"/>
      <c r="D314" s="1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5"/>
      <c r="B315" s="15"/>
      <c r="C315" s="15"/>
      <c r="D315" s="1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5"/>
      <c r="B316" s="15"/>
      <c r="C316" s="15"/>
      <c r="D316" s="1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5"/>
      <c r="B317" s="15"/>
      <c r="C317" s="15"/>
      <c r="D317" s="1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5"/>
      <c r="B318" s="15"/>
      <c r="C318" s="15"/>
      <c r="D318" s="1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5"/>
      <c r="B319" s="15"/>
      <c r="C319" s="15"/>
      <c r="D319" s="1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5"/>
      <c r="B320" s="15"/>
      <c r="C320" s="15"/>
      <c r="D320" s="1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5"/>
      <c r="B321" s="15"/>
      <c r="C321" s="15"/>
      <c r="D321" s="1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5"/>
      <c r="B322" s="15"/>
      <c r="C322" s="15"/>
      <c r="D322" s="1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5"/>
      <c r="B323" s="15"/>
      <c r="C323" s="15"/>
      <c r="D323" s="1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5"/>
      <c r="B324" s="15"/>
      <c r="C324" s="15"/>
      <c r="D324" s="1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5"/>
      <c r="B325" s="15"/>
      <c r="C325" s="15"/>
      <c r="D325" s="1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5"/>
      <c r="B326" s="15"/>
      <c r="C326" s="15"/>
      <c r="D326" s="1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5"/>
      <c r="B327" s="15"/>
      <c r="C327" s="15"/>
      <c r="D327" s="1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5"/>
      <c r="B328" s="15"/>
      <c r="C328" s="15"/>
      <c r="D328" s="1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5"/>
      <c r="B329" s="15"/>
      <c r="C329" s="15"/>
      <c r="D329" s="1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5"/>
      <c r="B330" s="15"/>
      <c r="C330" s="15"/>
      <c r="D330" s="1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5"/>
      <c r="B331" s="15"/>
      <c r="C331" s="15"/>
      <c r="D331" s="1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5"/>
      <c r="B332" s="15"/>
      <c r="C332" s="15"/>
      <c r="D332" s="1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5"/>
      <c r="B333" s="15"/>
      <c r="C333" s="15"/>
      <c r="D333" s="1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5"/>
      <c r="B334" s="15"/>
      <c r="C334" s="15"/>
      <c r="D334" s="1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5"/>
      <c r="B335" s="15"/>
      <c r="C335" s="15"/>
      <c r="D335" s="1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5"/>
      <c r="B336" s="15"/>
      <c r="C336" s="15"/>
      <c r="D336" s="1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5"/>
      <c r="B337" s="15"/>
      <c r="C337" s="15"/>
      <c r="D337" s="1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5"/>
      <c r="B338" s="15"/>
      <c r="C338" s="15"/>
      <c r="D338" s="1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5"/>
      <c r="B339" s="15"/>
      <c r="C339" s="15"/>
      <c r="D339" s="1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5"/>
      <c r="B340" s="15"/>
      <c r="C340" s="15"/>
      <c r="D340" s="1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5"/>
      <c r="B341" s="15"/>
      <c r="C341" s="15"/>
      <c r="D341" s="1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5"/>
      <c r="B342" s="15"/>
      <c r="C342" s="15"/>
      <c r="D342" s="1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5"/>
      <c r="B343" s="15"/>
      <c r="C343" s="15"/>
      <c r="D343" s="1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5"/>
      <c r="B344" s="15"/>
      <c r="C344" s="15"/>
      <c r="D344" s="1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5"/>
      <c r="B345" s="15"/>
      <c r="C345" s="15"/>
      <c r="D345" s="1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5"/>
      <c r="B346" s="15"/>
      <c r="C346" s="15"/>
      <c r="D346" s="1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5"/>
      <c r="B347" s="15"/>
      <c r="C347" s="15"/>
      <c r="D347" s="1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5"/>
      <c r="B348" s="15"/>
      <c r="C348" s="15"/>
      <c r="D348" s="1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5"/>
      <c r="B349" s="15"/>
      <c r="C349" s="15"/>
      <c r="D349" s="1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5"/>
      <c r="B350" s="15"/>
      <c r="C350" s="15"/>
      <c r="D350" s="1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5"/>
      <c r="B351" s="15"/>
      <c r="C351" s="15"/>
      <c r="D351" s="1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5"/>
      <c r="B352" s="15"/>
      <c r="C352" s="15"/>
      <c r="D352" s="1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5"/>
      <c r="B353" s="15"/>
      <c r="C353" s="15"/>
      <c r="D353" s="1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5"/>
      <c r="B354" s="15"/>
      <c r="C354" s="15"/>
      <c r="D354" s="1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5"/>
      <c r="B355" s="15"/>
      <c r="C355" s="15"/>
      <c r="D355" s="1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5"/>
      <c r="B356" s="15"/>
      <c r="C356" s="15"/>
      <c r="D356" s="1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5"/>
      <c r="B357" s="15"/>
      <c r="C357" s="15"/>
      <c r="D357" s="1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5"/>
      <c r="B358" s="15"/>
      <c r="C358" s="15"/>
      <c r="D358" s="1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5"/>
      <c r="B359" s="15"/>
      <c r="C359" s="15"/>
      <c r="D359" s="1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5"/>
      <c r="B360" s="15"/>
      <c r="C360" s="15"/>
      <c r="D360" s="1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5"/>
      <c r="B361" s="15"/>
      <c r="C361" s="15"/>
      <c r="D361" s="1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5"/>
      <c r="B362" s="15"/>
      <c r="C362" s="15"/>
      <c r="D362" s="1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5"/>
      <c r="B363" s="15"/>
      <c r="C363" s="15"/>
      <c r="D363" s="1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5"/>
      <c r="B364" s="15"/>
      <c r="C364" s="15"/>
      <c r="D364" s="1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5"/>
      <c r="B365" s="15"/>
      <c r="C365" s="15"/>
      <c r="D365" s="1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5"/>
      <c r="B366" s="15"/>
      <c r="C366" s="15"/>
      <c r="D366" s="1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5"/>
      <c r="B367" s="15"/>
      <c r="C367" s="15"/>
      <c r="D367" s="1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5"/>
      <c r="B368" s="15"/>
      <c r="C368" s="15"/>
      <c r="D368" s="1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5"/>
      <c r="B369" s="15"/>
      <c r="C369" s="15"/>
      <c r="D369" s="1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5"/>
      <c r="B370" s="15"/>
      <c r="C370" s="15"/>
      <c r="D370" s="1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5"/>
      <c r="B371" s="15"/>
      <c r="C371" s="15"/>
      <c r="D371" s="1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5"/>
      <c r="B372" s="15"/>
      <c r="C372" s="15"/>
      <c r="D372" s="1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5"/>
      <c r="B373" s="15"/>
      <c r="C373" s="15"/>
      <c r="D373" s="1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5"/>
      <c r="B374" s="15"/>
      <c r="C374" s="15"/>
      <c r="D374" s="1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5"/>
      <c r="B375" s="15"/>
      <c r="C375" s="15"/>
      <c r="D375" s="1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5"/>
      <c r="B376" s="15"/>
      <c r="C376" s="15"/>
      <c r="D376" s="1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5"/>
      <c r="B377" s="15"/>
      <c r="C377" s="15"/>
      <c r="D377" s="1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5"/>
      <c r="B378" s="15"/>
      <c r="C378" s="15"/>
      <c r="D378" s="1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5"/>
      <c r="B379" s="15"/>
      <c r="C379" s="15"/>
      <c r="D379" s="1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5"/>
      <c r="B380" s="15"/>
      <c r="C380" s="15"/>
      <c r="D380" s="1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5"/>
      <c r="B381" s="15"/>
      <c r="C381" s="15"/>
      <c r="D381" s="1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5"/>
      <c r="B382" s="15"/>
      <c r="C382" s="15"/>
      <c r="D382" s="1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5"/>
      <c r="B383" s="15"/>
      <c r="C383" s="15"/>
      <c r="D383" s="1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5"/>
      <c r="B384" s="15"/>
      <c r="C384" s="15"/>
      <c r="D384" s="1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5"/>
      <c r="B385" s="15"/>
      <c r="C385" s="15"/>
      <c r="D385" s="1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5"/>
      <c r="B386" s="15"/>
      <c r="C386" s="15"/>
      <c r="D386" s="1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5"/>
      <c r="B387" s="15"/>
      <c r="C387" s="15"/>
      <c r="D387" s="1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5"/>
      <c r="B388" s="15"/>
      <c r="C388" s="15"/>
      <c r="D388" s="1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5"/>
      <c r="B389" s="15"/>
      <c r="C389" s="15"/>
      <c r="D389" s="1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5"/>
      <c r="B390" s="15"/>
      <c r="C390" s="15"/>
      <c r="D390" s="1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5"/>
      <c r="B391" s="15"/>
      <c r="C391" s="15"/>
      <c r="D391" s="1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5"/>
      <c r="B392" s="15"/>
      <c r="C392" s="15"/>
      <c r="D392" s="1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5"/>
      <c r="B393" s="15"/>
      <c r="C393" s="15"/>
      <c r="D393" s="1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5"/>
      <c r="B394" s="15"/>
      <c r="C394" s="15"/>
      <c r="D394" s="1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5"/>
      <c r="B395" s="15"/>
      <c r="C395" s="15"/>
      <c r="D395" s="1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5"/>
      <c r="B396" s="15"/>
      <c r="C396" s="15"/>
      <c r="D396" s="1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5"/>
      <c r="B397" s="15"/>
      <c r="C397" s="15"/>
      <c r="D397" s="1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5"/>
      <c r="B398" s="15"/>
      <c r="C398" s="15"/>
      <c r="D398" s="1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5"/>
      <c r="B399" s="15"/>
      <c r="C399" s="15"/>
      <c r="D399" s="1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5"/>
      <c r="B400" s="15"/>
      <c r="C400" s="15"/>
      <c r="D400" s="1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5"/>
      <c r="B401" s="15"/>
      <c r="C401" s="15"/>
      <c r="D401" s="1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5"/>
      <c r="B402" s="15"/>
      <c r="C402" s="15"/>
      <c r="D402" s="1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5"/>
      <c r="B403" s="15"/>
      <c r="C403" s="15"/>
      <c r="D403" s="1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5"/>
      <c r="B404" s="15"/>
      <c r="C404" s="15"/>
      <c r="D404" s="1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5"/>
      <c r="B405" s="15"/>
      <c r="C405" s="15"/>
      <c r="D405" s="1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5"/>
      <c r="B406" s="15"/>
      <c r="C406" s="15"/>
      <c r="D406" s="1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5"/>
      <c r="B407" s="15"/>
      <c r="C407" s="15"/>
      <c r="D407" s="1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5"/>
      <c r="B408" s="15"/>
      <c r="C408" s="15"/>
      <c r="D408" s="1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5"/>
      <c r="B409" s="15"/>
      <c r="C409" s="15"/>
      <c r="D409" s="1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5"/>
      <c r="B410" s="15"/>
      <c r="C410" s="15"/>
      <c r="D410" s="1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5"/>
      <c r="B411" s="15"/>
      <c r="C411" s="15"/>
      <c r="D411" s="1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5"/>
      <c r="B412" s="15"/>
      <c r="C412" s="15"/>
      <c r="D412" s="1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5"/>
      <c r="B413" s="15"/>
      <c r="C413" s="15"/>
      <c r="D413" s="1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5"/>
      <c r="B414" s="15"/>
      <c r="C414" s="15"/>
      <c r="D414" s="1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5"/>
      <c r="B415" s="15"/>
      <c r="C415" s="15"/>
      <c r="D415" s="1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5"/>
      <c r="B416" s="15"/>
      <c r="C416" s="15"/>
      <c r="D416" s="1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5"/>
      <c r="B417" s="15"/>
      <c r="C417" s="15"/>
      <c r="D417" s="1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5"/>
      <c r="B418" s="15"/>
      <c r="C418" s="15"/>
      <c r="D418" s="1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5"/>
      <c r="B419" s="15"/>
      <c r="C419" s="15"/>
      <c r="D419" s="1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5"/>
      <c r="B420" s="15"/>
      <c r="C420" s="15"/>
      <c r="D420" s="1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5"/>
      <c r="B421" s="15"/>
      <c r="C421" s="15"/>
      <c r="D421" s="1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5"/>
      <c r="B422" s="15"/>
      <c r="C422" s="15"/>
      <c r="D422" s="1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5"/>
      <c r="B423" s="15"/>
      <c r="C423" s="15"/>
      <c r="D423" s="1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5"/>
      <c r="B424" s="15"/>
      <c r="C424" s="15"/>
      <c r="D424" s="1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5"/>
      <c r="B425" s="15"/>
      <c r="C425" s="15"/>
      <c r="D425" s="1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5"/>
      <c r="B426" s="15"/>
      <c r="C426" s="15"/>
      <c r="D426" s="1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5"/>
      <c r="B427" s="15"/>
      <c r="C427" s="15"/>
      <c r="D427" s="1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5"/>
      <c r="B428" s="15"/>
      <c r="C428" s="15"/>
      <c r="D428" s="1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5"/>
      <c r="B429" s="15"/>
      <c r="C429" s="15"/>
      <c r="D429" s="1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5"/>
      <c r="B430" s="15"/>
      <c r="C430" s="15"/>
      <c r="D430" s="1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5"/>
      <c r="B431" s="15"/>
      <c r="C431" s="15"/>
      <c r="D431" s="1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5"/>
      <c r="B432" s="15"/>
      <c r="C432" s="15"/>
      <c r="D432" s="1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5"/>
      <c r="B433" s="15"/>
      <c r="C433" s="15"/>
      <c r="D433" s="1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5"/>
      <c r="B434" s="15"/>
      <c r="C434" s="15"/>
      <c r="D434" s="1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5"/>
      <c r="B435" s="15"/>
      <c r="C435" s="15"/>
      <c r="D435" s="1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5"/>
      <c r="B436" s="15"/>
      <c r="C436" s="15"/>
      <c r="D436" s="1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5"/>
      <c r="B437" s="15"/>
      <c r="C437" s="15"/>
      <c r="D437" s="1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5"/>
      <c r="B438" s="15"/>
      <c r="C438" s="15"/>
      <c r="D438" s="1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5"/>
      <c r="B439" s="15"/>
      <c r="C439" s="15"/>
      <c r="D439" s="1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5"/>
      <c r="B440" s="15"/>
      <c r="C440" s="15"/>
      <c r="D440" s="1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5"/>
      <c r="B441" s="15"/>
      <c r="C441" s="15"/>
      <c r="D441" s="1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5"/>
      <c r="B442" s="15"/>
      <c r="C442" s="15"/>
      <c r="D442" s="1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5"/>
      <c r="B443" s="15"/>
      <c r="C443" s="15"/>
      <c r="D443" s="1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5"/>
      <c r="B444" s="15"/>
      <c r="C444" s="15"/>
      <c r="D444" s="1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5"/>
      <c r="B445" s="15"/>
      <c r="C445" s="15"/>
      <c r="D445" s="1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5"/>
      <c r="B446" s="15"/>
      <c r="C446" s="15"/>
      <c r="D446" s="1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5"/>
      <c r="B447" s="15"/>
      <c r="C447" s="15"/>
      <c r="D447" s="1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5"/>
      <c r="B448" s="15"/>
      <c r="C448" s="15"/>
      <c r="D448" s="1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5"/>
      <c r="B449" s="15"/>
      <c r="C449" s="15"/>
      <c r="D449" s="1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5"/>
      <c r="B450" s="15"/>
      <c r="C450" s="15"/>
      <c r="D450" s="1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5"/>
      <c r="B451" s="15"/>
      <c r="C451" s="15"/>
      <c r="D451" s="1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5"/>
      <c r="B452" s="15"/>
      <c r="C452" s="15"/>
      <c r="D452" s="1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5"/>
      <c r="B453" s="15"/>
      <c r="C453" s="15"/>
      <c r="D453" s="1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5"/>
      <c r="B454" s="15"/>
      <c r="C454" s="15"/>
      <c r="D454" s="1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5"/>
      <c r="B455" s="15"/>
      <c r="C455" s="15"/>
      <c r="D455" s="1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5"/>
      <c r="B456" s="15"/>
      <c r="C456" s="15"/>
      <c r="D456" s="1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5"/>
      <c r="B457" s="15"/>
      <c r="C457" s="15"/>
      <c r="D457" s="1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5"/>
      <c r="B458" s="15"/>
      <c r="C458" s="15"/>
      <c r="D458" s="1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5"/>
      <c r="B459" s="15"/>
      <c r="C459" s="15"/>
      <c r="D459" s="1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5"/>
      <c r="B460" s="15"/>
      <c r="C460" s="15"/>
      <c r="D460" s="1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5"/>
      <c r="B461" s="15"/>
      <c r="C461" s="15"/>
      <c r="D461" s="1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5"/>
      <c r="B462" s="15"/>
      <c r="C462" s="15"/>
      <c r="D462" s="1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5"/>
      <c r="B463" s="15"/>
      <c r="C463" s="15"/>
      <c r="D463" s="1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5"/>
      <c r="B464" s="15"/>
      <c r="C464" s="15"/>
      <c r="D464" s="1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5"/>
      <c r="B465" s="15"/>
      <c r="C465" s="15"/>
      <c r="D465" s="1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5"/>
      <c r="B466" s="15"/>
      <c r="C466" s="15"/>
      <c r="D466" s="1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5"/>
      <c r="B467" s="15"/>
      <c r="C467" s="15"/>
      <c r="D467" s="1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5"/>
      <c r="B468" s="15"/>
      <c r="C468" s="15"/>
      <c r="D468" s="1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5"/>
      <c r="B469" s="15"/>
      <c r="C469" s="15"/>
      <c r="D469" s="1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5"/>
      <c r="B470" s="15"/>
      <c r="C470" s="15"/>
      <c r="D470" s="1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5"/>
      <c r="B471" s="15"/>
      <c r="C471" s="15"/>
      <c r="D471" s="1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5"/>
      <c r="B472" s="15"/>
      <c r="C472" s="15"/>
      <c r="D472" s="1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5"/>
      <c r="B473" s="15"/>
      <c r="C473" s="15"/>
      <c r="D473" s="1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5"/>
      <c r="B474" s="15"/>
      <c r="C474" s="15"/>
      <c r="D474" s="1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5"/>
      <c r="B475" s="15"/>
      <c r="C475" s="15"/>
      <c r="D475" s="1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5"/>
      <c r="B476" s="15"/>
      <c r="C476" s="15"/>
      <c r="D476" s="1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5"/>
      <c r="B477" s="15"/>
      <c r="C477" s="15"/>
      <c r="D477" s="1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5"/>
      <c r="B478" s="15"/>
      <c r="C478" s="15"/>
      <c r="D478" s="1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5"/>
      <c r="B479" s="15"/>
      <c r="C479" s="15"/>
      <c r="D479" s="1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5"/>
      <c r="B480" s="15"/>
      <c r="C480" s="15"/>
      <c r="D480" s="1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5"/>
      <c r="B481" s="15"/>
      <c r="C481" s="15"/>
      <c r="D481" s="1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5"/>
      <c r="B482" s="15"/>
      <c r="C482" s="15"/>
      <c r="D482" s="1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5"/>
      <c r="B483" s="15"/>
      <c r="C483" s="15"/>
      <c r="D483" s="1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5"/>
      <c r="B484" s="15"/>
      <c r="C484" s="15"/>
      <c r="D484" s="1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5"/>
      <c r="B485" s="15"/>
      <c r="C485" s="15"/>
      <c r="D485" s="1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5"/>
      <c r="B486" s="15"/>
      <c r="C486" s="15"/>
      <c r="D486" s="1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5"/>
      <c r="B487" s="15"/>
      <c r="C487" s="15"/>
      <c r="D487" s="1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5"/>
      <c r="B488" s="15"/>
      <c r="C488" s="15"/>
      <c r="D488" s="1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5"/>
      <c r="B489" s="15"/>
      <c r="C489" s="15"/>
      <c r="D489" s="1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5"/>
      <c r="B490" s="15"/>
      <c r="C490" s="15"/>
      <c r="D490" s="1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5"/>
      <c r="B491" s="15"/>
      <c r="C491" s="15"/>
      <c r="D491" s="1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5"/>
      <c r="B492" s="15"/>
      <c r="C492" s="15"/>
      <c r="D492" s="1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5"/>
      <c r="B493" s="15"/>
      <c r="C493" s="15"/>
      <c r="D493" s="1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5"/>
      <c r="B494" s="15"/>
      <c r="C494" s="15"/>
      <c r="D494" s="1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5"/>
      <c r="B495" s="15"/>
      <c r="C495" s="15"/>
      <c r="D495" s="1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5"/>
      <c r="B496" s="15"/>
      <c r="C496" s="15"/>
      <c r="D496" s="1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5"/>
      <c r="B497" s="15"/>
      <c r="C497" s="15"/>
      <c r="D497" s="1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5"/>
      <c r="B498" s="15"/>
      <c r="C498" s="15"/>
      <c r="D498" s="1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5"/>
      <c r="B499" s="15"/>
      <c r="C499" s="15"/>
      <c r="D499" s="1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5"/>
      <c r="B500" s="15"/>
      <c r="C500" s="15"/>
      <c r="D500" s="1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5"/>
      <c r="B501" s="15"/>
      <c r="C501" s="15"/>
      <c r="D501" s="1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5"/>
      <c r="B502" s="15"/>
      <c r="C502" s="15"/>
      <c r="D502" s="1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5"/>
      <c r="B503" s="15"/>
      <c r="C503" s="15"/>
      <c r="D503" s="1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5"/>
      <c r="B504" s="15"/>
      <c r="C504" s="15"/>
      <c r="D504" s="1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5"/>
      <c r="B505" s="15"/>
      <c r="C505" s="15"/>
      <c r="D505" s="1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5"/>
      <c r="B506" s="15"/>
      <c r="C506" s="15"/>
      <c r="D506" s="1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5"/>
      <c r="B507" s="15"/>
      <c r="C507" s="15"/>
      <c r="D507" s="1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5"/>
      <c r="B508" s="15"/>
      <c r="C508" s="15"/>
      <c r="D508" s="1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5"/>
      <c r="B509" s="15"/>
      <c r="C509" s="15"/>
      <c r="D509" s="1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5"/>
      <c r="B510" s="15"/>
      <c r="C510" s="15"/>
      <c r="D510" s="1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5"/>
      <c r="B511" s="15"/>
      <c r="C511" s="15"/>
      <c r="D511" s="1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5"/>
      <c r="B512" s="15"/>
      <c r="C512" s="15"/>
      <c r="D512" s="1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5"/>
      <c r="B513" s="15"/>
      <c r="C513" s="15"/>
      <c r="D513" s="1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5"/>
      <c r="B514" s="15"/>
      <c r="C514" s="15"/>
      <c r="D514" s="1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5"/>
      <c r="B515" s="15"/>
      <c r="C515" s="15"/>
      <c r="D515" s="1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5"/>
      <c r="B516" s="15"/>
      <c r="C516" s="15"/>
      <c r="D516" s="1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5"/>
      <c r="B517" s="15"/>
      <c r="C517" s="15"/>
      <c r="D517" s="1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5"/>
      <c r="B518" s="15"/>
      <c r="C518" s="15"/>
      <c r="D518" s="1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5"/>
      <c r="B519" s="15"/>
      <c r="C519" s="15"/>
      <c r="D519" s="1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5"/>
      <c r="B520" s="15"/>
      <c r="C520" s="15"/>
      <c r="D520" s="1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5"/>
      <c r="B521" s="15"/>
      <c r="C521" s="15"/>
      <c r="D521" s="1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5"/>
      <c r="B522" s="15"/>
      <c r="C522" s="15"/>
      <c r="D522" s="1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5"/>
      <c r="B523" s="15"/>
      <c r="C523" s="15"/>
      <c r="D523" s="1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5"/>
      <c r="B524" s="15"/>
      <c r="C524" s="15"/>
      <c r="D524" s="1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5"/>
      <c r="B525" s="15"/>
      <c r="C525" s="15"/>
      <c r="D525" s="1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5"/>
      <c r="B526" s="15"/>
      <c r="C526" s="15"/>
      <c r="D526" s="1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5"/>
      <c r="B527" s="15"/>
      <c r="C527" s="15"/>
      <c r="D527" s="1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5"/>
      <c r="B528" s="15"/>
      <c r="C528" s="15"/>
      <c r="D528" s="1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5"/>
      <c r="B529" s="15"/>
      <c r="C529" s="15"/>
      <c r="D529" s="1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5"/>
      <c r="B530" s="15"/>
      <c r="C530" s="15"/>
      <c r="D530" s="1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5"/>
      <c r="B531" s="15"/>
      <c r="C531" s="15"/>
      <c r="D531" s="1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5"/>
      <c r="B532" s="15"/>
      <c r="C532" s="15"/>
      <c r="D532" s="1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5"/>
      <c r="B533" s="15"/>
      <c r="C533" s="15"/>
      <c r="D533" s="1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5"/>
      <c r="B534" s="15"/>
      <c r="C534" s="15"/>
      <c r="D534" s="1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5"/>
      <c r="B535" s="15"/>
      <c r="C535" s="15"/>
      <c r="D535" s="1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5"/>
      <c r="B536" s="15"/>
      <c r="C536" s="15"/>
      <c r="D536" s="1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5"/>
      <c r="B537" s="15"/>
      <c r="C537" s="15"/>
      <c r="D537" s="1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5"/>
      <c r="B538" s="15"/>
      <c r="C538" s="15"/>
      <c r="D538" s="1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5"/>
      <c r="B539" s="15"/>
      <c r="C539" s="15"/>
      <c r="D539" s="1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5"/>
      <c r="B540" s="15"/>
      <c r="C540" s="15"/>
      <c r="D540" s="1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5"/>
      <c r="B541" s="15"/>
      <c r="C541" s="15"/>
      <c r="D541" s="1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5"/>
      <c r="B542" s="15"/>
      <c r="C542" s="15"/>
      <c r="D542" s="1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5"/>
      <c r="B543" s="15"/>
      <c r="C543" s="15"/>
      <c r="D543" s="1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5"/>
      <c r="B544" s="15"/>
      <c r="C544" s="15"/>
      <c r="D544" s="1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5"/>
      <c r="B545" s="15"/>
      <c r="C545" s="15"/>
      <c r="D545" s="1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5"/>
      <c r="B546" s="15"/>
      <c r="C546" s="15"/>
      <c r="D546" s="1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5"/>
      <c r="B547" s="15"/>
      <c r="C547" s="15"/>
      <c r="D547" s="1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5"/>
      <c r="B548" s="15"/>
      <c r="C548" s="15"/>
      <c r="D548" s="1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5"/>
      <c r="B549" s="15"/>
      <c r="C549" s="15"/>
      <c r="D549" s="1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5"/>
      <c r="B550" s="15"/>
      <c r="C550" s="15"/>
      <c r="D550" s="1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5"/>
      <c r="B551" s="15"/>
      <c r="C551" s="15"/>
      <c r="D551" s="1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5"/>
      <c r="B552" s="15"/>
      <c r="C552" s="15"/>
      <c r="D552" s="1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5"/>
      <c r="B553" s="15"/>
      <c r="C553" s="15"/>
      <c r="D553" s="1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5"/>
      <c r="B554" s="15"/>
      <c r="C554" s="15"/>
      <c r="D554" s="1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5"/>
      <c r="B555" s="15"/>
      <c r="C555" s="15"/>
      <c r="D555" s="1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5"/>
      <c r="B556" s="15"/>
      <c r="C556" s="15"/>
      <c r="D556" s="1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5"/>
      <c r="B557" s="15"/>
      <c r="C557" s="15"/>
      <c r="D557" s="1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5"/>
      <c r="B558" s="15"/>
      <c r="C558" s="15"/>
      <c r="D558" s="1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5"/>
      <c r="B559" s="15"/>
      <c r="C559" s="15"/>
      <c r="D559" s="1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5"/>
      <c r="B560" s="15"/>
      <c r="C560" s="15"/>
      <c r="D560" s="1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5"/>
      <c r="B561" s="15"/>
      <c r="C561" s="15"/>
      <c r="D561" s="1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5"/>
      <c r="B562" s="15"/>
      <c r="C562" s="15"/>
      <c r="D562" s="1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5"/>
      <c r="B563" s="15"/>
      <c r="C563" s="15"/>
      <c r="D563" s="1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5"/>
      <c r="B564" s="15"/>
      <c r="C564" s="15"/>
      <c r="D564" s="1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5"/>
      <c r="B565" s="15"/>
      <c r="C565" s="15"/>
      <c r="D565" s="1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5"/>
      <c r="B566" s="15"/>
      <c r="C566" s="15"/>
      <c r="D566" s="1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5"/>
      <c r="B567" s="15"/>
      <c r="C567" s="15"/>
      <c r="D567" s="1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5"/>
      <c r="B568" s="15"/>
      <c r="C568" s="15"/>
      <c r="D568" s="1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5"/>
      <c r="B569" s="15"/>
      <c r="C569" s="15"/>
      <c r="D569" s="1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5"/>
      <c r="B570" s="15"/>
      <c r="C570" s="15"/>
      <c r="D570" s="1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5"/>
      <c r="B571" s="15"/>
      <c r="C571" s="15"/>
      <c r="D571" s="1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5"/>
      <c r="B572" s="15"/>
      <c r="C572" s="15"/>
      <c r="D572" s="1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5"/>
      <c r="B573" s="15"/>
      <c r="C573" s="15"/>
      <c r="D573" s="1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5"/>
      <c r="B574" s="15"/>
      <c r="C574" s="15"/>
      <c r="D574" s="1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5"/>
      <c r="B575" s="15"/>
      <c r="C575" s="15"/>
      <c r="D575" s="1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5"/>
      <c r="B576" s="15"/>
      <c r="C576" s="15"/>
      <c r="D576" s="1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5"/>
      <c r="B577" s="15"/>
      <c r="C577" s="15"/>
      <c r="D577" s="1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5"/>
      <c r="B578" s="15"/>
      <c r="C578" s="15"/>
      <c r="D578" s="1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5"/>
      <c r="B579" s="15"/>
      <c r="C579" s="15"/>
      <c r="D579" s="1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5"/>
      <c r="B580" s="15"/>
      <c r="C580" s="15"/>
      <c r="D580" s="1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5"/>
      <c r="B581" s="15"/>
      <c r="C581" s="15"/>
      <c r="D581" s="1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5"/>
      <c r="B582" s="15"/>
      <c r="C582" s="15"/>
      <c r="D582" s="1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5"/>
      <c r="B583" s="15"/>
      <c r="C583" s="15"/>
      <c r="D583" s="1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5"/>
      <c r="B584" s="15"/>
      <c r="C584" s="15"/>
      <c r="D584" s="1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5"/>
      <c r="B585" s="15"/>
      <c r="C585" s="15"/>
      <c r="D585" s="1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5"/>
      <c r="B586" s="15"/>
      <c r="C586" s="15"/>
      <c r="D586" s="1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5"/>
      <c r="B587" s="15"/>
      <c r="C587" s="15"/>
      <c r="D587" s="1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5"/>
      <c r="B588" s="15"/>
      <c r="C588" s="15"/>
      <c r="D588" s="1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5"/>
      <c r="B589" s="15"/>
      <c r="C589" s="15"/>
      <c r="D589" s="1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5"/>
      <c r="B590" s="15"/>
      <c r="C590" s="15"/>
      <c r="D590" s="1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5"/>
      <c r="B591" s="15"/>
      <c r="C591" s="15"/>
      <c r="D591" s="1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5"/>
      <c r="B592" s="15"/>
      <c r="C592" s="15"/>
      <c r="D592" s="1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5"/>
      <c r="B593" s="15"/>
      <c r="C593" s="15"/>
      <c r="D593" s="1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5"/>
      <c r="B594" s="15"/>
      <c r="C594" s="15"/>
      <c r="D594" s="1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5"/>
      <c r="B595" s="15"/>
      <c r="C595" s="15"/>
      <c r="D595" s="1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5"/>
      <c r="B596" s="15"/>
      <c r="C596" s="15"/>
      <c r="D596" s="1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5"/>
      <c r="B597" s="15"/>
      <c r="C597" s="15"/>
      <c r="D597" s="1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5"/>
      <c r="B598" s="15"/>
      <c r="C598" s="15"/>
      <c r="D598" s="1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5"/>
      <c r="B599" s="15"/>
      <c r="C599" s="15"/>
      <c r="D599" s="1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5"/>
      <c r="B600" s="15"/>
      <c r="C600" s="15"/>
      <c r="D600" s="1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5"/>
      <c r="B601" s="15"/>
      <c r="C601" s="15"/>
      <c r="D601" s="1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5"/>
      <c r="B602" s="15"/>
      <c r="C602" s="15"/>
      <c r="D602" s="1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5"/>
      <c r="B603" s="15"/>
      <c r="C603" s="15"/>
      <c r="D603" s="1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5"/>
      <c r="B604" s="15"/>
      <c r="C604" s="15"/>
      <c r="D604" s="1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5"/>
      <c r="B605" s="15"/>
      <c r="C605" s="15"/>
      <c r="D605" s="1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5"/>
      <c r="B606" s="15"/>
      <c r="C606" s="15"/>
      <c r="D606" s="1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5"/>
      <c r="B607" s="15"/>
      <c r="C607" s="15"/>
      <c r="D607" s="1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5"/>
      <c r="B608" s="15"/>
      <c r="C608" s="15"/>
      <c r="D608" s="1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5"/>
      <c r="B609" s="15"/>
      <c r="C609" s="15"/>
      <c r="D609" s="1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5"/>
      <c r="B610" s="15"/>
      <c r="C610" s="15"/>
      <c r="D610" s="1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5"/>
      <c r="B611" s="15"/>
      <c r="C611" s="15"/>
      <c r="D611" s="1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5"/>
      <c r="B612" s="15"/>
      <c r="C612" s="15"/>
      <c r="D612" s="1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5"/>
      <c r="B613" s="15"/>
      <c r="C613" s="15"/>
      <c r="D613" s="1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5"/>
      <c r="B614" s="15"/>
      <c r="C614" s="15"/>
      <c r="D614" s="1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5"/>
      <c r="B615" s="15"/>
      <c r="C615" s="15"/>
      <c r="D615" s="1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5"/>
      <c r="B616" s="15"/>
      <c r="C616" s="15"/>
      <c r="D616" s="1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5"/>
      <c r="B617" s="15"/>
      <c r="C617" s="15"/>
      <c r="D617" s="1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5"/>
      <c r="B618" s="15"/>
      <c r="C618" s="15"/>
      <c r="D618" s="1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5"/>
      <c r="B619" s="15"/>
      <c r="C619" s="15"/>
      <c r="D619" s="1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5"/>
      <c r="B620" s="15"/>
      <c r="C620" s="15"/>
      <c r="D620" s="1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5"/>
      <c r="B621" s="15"/>
      <c r="C621" s="15"/>
      <c r="D621" s="1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5"/>
      <c r="B622" s="15"/>
      <c r="C622" s="15"/>
      <c r="D622" s="1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5"/>
      <c r="B623" s="15"/>
      <c r="C623" s="15"/>
      <c r="D623" s="1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5"/>
      <c r="B624" s="15"/>
      <c r="C624" s="15"/>
      <c r="D624" s="1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5"/>
      <c r="B625" s="15"/>
      <c r="C625" s="15"/>
      <c r="D625" s="1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5"/>
      <c r="B626" s="15"/>
      <c r="C626" s="15"/>
      <c r="D626" s="1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5"/>
      <c r="B627" s="15"/>
      <c r="C627" s="15"/>
      <c r="D627" s="1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5"/>
      <c r="B628" s="15"/>
      <c r="C628" s="15"/>
      <c r="D628" s="1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5"/>
      <c r="B629" s="15"/>
      <c r="C629" s="15"/>
      <c r="D629" s="1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5"/>
      <c r="B630" s="15"/>
      <c r="C630" s="15"/>
      <c r="D630" s="1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5"/>
      <c r="B631" s="15"/>
      <c r="C631" s="15"/>
      <c r="D631" s="1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5"/>
      <c r="B632" s="15"/>
      <c r="C632" s="15"/>
      <c r="D632" s="1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5"/>
      <c r="B633" s="15"/>
      <c r="C633" s="15"/>
      <c r="D633" s="1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5"/>
      <c r="B634" s="15"/>
      <c r="C634" s="15"/>
      <c r="D634" s="1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5"/>
      <c r="B635" s="15"/>
      <c r="C635" s="15"/>
      <c r="D635" s="1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5"/>
      <c r="B636" s="15"/>
      <c r="C636" s="15"/>
      <c r="D636" s="1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5"/>
      <c r="B637" s="15"/>
      <c r="C637" s="15"/>
      <c r="D637" s="1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5"/>
      <c r="B638" s="15"/>
      <c r="C638" s="15"/>
      <c r="D638" s="1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5"/>
      <c r="B639" s="15"/>
      <c r="C639" s="15"/>
      <c r="D639" s="1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5"/>
      <c r="B640" s="15"/>
      <c r="C640" s="15"/>
      <c r="D640" s="1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5"/>
      <c r="B641" s="15"/>
      <c r="C641" s="15"/>
      <c r="D641" s="1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5"/>
      <c r="B642" s="15"/>
      <c r="C642" s="15"/>
      <c r="D642" s="1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5"/>
      <c r="B643" s="15"/>
      <c r="C643" s="15"/>
      <c r="D643" s="1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5"/>
      <c r="B644" s="15"/>
      <c r="C644" s="15"/>
      <c r="D644" s="1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5"/>
      <c r="B645" s="15"/>
      <c r="C645" s="15"/>
      <c r="D645" s="1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5"/>
      <c r="B646" s="15"/>
      <c r="C646" s="15"/>
      <c r="D646" s="1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5"/>
      <c r="B647" s="15"/>
      <c r="C647" s="15"/>
      <c r="D647" s="1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5"/>
      <c r="B648" s="15"/>
      <c r="C648" s="15"/>
      <c r="D648" s="1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5"/>
      <c r="B649" s="15"/>
      <c r="C649" s="15"/>
      <c r="D649" s="1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5"/>
      <c r="B650" s="15"/>
      <c r="C650" s="15"/>
      <c r="D650" s="1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5"/>
      <c r="B651" s="15"/>
      <c r="C651" s="15"/>
      <c r="D651" s="1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5"/>
      <c r="B652" s="15"/>
      <c r="C652" s="15"/>
      <c r="D652" s="1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5"/>
      <c r="B653" s="15"/>
      <c r="C653" s="15"/>
      <c r="D653" s="1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5"/>
      <c r="B654" s="15"/>
      <c r="C654" s="15"/>
      <c r="D654" s="1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5"/>
      <c r="B655" s="15"/>
      <c r="C655" s="15"/>
      <c r="D655" s="1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5"/>
      <c r="B656" s="15"/>
      <c r="C656" s="15"/>
      <c r="D656" s="1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5"/>
      <c r="B657" s="15"/>
      <c r="C657" s="15"/>
      <c r="D657" s="1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5"/>
      <c r="B658" s="15"/>
      <c r="C658" s="15"/>
      <c r="D658" s="1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5"/>
      <c r="B659" s="15"/>
      <c r="C659" s="15"/>
      <c r="D659" s="1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5"/>
      <c r="B660" s="15"/>
      <c r="C660" s="15"/>
      <c r="D660" s="1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5"/>
      <c r="B661" s="15"/>
      <c r="C661" s="15"/>
      <c r="D661" s="1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5"/>
      <c r="B662" s="15"/>
      <c r="C662" s="15"/>
      <c r="D662" s="1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5"/>
      <c r="B663" s="15"/>
      <c r="C663" s="15"/>
      <c r="D663" s="1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5"/>
      <c r="B664" s="15"/>
      <c r="C664" s="15"/>
      <c r="D664" s="1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5"/>
      <c r="B665" s="15"/>
      <c r="C665" s="15"/>
      <c r="D665" s="1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5"/>
      <c r="B666" s="15"/>
      <c r="C666" s="15"/>
      <c r="D666" s="1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5"/>
      <c r="B667" s="15"/>
      <c r="C667" s="15"/>
      <c r="D667" s="1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5"/>
      <c r="B668" s="15"/>
      <c r="C668" s="15"/>
      <c r="D668" s="1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5"/>
      <c r="B669" s="15"/>
      <c r="C669" s="15"/>
      <c r="D669" s="1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5"/>
      <c r="B670" s="15"/>
      <c r="C670" s="15"/>
      <c r="D670" s="1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5"/>
      <c r="B671" s="15"/>
      <c r="C671" s="15"/>
      <c r="D671" s="1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5"/>
      <c r="B672" s="15"/>
      <c r="C672" s="15"/>
      <c r="D672" s="1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5"/>
      <c r="B673" s="15"/>
      <c r="C673" s="15"/>
      <c r="D673" s="1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5"/>
      <c r="B674" s="15"/>
      <c r="C674" s="15"/>
      <c r="D674" s="1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5"/>
      <c r="B675" s="15"/>
      <c r="C675" s="15"/>
      <c r="D675" s="1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5"/>
      <c r="B676" s="15"/>
      <c r="C676" s="15"/>
      <c r="D676" s="1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5"/>
      <c r="B677" s="15"/>
      <c r="C677" s="15"/>
      <c r="D677" s="1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5"/>
      <c r="B678" s="15"/>
      <c r="C678" s="15"/>
      <c r="D678" s="1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5"/>
      <c r="B679" s="15"/>
      <c r="C679" s="15"/>
      <c r="D679" s="1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5"/>
      <c r="B680" s="15"/>
      <c r="C680" s="15"/>
      <c r="D680" s="1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5"/>
      <c r="B681" s="15"/>
      <c r="C681" s="15"/>
      <c r="D681" s="1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5"/>
      <c r="B682" s="15"/>
      <c r="C682" s="15"/>
      <c r="D682" s="1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5"/>
      <c r="B683" s="15"/>
      <c r="C683" s="15"/>
      <c r="D683" s="1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5"/>
      <c r="B684" s="15"/>
      <c r="C684" s="15"/>
      <c r="D684" s="1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5"/>
      <c r="B685" s="15"/>
      <c r="C685" s="15"/>
      <c r="D685" s="1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5"/>
      <c r="B686" s="15"/>
      <c r="C686" s="15"/>
      <c r="D686" s="1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5"/>
      <c r="B687" s="15"/>
      <c r="C687" s="15"/>
      <c r="D687" s="1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5"/>
      <c r="B688" s="15"/>
      <c r="C688" s="15"/>
      <c r="D688" s="1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5"/>
      <c r="B689" s="15"/>
      <c r="C689" s="15"/>
      <c r="D689" s="1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5"/>
      <c r="B690" s="15"/>
      <c r="C690" s="15"/>
      <c r="D690" s="1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5"/>
      <c r="B691" s="15"/>
      <c r="C691" s="15"/>
      <c r="D691" s="1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5"/>
      <c r="B692" s="15"/>
      <c r="C692" s="15"/>
      <c r="D692" s="1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5"/>
      <c r="B693" s="15"/>
      <c r="C693" s="15"/>
      <c r="D693" s="1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5"/>
      <c r="B694" s="15"/>
      <c r="C694" s="15"/>
      <c r="D694" s="1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5"/>
      <c r="B695" s="15"/>
      <c r="C695" s="15"/>
      <c r="D695" s="1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5"/>
      <c r="B696" s="15"/>
      <c r="C696" s="15"/>
      <c r="D696" s="1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5"/>
      <c r="B697" s="15"/>
      <c r="C697" s="15"/>
      <c r="D697" s="1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5"/>
      <c r="B698" s="15"/>
      <c r="C698" s="15"/>
      <c r="D698" s="1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5"/>
      <c r="B699" s="15"/>
      <c r="C699" s="15"/>
      <c r="D699" s="1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5"/>
      <c r="B700" s="15"/>
      <c r="C700" s="15"/>
      <c r="D700" s="1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5"/>
      <c r="B701" s="15"/>
      <c r="C701" s="15"/>
      <c r="D701" s="1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5"/>
      <c r="B702" s="15"/>
      <c r="C702" s="15"/>
      <c r="D702" s="1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5"/>
      <c r="B703" s="15"/>
      <c r="C703" s="15"/>
      <c r="D703" s="1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5"/>
      <c r="B704" s="15"/>
      <c r="C704" s="15"/>
      <c r="D704" s="1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5"/>
      <c r="B705" s="15"/>
      <c r="C705" s="15"/>
      <c r="D705" s="1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5"/>
      <c r="B706" s="15"/>
      <c r="C706" s="15"/>
      <c r="D706" s="1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5"/>
      <c r="B707" s="15"/>
      <c r="C707" s="15"/>
      <c r="D707" s="1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5"/>
      <c r="B708" s="15"/>
      <c r="C708" s="15"/>
      <c r="D708" s="1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5"/>
      <c r="B709" s="15"/>
      <c r="C709" s="15"/>
      <c r="D709" s="1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5"/>
      <c r="B710" s="15"/>
      <c r="C710" s="15"/>
      <c r="D710" s="1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5"/>
      <c r="B711" s="15"/>
      <c r="C711" s="15"/>
      <c r="D711" s="1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5"/>
      <c r="B712" s="15"/>
      <c r="C712" s="15"/>
      <c r="D712" s="1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5"/>
      <c r="B713" s="15"/>
      <c r="C713" s="15"/>
      <c r="D713" s="1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5"/>
      <c r="B714" s="15"/>
      <c r="C714" s="15"/>
      <c r="D714" s="1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5"/>
      <c r="B715" s="15"/>
      <c r="C715" s="15"/>
      <c r="D715" s="1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5"/>
      <c r="B716" s="15"/>
      <c r="C716" s="15"/>
      <c r="D716" s="1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5"/>
      <c r="B717" s="15"/>
      <c r="C717" s="15"/>
      <c r="D717" s="1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5"/>
      <c r="B718" s="15"/>
      <c r="C718" s="15"/>
      <c r="D718" s="1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5"/>
      <c r="B719" s="15"/>
      <c r="C719" s="15"/>
      <c r="D719" s="1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5"/>
      <c r="B720" s="15"/>
      <c r="C720" s="15"/>
      <c r="D720" s="1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5"/>
      <c r="B721" s="15"/>
      <c r="C721" s="15"/>
      <c r="D721" s="1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5"/>
      <c r="B722" s="15"/>
      <c r="C722" s="15"/>
      <c r="D722" s="1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5"/>
      <c r="B723" s="15"/>
      <c r="C723" s="15"/>
      <c r="D723" s="1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5"/>
      <c r="B724" s="15"/>
      <c r="C724" s="15"/>
      <c r="D724" s="1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5"/>
      <c r="B725" s="15"/>
      <c r="C725" s="15"/>
      <c r="D725" s="1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5"/>
      <c r="B726" s="15"/>
      <c r="C726" s="15"/>
      <c r="D726" s="1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5"/>
      <c r="B727" s="15"/>
      <c r="C727" s="15"/>
      <c r="D727" s="1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5"/>
      <c r="B728" s="15"/>
      <c r="C728" s="15"/>
      <c r="D728" s="1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5"/>
      <c r="B729" s="15"/>
      <c r="C729" s="15"/>
      <c r="D729" s="1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5"/>
      <c r="B730" s="15"/>
      <c r="C730" s="15"/>
      <c r="D730" s="1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5"/>
      <c r="B731" s="15"/>
      <c r="C731" s="15"/>
      <c r="D731" s="1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5"/>
      <c r="B732" s="15"/>
      <c r="C732" s="15"/>
      <c r="D732" s="1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5"/>
      <c r="B733" s="15"/>
      <c r="C733" s="15"/>
      <c r="D733" s="1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5"/>
      <c r="B734" s="15"/>
      <c r="C734" s="15"/>
      <c r="D734" s="1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5"/>
      <c r="B735" s="15"/>
      <c r="C735" s="15"/>
      <c r="D735" s="1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5"/>
      <c r="B736" s="15"/>
      <c r="C736" s="15"/>
      <c r="D736" s="1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5"/>
      <c r="B737" s="15"/>
      <c r="C737" s="15"/>
      <c r="D737" s="1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5"/>
      <c r="B738" s="15"/>
      <c r="C738" s="15"/>
      <c r="D738" s="1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5"/>
      <c r="B739" s="15"/>
      <c r="C739" s="15"/>
      <c r="D739" s="1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5"/>
      <c r="B740" s="15"/>
      <c r="C740" s="15"/>
      <c r="D740" s="1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5"/>
      <c r="B741" s="15"/>
      <c r="C741" s="15"/>
      <c r="D741" s="1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5"/>
      <c r="B742" s="15"/>
      <c r="C742" s="15"/>
      <c r="D742" s="1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5"/>
      <c r="B743" s="15"/>
      <c r="C743" s="15"/>
      <c r="D743" s="1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5"/>
      <c r="B744" s="15"/>
      <c r="C744" s="15"/>
      <c r="D744" s="1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5"/>
      <c r="B745" s="15"/>
      <c r="C745" s="15"/>
      <c r="D745" s="1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5"/>
      <c r="B746" s="15"/>
      <c r="C746" s="15"/>
      <c r="D746" s="1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5"/>
      <c r="B747" s="15"/>
      <c r="C747" s="15"/>
      <c r="D747" s="1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5"/>
      <c r="B748" s="15"/>
      <c r="C748" s="15"/>
      <c r="D748" s="1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5"/>
      <c r="B749" s="15"/>
      <c r="C749" s="15"/>
      <c r="D749" s="1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5"/>
      <c r="B750" s="15"/>
      <c r="C750" s="15"/>
      <c r="D750" s="1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5"/>
      <c r="B751" s="15"/>
      <c r="C751" s="15"/>
      <c r="D751" s="1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5"/>
      <c r="B752" s="15"/>
      <c r="C752" s="15"/>
      <c r="D752" s="1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5"/>
      <c r="B753" s="15"/>
      <c r="C753" s="15"/>
      <c r="D753" s="1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5"/>
      <c r="B754" s="15"/>
      <c r="C754" s="15"/>
      <c r="D754" s="1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5"/>
      <c r="B755" s="15"/>
      <c r="C755" s="15"/>
      <c r="D755" s="1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5"/>
      <c r="B756" s="15"/>
      <c r="C756" s="15"/>
      <c r="D756" s="1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5"/>
      <c r="B757" s="15"/>
      <c r="C757" s="15"/>
      <c r="D757" s="1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5"/>
      <c r="B758" s="15"/>
      <c r="C758" s="15"/>
      <c r="D758" s="1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5"/>
      <c r="B759" s="15"/>
      <c r="C759" s="15"/>
      <c r="D759" s="1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5"/>
      <c r="B760" s="15"/>
      <c r="C760" s="15"/>
      <c r="D760" s="1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5"/>
      <c r="B761" s="15"/>
      <c r="C761" s="15"/>
      <c r="D761" s="1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5"/>
      <c r="B762" s="15"/>
      <c r="C762" s="15"/>
      <c r="D762" s="1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5"/>
      <c r="B763" s="15"/>
      <c r="C763" s="15"/>
      <c r="D763" s="1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5"/>
      <c r="B764" s="15"/>
      <c r="C764" s="15"/>
      <c r="D764" s="1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5"/>
      <c r="B765" s="15"/>
      <c r="C765" s="15"/>
      <c r="D765" s="1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5"/>
      <c r="B766" s="15"/>
      <c r="C766" s="15"/>
      <c r="D766" s="1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5"/>
      <c r="B767" s="15"/>
      <c r="C767" s="15"/>
      <c r="D767" s="1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5"/>
      <c r="B768" s="15"/>
      <c r="C768" s="15"/>
      <c r="D768" s="1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5"/>
      <c r="B769" s="15"/>
      <c r="C769" s="15"/>
      <c r="D769" s="1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5"/>
      <c r="B770" s="15"/>
      <c r="C770" s="15"/>
      <c r="D770" s="1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5"/>
      <c r="B771" s="15"/>
      <c r="C771" s="15"/>
      <c r="D771" s="1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5"/>
      <c r="B772" s="15"/>
      <c r="C772" s="15"/>
      <c r="D772" s="1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5"/>
      <c r="B773" s="15"/>
      <c r="C773" s="15"/>
      <c r="D773" s="1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5"/>
      <c r="B774" s="15"/>
      <c r="C774" s="15"/>
      <c r="D774" s="1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5"/>
      <c r="B775" s="15"/>
      <c r="C775" s="15"/>
      <c r="D775" s="1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5"/>
      <c r="B776" s="15"/>
      <c r="C776" s="15"/>
      <c r="D776" s="1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5"/>
      <c r="B777" s="15"/>
      <c r="C777" s="15"/>
      <c r="D777" s="1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5"/>
      <c r="B778" s="15"/>
      <c r="C778" s="15"/>
      <c r="D778" s="1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5"/>
      <c r="B779" s="15"/>
      <c r="C779" s="15"/>
      <c r="D779" s="1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5"/>
      <c r="B780" s="15"/>
      <c r="C780" s="15"/>
      <c r="D780" s="1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5"/>
      <c r="B781" s="15"/>
      <c r="C781" s="15"/>
      <c r="D781" s="1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5"/>
      <c r="B782" s="15"/>
      <c r="C782" s="15"/>
      <c r="D782" s="1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5"/>
      <c r="B783" s="15"/>
      <c r="C783" s="15"/>
      <c r="D783" s="1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5"/>
      <c r="B784" s="15"/>
      <c r="C784" s="15"/>
      <c r="D784" s="1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5"/>
      <c r="B785" s="15"/>
      <c r="C785" s="15"/>
      <c r="D785" s="1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5"/>
      <c r="B786" s="15"/>
      <c r="C786" s="15"/>
      <c r="D786" s="1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5"/>
      <c r="B787" s="15"/>
      <c r="C787" s="15"/>
      <c r="D787" s="1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5"/>
      <c r="B788" s="15"/>
      <c r="C788" s="15"/>
      <c r="D788" s="1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5"/>
      <c r="B789" s="15"/>
      <c r="C789" s="15"/>
      <c r="D789" s="1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5"/>
      <c r="B790" s="15"/>
      <c r="C790" s="15"/>
      <c r="D790" s="1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5"/>
      <c r="B791" s="15"/>
      <c r="C791" s="15"/>
      <c r="D791" s="1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5"/>
      <c r="B792" s="15"/>
      <c r="C792" s="15"/>
      <c r="D792" s="1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5"/>
      <c r="B793" s="15"/>
      <c r="C793" s="15"/>
      <c r="D793" s="1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5"/>
      <c r="B794" s="15"/>
      <c r="C794" s="15"/>
      <c r="D794" s="1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5"/>
      <c r="B795" s="15"/>
      <c r="C795" s="15"/>
      <c r="D795" s="1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5"/>
      <c r="B796" s="15"/>
      <c r="C796" s="15"/>
      <c r="D796" s="1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5"/>
      <c r="B797" s="15"/>
      <c r="C797" s="15"/>
      <c r="D797" s="1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5"/>
      <c r="B798" s="15"/>
      <c r="C798" s="15"/>
      <c r="D798" s="1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5"/>
      <c r="B799" s="15"/>
      <c r="C799" s="15"/>
      <c r="D799" s="1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5"/>
      <c r="B800" s="15"/>
      <c r="C800" s="15"/>
      <c r="D800" s="1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5"/>
      <c r="B801" s="15"/>
      <c r="C801" s="15"/>
      <c r="D801" s="1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5"/>
      <c r="B802" s="15"/>
      <c r="C802" s="15"/>
      <c r="D802" s="1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5"/>
      <c r="B803" s="15"/>
      <c r="C803" s="15"/>
      <c r="D803" s="1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5"/>
      <c r="B804" s="15"/>
      <c r="C804" s="15"/>
      <c r="D804" s="1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5"/>
      <c r="B805" s="15"/>
      <c r="C805" s="15"/>
      <c r="D805" s="1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5"/>
      <c r="B806" s="15"/>
      <c r="C806" s="15"/>
      <c r="D806" s="1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5"/>
      <c r="B807" s="15"/>
      <c r="C807" s="15"/>
      <c r="D807" s="1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5"/>
      <c r="B808" s="15"/>
      <c r="C808" s="15"/>
      <c r="D808" s="1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5"/>
      <c r="B809" s="15"/>
      <c r="C809" s="15"/>
      <c r="D809" s="1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5"/>
      <c r="B810" s="15"/>
      <c r="C810" s="15"/>
      <c r="D810" s="1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5"/>
      <c r="B811" s="15"/>
      <c r="C811" s="15"/>
      <c r="D811" s="1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5"/>
      <c r="B812" s="15"/>
      <c r="C812" s="15"/>
      <c r="D812" s="1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5"/>
      <c r="B813" s="15"/>
      <c r="C813" s="15"/>
      <c r="D813" s="1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5"/>
      <c r="B814" s="15"/>
      <c r="C814" s="15"/>
      <c r="D814" s="1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5"/>
      <c r="B815" s="15"/>
      <c r="C815" s="15"/>
      <c r="D815" s="1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5"/>
      <c r="B816" s="15"/>
      <c r="C816" s="15"/>
      <c r="D816" s="1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5"/>
      <c r="B817" s="15"/>
      <c r="C817" s="15"/>
      <c r="D817" s="1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5"/>
      <c r="B818" s="15"/>
      <c r="C818" s="15"/>
      <c r="D818" s="1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5"/>
      <c r="B819" s="15"/>
      <c r="C819" s="15"/>
      <c r="D819" s="1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5"/>
      <c r="B820" s="15"/>
      <c r="C820" s="15"/>
      <c r="D820" s="1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5"/>
      <c r="B821" s="15"/>
      <c r="C821" s="15"/>
      <c r="D821" s="1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5"/>
      <c r="B822" s="15"/>
      <c r="C822" s="15"/>
      <c r="D822" s="1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5"/>
      <c r="B823" s="15"/>
      <c r="C823" s="15"/>
      <c r="D823" s="1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5"/>
      <c r="B824" s="15"/>
      <c r="C824" s="15"/>
      <c r="D824" s="1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5"/>
      <c r="B825" s="15"/>
      <c r="C825" s="15"/>
      <c r="D825" s="1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5"/>
      <c r="B826" s="15"/>
      <c r="C826" s="15"/>
      <c r="D826" s="1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5"/>
      <c r="B827" s="15"/>
      <c r="C827" s="15"/>
      <c r="D827" s="1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5"/>
      <c r="B828" s="15"/>
      <c r="C828" s="15"/>
      <c r="D828" s="1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5"/>
      <c r="B829" s="15"/>
      <c r="C829" s="15"/>
      <c r="D829" s="1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5"/>
      <c r="B830" s="15"/>
      <c r="C830" s="15"/>
      <c r="D830" s="1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5"/>
      <c r="B831" s="15"/>
      <c r="C831" s="15"/>
      <c r="D831" s="1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5"/>
      <c r="B832" s="15"/>
      <c r="C832" s="15"/>
      <c r="D832" s="1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5"/>
      <c r="B833" s="15"/>
      <c r="C833" s="15"/>
      <c r="D833" s="1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5"/>
      <c r="B834" s="15"/>
      <c r="C834" s="15"/>
      <c r="D834" s="1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5"/>
      <c r="B835" s="15"/>
      <c r="C835" s="15"/>
      <c r="D835" s="1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5"/>
      <c r="B836" s="15"/>
      <c r="C836" s="15"/>
      <c r="D836" s="1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5"/>
      <c r="B837" s="15"/>
      <c r="C837" s="15"/>
      <c r="D837" s="1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5"/>
      <c r="B838" s="15"/>
      <c r="C838" s="15"/>
      <c r="D838" s="1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5"/>
      <c r="B839" s="15"/>
      <c r="C839" s="15"/>
      <c r="D839" s="1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5"/>
      <c r="B840" s="15"/>
      <c r="C840" s="15"/>
      <c r="D840" s="1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5"/>
      <c r="B841" s="15"/>
      <c r="C841" s="15"/>
      <c r="D841" s="1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5"/>
      <c r="B842" s="15"/>
      <c r="C842" s="15"/>
      <c r="D842" s="1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5"/>
      <c r="B843" s="15"/>
      <c r="C843" s="15"/>
      <c r="D843" s="1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5"/>
      <c r="B844" s="15"/>
      <c r="C844" s="15"/>
      <c r="D844" s="1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5"/>
      <c r="B845" s="15"/>
      <c r="C845" s="15"/>
      <c r="D845" s="1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5"/>
      <c r="B846" s="15"/>
      <c r="C846" s="15"/>
      <c r="D846" s="1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5"/>
      <c r="B847" s="15"/>
      <c r="C847" s="15"/>
      <c r="D847" s="1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5"/>
      <c r="B848" s="15"/>
      <c r="C848" s="15"/>
      <c r="D848" s="1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5"/>
      <c r="B849" s="15"/>
      <c r="C849" s="15"/>
      <c r="D849" s="1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5"/>
      <c r="B850" s="15"/>
      <c r="C850" s="15"/>
      <c r="D850" s="1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5"/>
      <c r="B851" s="15"/>
      <c r="C851" s="15"/>
      <c r="D851" s="1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5"/>
      <c r="B852" s="15"/>
      <c r="C852" s="15"/>
      <c r="D852" s="1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5"/>
      <c r="B853" s="15"/>
      <c r="C853" s="15"/>
      <c r="D853" s="1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5"/>
      <c r="B854" s="15"/>
      <c r="C854" s="15"/>
      <c r="D854" s="1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5"/>
      <c r="B855" s="15"/>
      <c r="C855" s="15"/>
      <c r="D855" s="1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5"/>
      <c r="B856" s="15"/>
      <c r="C856" s="15"/>
      <c r="D856" s="1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5"/>
      <c r="B857" s="15"/>
      <c r="C857" s="15"/>
      <c r="D857" s="1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5"/>
      <c r="B858" s="15"/>
      <c r="C858" s="15"/>
      <c r="D858" s="1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5"/>
      <c r="B859" s="15"/>
      <c r="C859" s="15"/>
      <c r="D859" s="1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5"/>
      <c r="B860" s="15"/>
      <c r="C860" s="15"/>
      <c r="D860" s="1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5"/>
      <c r="B861" s="15"/>
      <c r="C861" s="15"/>
      <c r="D861" s="1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5"/>
      <c r="B862" s="15"/>
      <c r="C862" s="15"/>
      <c r="D862" s="1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5"/>
      <c r="B863" s="15"/>
      <c r="C863" s="15"/>
      <c r="D863" s="1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5"/>
      <c r="B864" s="15"/>
      <c r="C864" s="15"/>
      <c r="D864" s="1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5"/>
      <c r="B865" s="15"/>
      <c r="C865" s="15"/>
      <c r="D865" s="1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5"/>
      <c r="B866" s="15"/>
      <c r="C866" s="15"/>
      <c r="D866" s="1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5"/>
      <c r="B867" s="15"/>
      <c r="C867" s="15"/>
      <c r="D867" s="1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5"/>
      <c r="B868" s="15"/>
      <c r="C868" s="15"/>
      <c r="D868" s="1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5"/>
      <c r="B869" s="15"/>
      <c r="C869" s="15"/>
      <c r="D869" s="1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5"/>
      <c r="B870" s="15"/>
      <c r="C870" s="15"/>
      <c r="D870" s="1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5"/>
      <c r="B871" s="15"/>
      <c r="C871" s="15"/>
      <c r="D871" s="1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5"/>
      <c r="B872" s="15"/>
      <c r="C872" s="15"/>
      <c r="D872" s="1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5"/>
      <c r="B873" s="15"/>
      <c r="C873" s="15"/>
      <c r="D873" s="1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5"/>
      <c r="B874" s="15"/>
      <c r="C874" s="15"/>
      <c r="D874" s="1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5"/>
      <c r="B875" s="15"/>
      <c r="C875" s="15"/>
      <c r="D875" s="1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5"/>
      <c r="B876" s="15"/>
      <c r="C876" s="15"/>
      <c r="D876" s="1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5"/>
      <c r="B877" s="15"/>
      <c r="C877" s="15"/>
      <c r="D877" s="1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5"/>
      <c r="B878" s="15"/>
      <c r="C878" s="15"/>
      <c r="D878" s="1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5"/>
      <c r="B879" s="15"/>
      <c r="C879" s="15"/>
      <c r="D879" s="1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5"/>
      <c r="B880" s="15"/>
      <c r="C880" s="15"/>
      <c r="D880" s="1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5"/>
      <c r="B881" s="15"/>
      <c r="C881" s="15"/>
      <c r="D881" s="1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5"/>
      <c r="B882" s="15"/>
      <c r="C882" s="15"/>
      <c r="D882" s="1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5"/>
      <c r="B883" s="15"/>
      <c r="C883" s="15"/>
      <c r="D883" s="1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5"/>
      <c r="B884" s="15"/>
      <c r="C884" s="15"/>
      <c r="D884" s="1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5"/>
      <c r="B885" s="15"/>
      <c r="C885" s="15"/>
      <c r="D885" s="1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5"/>
      <c r="B886" s="15"/>
      <c r="C886" s="15"/>
      <c r="D886" s="1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5"/>
      <c r="B887" s="15"/>
      <c r="C887" s="15"/>
      <c r="D887" s="1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5"/>
      <c r="B888" s="15"/>
      <c r="C888" s="15"/>
      <c r="D888" s="1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5"/>
      <c r="B889" s="15"/>
      <c r="C889" s="15"/>
      <c r="D889" s="1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5"/>
      <c r="B890" s="15"/>
      <c r="C890" s="15"/>
      <c r="D890" s="1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5"/>
      <c r="B891" s="15"/>
      <c r="C891" s="15"/>
      <c r="D891" s="1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5"/>
      <c r="B892" s="15"/>
      <c r="C892" s="15"/>
      <c r="D892" s="1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5"/>
      <c r="B893" s="15"/>
      <c r="C893" s="15"/>
      <c r="D893" s="1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5"/>
      <c r="B894" s="15"/>
      <c r="C894" s="15"/>
      <c r="D894" s="1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5"/>
      <c r="B895" s="15"/>
      <c r="C895" s="15"/>
      <c r="D895" s="1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5"/>
      <c r="B896" s="15"/>
      <c r="C896" s="15"/>
      <c r="D896" s="1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5"/>
      <c r="B897" s="15"/>
      <c r="C897" s="15"/>
      <c r="D897" s="1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5"/>
      <c r="B898" s="15"/>
      <c r="C898" s="15"/>
      <c r="D898" s="1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5"/>
      <c r="B899" s="15"/>
      <c r="C899" s="15"/>
      <c r="D899" s="1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5"/>
      <c r="B900" s="15"/>
      <c r="C900" s="15"/>
      <c r="D900" s="1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5"/>
      <c r="B901" s="15"/>
      <c r="C901" s="15"/>
      <c r="D901" s="1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5"/>
      <c r="B902" s="15"/>
      <c r="C902" s="15"/>
      <c r="D902" s="1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5"/>
      <c r="B903" s="15"/>
      <c r="C903" s="15"/>
      <c r="D903" s="1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5"/>
      <c r="B904" s="15"/>
      <c r="C904" s="15"/>
      <c r="D904" s="1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5"/>
      <c r="B905" s="15"/>
      <c r="C905" s="15"/>
      <c r="D905" s="1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5"/>
      <c r="B906" s="15"/>
      <c r="C906" s="15"/>
      <c r="D906" s="1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5"/>
      <c r="B907" s="15"/>
      <c r="C907" s="15"/>
      <c r="D907" s="1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5"/>
      <c r="B908" s="15"/>
      <c r="C908" s="15"/>
      <c r="D908" s="1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5"/>
      <c r="B909" s="15"/>
      <c r="C909" s="15"/>
      <c r="D909" s="1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5"/>
      <c r="B910" s="15"/>
      <c r="C910" s="15"/>
      <c r="D910" s="1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5"/>
      <c r="B911" s="15"/>
      <c r="C911" s="15"/>
      <c r="D911" s="1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5"/>
      <c r="B912" s="15"/>
      <c r="C912" s="15"/>
      <c r="D912" s="1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5"/>
      <c r="B913" s="15"/>
      <c r="C913" s="15"/>
      <c r="D913" s="1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5"/>
      <c r="B914" s="15"/>
      <c r="C914" s="15"/>
      <c r="D914" s="1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5"/>
      <c r="B915" s="15"/>
      <c r="C915" s="15"/>
      <c r="D915" s="1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5"/>
      <c r="B916" s="15"/>
      <c r="C916" s="15"/>
      <c r="D916" s="1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5"/>
      <c r="B917" s="15"/>
      <c r="C917" s="15"/>
      <c r="D917" s="1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5"/>
      <c r="B918" s="15"/>
      <c r="C918" s="15"/>
      <c r="D918" s="1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5"/>
      <c r="B919" s="15"/>
      <c r="C919" s="15"/>
      <c r="D919" s="1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5"/>
      <c r="B920" s="15"/>
      <c r="C920" s="15"/>
      <c r="D920" s="1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5"/>
      <c r="B921" s="15"/>
      <c r="C921" s="15"/>
      <c r="D921" s="1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5"/>
      <c r="B922" s="15"/>
      <c r="C922" s="15"/>
      <c r="D922" s="1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5"/>
      <c r="B923" s="15"/>
      <c r="C923" s="15"/>
      <c r="D923" s="1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5"/>
      <c r="B924" s="15"/>
      <c r="C924" s="15"/>
      <c r="D924" s="1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5"/>
      <c r="B925" s="15"/>
      <c r="C925" s="15"/>
      <c r="D925" s="1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5"/>
      <c r="B926" s="15"/>
      <c r="C926" s="15"/>
      <c r="D926" s="1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5"/>
      <c r="B927" s="15"/>
      <c r="C927" s="15"/>
      <c r="D927" s="1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5"/>
      <c r="B928" s="15"/>
      <c r="C928" s="15"/>
      <c r="D928" s="1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5"/>
      <c r="B929" s="15"/>
      <c r="C929" s="15"/>
      <c r="D929" s="1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5"/>
      <c r="B930" s="15"/>
      <c r="C930" s="15"/>
      <c r="D930" s="1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5"/>
      <c r="B931" s="15"/>
      <c r="C931" s="15"/>
      <c r="D931" s="1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5"/>
      <c r="B932" s="15"/>
      <c r="C932" s="15"/>
      <c r="D932" s="1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5"/>
      <c r="B933" s="15"/>
      <c r="C933" s="15"/>
      <c r="D933" s="1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5"/>
      <c r="B934" s="15"/>
      <c r="C934" s="15"/>
      <c r="D934" s="1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5"/>
      <c r="B935" s="15"/>
      <c r="C935" s="15"/>
      <c r="D935" s="1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5"/>
      <c r="B936" s="15"/>
      <c r="C936" s="15"/>
      <c r="D936" s="1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5"/>
      <c r="B937" s="15"/>
      <c r="C937" s="15"/>
      <c r="D937" s="1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5"/>
      <c r="B938" s="15"/>
      <c r="C938" s="15"/>
      <c r="D938" s="1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5"/>
      <c r="B939" s="15"/>
      <c r="C939" s="15"/>
      <c r="D939" s="1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5"/>
      <c r="B940" s="15"/>
      <c r="C940" s="15"/>
      <c r="D940" s="1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5"/>
      <c r="B941" s="15"/>
      <c r="C941" s="15"/>
      <c r="D941" s="1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5"/>
      <c r="B942" s="15"/>
      <c r="C942" s="15"/>
      <c r="D942" s="1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5"/>
      <c r="B943" s="15"/>
      <c r="C943" s="15"/>
      <c r="D943" s="1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5"/>
      <c r="B944" s="15"/>
      <c r="C944" s="15"/>
      <c r="D944" s="1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5"/>
      <c r="B945" s="15"/>
      <c r="C945" s="15"/>
      <c r="D945" s="1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5"/>
      <c r="B946" s="15"/>
      <c r="C946" s="15"/>
      <c r="D946" s="1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5"/>
      <c r="B947" s="15"/>
      <c r="C947" s="15"/>
      <c r="D947" s="1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5"/>
      <c r="B948" s="15"/>
      <c r="C948" s="15"/>
      <c r="D948" s="1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5"/>
      <c r="B949" s="15"/>
      <c r="C949" s="15"/>
      <c r="D949" s="1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5"/>
      <c r="B950" s="15"/>
      <c r="C950" s="15"/>
      <c r="D950" s="1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5"/>
      <c r="B951" s="15"/>
      <c r="C951" s="15"/>
      <c r="D951" s="1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5"/>
      <c r="B952" s="15"/>
      <c r="C952" s="15"/>
      <c r="D952" s="1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5"/>
      <c r="B953" s="15"/>
      <c r="C953" s="15"/>
      <c r="D953" s="1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5"/>
      <c r="B954" s="15"/>
      <c r="C954" s="15"/>
      <c r="D954" s="1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5"/>
      <c r="B955" s="15"/>
      <c r="C955" s="15"/>
      <c r="D955" s="1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5"/>
      <c r="B956" s="15"/>
      <c r="C956" s="15"/>
      <c r="D956" s="1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5"/>
      <c r="B957" s="15"/>
      <c r="C957" s="15"/>
      <c r="D957" s="1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5"/>
      <c r="B958" s="15"/>
      <c r="C958" s="15"/>
      <c r="D958" s="1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5"/>
      <c r="B959" s="15"/>
      <c r="C959" s="15"/>
      <c r="D959" s="1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5"/>
      <c r="B960" s="15"/>
      <c r="C960" s="15"/>
      <c r="D960" s="1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5"/>
      <c r="B961" s="15"/>
      <c r="C961" s="15"/>
      <c r="D961" s="1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5"/>
      <c r="B962" s="15"/>
      <c r="C962" s="15"/>
      <c r="D962" s="1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5"/>
      <c r="B963" s="15"/>
      <c r="C963" s="15"/>
      <c r="D963" s="1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5"/>
      <c r="B964" s="15"/>
      <c r="C964" s="15"/>
      <c r="D964" s="1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5"/>
      <c r="B965" s="15"/>
      <c r="C965" s="15"/>
      <c r="D965" s="1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5"/>
      <c r="B966" s="15"/>
      <c r="C966" s="15"/>
      <c r="D966" s="1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5"/>
      <c r="B967" s="15"/>
      <c r="C967" s="15"/>
      <c r="D967" s="1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5"/>
      <c r="B968" s="15"/>
      <c r="C968" s="15"/>
      <c r="D968" s="1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5"/>
      <c r="B969" s="15"/>
      <c r="C969" s="15"/>
      <c r="D969" s="1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5"/>
      <c r="B970" s="15"/>
      <c r="C970" s="15"/>
      <c r="D970" s="1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5"/>
      <c r="B971" s="15"/>
      <c r="C971" s="15"/>
      <c r="D971" s="1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5"/>
      <c r="B972" s="15"/>
      <c r="C972" s="15"/>
      <c r="D972" s="1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5"/>
      <c r="B973" s="15"/>
      <c r="C973" s="15"/>
      <c r="D973" s="1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5"/>
      <c r="B974" s="15"/>
      <c r="C974" s="15"/>
      <c r="D974" s="1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5"/>
      <c r="B975" s="15"/>
      <c r="C975" s="15"/>
      <c r="D975" s="1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5"/>
      <c r="B976" s="15"/>
      <c r="C976" s="15"/>
      <c r="D976" s="1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5"/>
      <c r="B977" s="15"/>
      <c r="C977" s="15"/>
      <c r="D977" s="1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5"/>
      <c r="B978" s="15"/>
      <c r="C978" s="15"/>
      <c r="D978" s="1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5"/>
      <c r="B979" s="15"/>
      <c r="C979" s="15"/>
      <c r="D979" s="1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5"/>
      <c r="B980" s="15"/>
      <c r="C980" s="15"/>
      <c r="D980" s="1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5"/>
      <c r="B981" s="15"/>
      <c r="C981" s="15"/>
      <c r="D981" s="1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5"/>
      <c r="B982" s="15"/>
      <c r="C982" s="15"/>
      <c r="D982" s="1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5"/>
      <c r="B983" s="15"/>
      <c r="C983" s="15"/>
      <c r="D983" s="1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5"/>
      <c r="B984" s="15"/>
      <c r="C984" s="15"/>
      <c r="D984" s="1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5"/>
      <c r="B985" s="15"/>
      <c r="C985" s="15"/>
      <c r="D985" s="1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5"/>
      <c r="B986" s="15"/>
      <c r="C986" s="15"/>
      <c r="D986" s="1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5"/>
      <c r="B987" s="15"/>
      <c r="C987" s="15"/>
      <c r="D987" s="1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5"/>
      <c r="B988" s="15"/>
      <c r="C988" s="15"/>
      <c r="D988" s="1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5"/>
      <c r="B989" s="15"/>
      <c r="C989" s="15"/>
      <c r="D989" s="1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5"/>
      <c r="B990" s="15"/>
      <c r="C990" s="15"/>
      <c r="D990" s="1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5"/>
      <c r="B991" s="15"/>
      <c r="C991" s="15"/>
      <c r="D991" s="1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5"/>
      <c r="B992" s="15"/>
      <c r="C992" s="15"/>
      <c r="D992" s="1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5"/>
      <c r="B993" s="15"/>
      <c r="C993" s="15"/>
      <c r="D993" s="1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5"/>
      <c r="B994" s="15"/>
      <c r="C994" s="15"/>
      <c r="D994" s="1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5"/>
      <c r="B995" s="15"/>
      <c r="C995" s="15"/>
      <c r="D995" s="1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5"/>
      <c r="B996" s="15"/>
      <c r="C996" s="15"/>
      <c r="D996" s="1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5"/>
      <c r="B997" s="15"/>
      <c r="C997" s="15"/>
      <c r="D997" s="1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5"/>
      <c r="B998" s="15"/>
      <c r="C998" s="15"/>
      <c r="D998" s="1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5"/>
      <c r="B999" s="15"/>
      <c r="C999" s="15"/>
      <c r="D999" s="1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5"/>
      <c r="B1000" s="15"/>
      <c r="C1000" s="15"/>
      <c r="D1000" s="1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1:B1"/>
    <mergeCell ref="C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8.25"/>
    <col customWidth="1" min="3" max="3" width="17.38"/>
    <col customWidth="1" min="5" max="5" width="22.63"/>
    <col customWidth="1" min="6" max="6" width="23.0"/>
    <col customWidth="1" min="7" max="7" width="20.88"/>
    <col customWidth="1" min="8" max="8" width="26.75"/>
  </cols>
  <sheetData>
    <row r="1">
      <c r="A1" s="32" t="s">
        <v>18</v>
      </c>
      <c r="B1" s="32" t="s">
        <v>19</v>
      </c>
      <c r="C1" s="33" t="s">
        <v>20</v>
      </c>
      <c r="D1" s="33" t="s">
        <v>21</v>
      </c>
      <c r="E1" s="33" t="s">
        <v>22</v>
      </c>
      <c r="F1" s="34" t="s">
        <v>20</v>
      </c>
      <c r="G1" s="34" t="s">
        <v>21</v>
      </c>
      <c r="H1" s="34" t="s">
        <v>22</v>
      </c>
      <c r="I1" s="35"/>
      <c r="J1" s="35"/>
    </row>
    <row r="2">
      <c r="A2" s="32" t="s">
        <v>23</v>
      </c>
      <c r="B2" s="32" t="s">
        <v>24</v>
      </c>
      <c r="C2" s="36" t="s">
        <v>25</v>
      </c>
      <c r="D2" s="36" t="s">
        <v>26</v>
      </c>
      <c r="E2" s="36" t="s">
        <v>27</v>
      </c>
      <c r="F2" s="37" t="s">
        <v>28</v>
      </c>
      <c r="G2" s="37" t="s">
        <v>29</v>
      </c>
      <c r="H2" s="37" t="s">
        <v>30</v>
      </c>
      <c r="I2" s="35"/>
      <c r="J2" s="35"/>
    </row>
    <row r="3">
      <c r="A3" s="32" t="s">
        <v>31</v>
      </c>
      <c r="B3" s="32" t="s">
        <v>32</v>
      </c>
      <c r="C3" s="36" t="s">
        <v>25</v>
      </c>
      <c r="D3" s="36" t="s">
        <v>33</v>
      </c>
      <c r="E3" s="36" t="s">
        <v>34</v>
      </c>
      <c r="F3" s="37" t="s">
        <v>35</v>
      </c>
      <c r="G3" s="34" t="s">
        <v>33</v>
      </c>
      <c r="H3" s="37" t="s">
        <v>36</v>
      </c>
      <c r="I3" s="35"/>
      <c r="J3" s="35"/>
    </row>
    <row r="4">
      <c r="A4" s="32" t="s">
        <v>37</v>
      </c>
      <c r="B4" s="32" t="s">
        <v>38</v>
      </c>
      <c r="C4" s="36" t="s">
        <v>25</v>
      </c>
      <c r="D4" s="36" t="s">
        <v>33</v>
      </c>
      <c r="E4" s="36" t="s">
        <v>33</v>
      </c>
      <c r="F4" s="37" t="s">
        <v>39</v>
      </c>
      <c r="G4" s="34" t="s">
        <v>33</v>
      </c>
      <c r="H4" s="34" t="s">
        <v>33</v>
      </c>
      <c r="I4" s="35"/>
      <c r="J4" s="35"/>
    </row>
    <row r="5">
      <c r="A5" s="32" t="s">
        <v>40</v>
      </c>
      <c r="B5" s="32" t="s">
        <v>38</v>
      </c>
      <c r="C5" s="36" t="s">
        <v>25</v>
      </c>
      <c r="D5" s="36" t="s">
        <v>41</v>
      </c>
      <c r="E5" s="36" t="s">
        <v>33</v>
      </c>
      <c r="F5" s="37" t="s">
        <v>42</v>
      </c>
      <c r="G5" s="37" t="s">
        <v>43</v>
      </c>
      <c r="H5" s="34" t="s">
        <v>33</v>
      </c>
      <c r="I5" s="35"/>
      <c r="J5" s="35"/>
    </row>
    <row r="6">
      <c r="A6" s="32" t="s">
        <v>44</v>
      </c>
      <c r="B6" s="32" t="s">
        <v>45</v>
      </c>
      <c r="C6" s="36" t="s">
        <v>25</v>
      </c>
      <c r="D6" s="36" t="s">
        <v>46</v>
      </c>
      <c r="E6" s="36" t="s">
        <v>33</v>
      </c>
      <c r="F6" s="37" t="s">
        <v>39</v>
      </c>
      <c r="G6" s="37" t="s">
        <v>47</v>
      </c>
      <c r="H6" s="34" t="s">
        <v>33</v>
      </c>
      <c r="I6" s="35"/>
      <c r="J6" s="35"/>
    </row>
    <row r="7">
      <c r="A7" s="32" t="s">
        <v>48</v>
      </c>
      <c r="B7" s="32" t="s">
        <v>45</v>
      </c>
      <c r="C7" s="36" t="s">
        <v>25</v>
      </c>
      <c r="D7" s="36" t="s">
        <v>49</v>
      </c>
      <c r="E7" s="36" t="s">
        <v>33</v>
      </c>
      <c r="F7" s="37" t="s">
        <v>39</v>
      </c>
      <c r="G7" s="37" t="s">
        <v>47</v>
      </c>
      <c r="H7" s="34" t="s">
        <v>33</v>
      </c>
      <c r="I7" s="35"/>
      <c r="J7" s="35"/>
    </row>
    <row r="8">
      <c r="A8" s="32" t="s">
        <v>50</v>
      </c>
      <c r="B8" s="32" t="s">
        <v>45</v>
      </c>
      <c r="C8" s="36" t="s">
        <v>25</v>
      </c>
      <c r="D8" s="36" t="s">
        <v>51</v>
      </c>
      <c r="E8" s="36" t="s">
        <v>33</v>
      </c>
      <c r="F8" s="37" t="s">
        <v>39</v>
      </c>
      <c r="G8" s="37" t="s">
        <v>47</v>
      </c>
      <c r="H8" s="34" t="s">
        <v>33</v>
      </c>
      <c r="I8" s="35"/>
      <c r="J8" s="35"/>
    </row>
    <row r="9">
      <c r="A9" s="32" t="s">
        <v>52</v>
      </c>
      <c r="B9" s="32" t="s">
        <v>45</v>
      </c>
      <c r="C9" s="36" t="s">
        <v>25</v>
      </c>
      <c r="D9" s="36" t="s">
        <v>33</v>
      </c>
      <c r="E9" s="36" t="s">
        <v>53</v>
      </c>
      <c r="F9" s="37" t="s">
        <v>54</v>
      </c>
      <c r="G9" s="34" t="s">
        <v>33</v>
      </c>
      <c r="H9" s="37" t="s">
        <v>55</v>
      </c>
      <c r="I9" s="35"/>
      <c r="J9" s="35"/>
    </row>
    <row r="10">
      <c r="A10" s="32" t="s">
        <v>56</v>
      </c>
      <c r="B10" s="32" t="s">
        <v>57</v>
      </c>
      <c r="C10" s="36" t="s">
        <v>25</v>
      </c>
      <c r="D10" s="36" t="s">
        <v>58</v>
      </c>
      <c r="E10" s="36" t="s">
        <v>33</v>
      </c>
      <c r="F10" s="37" t="s">
        <v>59</v>
      </c>
      <c r="G10" s="37" t="s">
        <v>60</v>
      </c>
      <c r="H10" s="34" t="s">
        <v>33</v>
      </c>
      <c r="I10" s="35"/>
      <c r="J10" s="35"/>
    </row>
    <row r="11">
      <c r="A11" s="32" t="s">
        <v>61</v>
      </c>
      <c r="B11" s="32" t="s">
        <v>62</v>
      </c>
      <c r="C11" s="36" t="s">
        <v>25</v>
      </c>
      <c r="D11" s="36" t="s">
        <v>63</v>
      </c>
      <c r="E11" s="36" t="s">
        <v>33</v>
      </c>
      <c r="F11" s="37" t="s">
        <v>39</v>
      </c>
      <c r="G11" s="37" t="s">
        <v>47</v>
      </c>
      <c r="H11" s="34" t="s">
        <v>33</v>
      </c>
      <c r="I11" s="35"/>
      <c r="J11" s="35"/>
    </row>
    <row r="12">
      <c r="A12" s="32" t="s">
        <v>64</v>
      </c>
      <c r="B12" s="32" t="s">
        <v>65</v>
      </c>
      <c r="C12" s="36" t="s">
        <v>66</v>
      </c>
      <c r="D12" s="36" t="s">
        <v>67</v>
      </c>
      <c r="E12" s="36" t="s">
        <v>68</v>
      </c>
      <c r="F12" s="37" t="s">
        <v>69</v>
      </c>
      <c r="G12" s="37" t="s">
        <v>70</v>
      </c>
      <c r="H12" s="37" t="s">
        <v>71</v>
      </c>
      <c r="I12" s="35"/>
      <c r="J12" s="35"/>
    </row>
    <row r="13">
      <c r="A13" s="32" t="s">
        <v>72</v>
      </c>
      <c r="B13" s="32" t="s">
        <v>73</v>
      </c>
      <c r="C13" s="36" t="s">
        <v>66</v>
      </c>
      <c r="D13" s="36" t="s">
        <v>74</v>
      </c>
      <c r="E13" s="36" t="s">
        <v>33</v>
      </c>
      <c r="F13" s="37" t="s">
        <v>75</v>
      </c>
      <c r="G13" s="37" t="s">
        <v>76</v>
      </c>
      <c r="H13" s="34" t="s">
        <v>33</v>
      </c>
      <c r="I13" s="35"/>
      <c r="J13" s="35"/>
    </row>
    <row r="14">
      <c r="A14" s="32" t="s">
        <v>77</v>
      </c>
      <c r="B14" s="32" t="s">
        <v>73</v>
      </c>
      <c r="C14" s="36" t="s">
        <v>66</v>
      </c>
      <c r="D14" s="36" t="s">
        <v>46</v>
      </c>
      <c r="E14" s="36" t="s">
        <v>33</v>
      </c>
      <c r="F14" s="37" t="s">
        <v>78</v>
      </c>
      <c r="G14" s="37" t="s">
        <v>79</v>
      </c>
      <c r="H14" s="34" t="s">
        <v>33</v>
      </c>
      <c r="I14" s="35"/>
      <c r="J14" s="35"/>
    </row>
    <row r="15">
      <c r="A15" s="32" t="s">
        <v>80</v>
      </c>
      <c r="B15" s="32" t="s">
        <v>32</v>
      </c>
      <c r="C15" s="36" t="s">
        <v>66</v>
      </c>
      <c r="D15" s="36" t="s">
        <v>81</v>
      </c>
      <c r="E15" s="36" t="s">
        <v>82</v>
      </c>
      <c r="F15" s="37" t="s">
        <v>83</v>
      </c>
      <c r="G15" s="37" t="s">
        <v>84</v>
      </c>
      <c r="H15" s="37" t="s">
        <v>85</v>
      </c>
      <c r="I15" s="35"/>
      <c r="J15" s="35"/>
    </row>
    <row r="16">
      <c r="A16" s="32" t="s">
        <v>86</v>
      </c>
      <c r="B16" s="32" t="s">
        <v>32</v>
      </c>
      <c r="C16" s="36" t="s">
        <v>66</v>
      </c>
      <c r="D16" s="36" t="s">
        <v>87</v>
      </c>
      <c r="E16" s="36" t="s">
        <v>33</v>
      </c>
      <c r="F16" s="37" t="s">
        <v>88</v>
      </c>
      <c r="G16" s="37" t="s">
        <v>89</v>
      </c>
      <c r="H16" s="34" t="s">
        <v>33</v>
      </c>
      <c r="I16" s="35"/>
      <c r="J16" s="35"/>
    </row>
    <row r="17">
      <c r="A17" s="32" t="s">
        <v>90</v>
      </c>
      <c r="B17" s="32" t="s">
        <v>38</v>
      </c>
      <c r="C17" s="36" t="s">
        <v>66</v>
      </c>
      <c r="D17" s="36" t="s">
        <v>33</v>
      </c>
      <c r="E17" s="36" t="s">
        <v>91</v>
      </c>
      <c r="F17" s="37" t="s">
        <v>92</v>
      </c>
      <c r="G17" s="34" t="s">
        <v>33</v>
      </c>
      <c r="H17" s="37" t="s">
        <v>93</v>
      </c>
      <c r="I17" s="35"/>
      <c r="J17" s="35"/>
    </row>
    <row r="18">
      <c r="A18" s="32" t="s">
        <v>94</v>
      </c>
      <c r="B18" s="32" t="s">
        <v>38</v>
      </c>
      <c r="C18" s="36" t="s">
        <v>66</v>
      </c>
      <c r="D18" s="36" t="s">
        <v>95</v>
      </c>
      <c r="E18" s="36" t="s">
        <v>96</v>
      </c>
      <c r="F18" s="37" t="s">
        <v>97</v>
      </c>
      <c r="G18" s="37" t="s">
        <v>98</v>
      </c>
      <c r="H18" s="37" t="s">
        <v>99</v>
      </c>
      <c r="I18" s="35"/>
      <c r="J18" s="35"/>
    </row>
    <row r="19">
      <c r="A19" s="32" t="s">
        <v>100</v>
      </c>
      <c r="B19" s="32" t="s">
        <v>45</v>
      </c>
      <c r="C19" s="36" t="s">
        <v>66</v>
      </c>
      <c r="D19" s="36" t="s">
        <v>33</v>
      </c>
      <c r="E19" s="36" t="s">
        <v>101</v>
      </c>
      <c r="F19" s="37" t="s">
        <v>102</v>
      </c>
      <c r="G19" s="34" t="s">
        <v>33</v>
      </c>
      <c r="H19" s="37" t="s">
        <v>103</v>
      </c>
      <c r="I19" s="35"/>
      <c r="J19" s="35"/>
    </row>
    <row r="20">
      <c r="A20" s="32" t="s">
        <v>104</v>
      </c>
      <c r="B20" s="32" t="s">
        <v>45</v>
      </c>
      <c r="C20" s="36" t="s">
        <v>66</v>
      </c>
      <c r="D20" s="36" t="s">
        <v>33</v>
      </c>
      <c r="E20" s="36" t="s">
        <v>105</v>
      </c>
      <c r="F20" s="37" t="s">
        <v>35</v>
      </c>
      <c r="G20" s="34" t="s">
        <v>33</v>
      </c>
      <c r="H20" s="37" t="s">
        <v>36</v>
      </c>
      <c r="I20" s="35"/>
      <c r="J20" s="35"/>
    </row>
    <row r="21">
      <c r="A21" s="32" t="s">
        <v>106</v>
      </c>
      <c r="B21" s="32" t="s">
        <v>57</v>
      </c>
      <c r="C21" s="36" t="s">
        <v>66</v>
      </c>
      <c r="D21" s="36" t="s">
        <v>27</v>
      </c>
      <c r="E21" s="36" t="s">
        <v>107</v>
      </c>
      <c r="F21" s="37" t="s">
        <v>83</v>
      </c>
      <c r="G21" s="37" t="s">
        <v>84</v>
      </c>
      <c r="H21" s="37" t="s">
        <v>85</v>
      </c>
      <c r="I21" s="35"/>
      <c r="J21" s="35"/>
    </row>
    <row r="22">
      <c r="A22" s="32" t="s">
        <v>108</v>
      </c>
      <c r="B22" s="32" t="s">
        <v>109</v>
      </c>
      <c r="C22" s="36" t="s">
        <v>66</v>
      </c>
      <c r="D22" s="36" t="s">
        <v>33</v>
      </c>
      <c r="E22" s="36" t="s">
        <v>33</v>
      </c>
      <c r="F22" s="37" t="s">
        <v>110</v>
      </c>
      <c r="G22" s="34" t="s">
        <v>33</v>
      </c>
      <c r="H22" s="34" t="s">
        <v>33</v>
      </c>
      <c r="I22" s="35"/>
      <c r="J22" s="35"/>
    </row>
    <row r="23">
      <c r="A23" s="32" t="s">
        <v>111</v>
      </c>
      <c r="B23" s="32" t="s">
        <v>109</v>
      </c>
      <c r="C23" s="36" t="s">
        <v>66</v>
      </c>
      <c r="D23" s="36" t="s">
        <v>91</v>
      </c>
      <c r="E23" s="36" t="s">
        <v>33</v>
      </c>
      <c r="F23" s="37" t="s">
        <v>39</v>
      </c>
      <c r="G23" s="37" t="s">
        <v>47</v>
      </c>
      <c r="H23" s="34" t="s">
        <v>33</v>
      </c>
      <c r="I23" s="35"/>
      <c r="J23" s="35"/>
    </row>
    <row r="24">
      <c r="A24" s="32" t="s">
        <v>112</v>
      </c>
      <c r="B24" s="32" t="s">
        <v>109</v>
      </c>
      <c r="C24" s="36" t="s">
        <v>66</v>
      </c>
      <c r="D24" s="36" t="s">
        <v>113</v>
      </c>
      <c r="E24" s="36" t="s">
        <v>114</v>
      </c>
      <c r="F24" s="37" t="s">
        <v>69</v>
      </c>
      <c r="G24" s="37" t="s">
        <v>70</v>
      </c>
      <c r="H24" s="37" t="s">
        <v>115</v>
      </c>
      <c r="I24" s="35"/>
      <c r="J24" s="35"/>
    </row>
    <row r="25">
      <c r="A25" s="32" t="s">
        <v>116</v>
      </c>
      <c r="B25" s="32" t="s">
        <v>62</v>
      </c>
      <c r="C25" s="36" t="s">
        <v>66</v>
      </c>
      <c r="D25" s="36" t="s">
        <v>101</v>
      </c>
      <c r="E25" s="36" t="s">
        <v>33</v>
      </c>
      <c r="F25" s="37" t="s">
        <v>39</v>
      </c>
      <c r="G25" s="37" t="s">
        <v>117</v>
      </c>
      <c r="H25" s="34" t="s">
        <v>33</v>
      </c>
      <c r="I25" s="35"/>
      <c r="J25" s="35"/>
    </row>
    <row r="26">
      <c r="A26" s="32" t="s">
        <v>118</v>
      </c>
      <c r="B26" s="32" t="s">
        <v>62</v>
      </c>
      <c r="C26" s="36" t="s">
        <v>66</v>
      </c>
      <c r="D26" s="36" t="s">
        <v>119</v>
      </c>
      <c r="E26" s="36" t="s">
        <v>33</v>
      </c>
      <c r="F26" s="37" t="s">
        <v>83</v>
      </c>
      <c r="G26" s="37" t="s">
        <v>120</v>
      </c>
      <c r="H26" s="34" t="s">
        <v>33</v>
      </c>
      <c r="I26" s="35"/>
      <c r="J26" s="35"/>
    </row>
    <row r="27">
      <c r="A27" s="32" t="s">
        <v>121</v>
      </c>
      <c r="B27" s="32" t="s">
        <v>62</v>
      </c>
      <c r="C27" s="36" t="s">
        <v>66</v>
      </c>
      <c r="D27" s="36" t="s">
        <v>122</v>
      </c>
      <c r="E27" s="36" t="s">
        <v>33</v>
      </c>
      <c r="F27" s="37" t="s">
        <v>39</v>
      </c>
      <c r="G27" s="37" t="s">
        <v>47</v>
      </c>
      <c r="H27" s="34" t="s">
        <v>33</v>
      </c>
      <c r="I27" s="35"/>
      <c r="J27" s="35"/>
    </row>
    <row r="28">
      <c r="A28" s="32" t="s">
        <v>123</v>
      </c>
      <c r="B28" s="32" t="s">
        <v>62</v>
      </c>
      <c r="C28" s="36" t="s">
        <v>66</v>
      </c>
      <c r="D28" s="36" t="s">
        <v>67</v>
      </c>
      <c r="E28" s="36" t="s">
        <v>114</v>
      </c>
      <c r="F28" s="37" t="s">
        <v>124</v>
      </c>
      <c r="G28" s="37" t="s">
        <v>125</v>
      </c>
      <c r="H28" s="37" t="s">
        <v>30</v>
      </c>
      <c r="I28" s="35"/>
      <c r="J28" s="35"/>
    </row>
    <row r="29">
      <c r="A29" s="32" t="s">
        <v>126</v>
      </c>
      <c r="B29" s="32" t="s">
        <v>62</v>
      </c>
      <c r="C29" s="36" t="s">
        <v>66</v>
      </c>
      <c r="D29" s="36" t="s">
        <v>127</v>
      </c>
      <c r="E29" s="36" t="s">
        <v>128</v>
      </c>
      <c r="F29" s="37" t="s">
        <v>69</v>
      </c>
      <c r="G29" s="37" t="s">
        <v>70</v>
      </c>
      <c r="H29" s="37" t="s">
        <v>71</v>
      </c>
      <c r="I29" s="35"/>
      <c r="J29" s="35"/>
    </row>
    <row r="30">
      <c r="A30" s="32" t="s">
        <v>129</v>
      </c>
      <c r="B30" s="32" t="s">
        <v>32</v>
      </c>
      <c r="C30" s="36" t="s">
        <v>58</v>
      </c>
      <c r="D30" s="36" t="s">
        <v>33</v>
      </c>
      <c r="E30" s="36" t="s">
        <v>82</v>
      </c>
      <c r="F30" s="37" t="s">
        <v>83</v>
      </c>
      <c r="G30" s="34" t="s">
        <v>33</v>
      </c>
      <c r="H30" s="37" t="s">
        <v>85</v>
      </c>
      <c r="I30" s="35"/>
      <c r="J30" s="35"/>
    </row>
    <row r="31">
      <c r="A31" s="32" t="s">
        <v>130</v>
      </c>
      <c r="B31" s="32" t="s">
        <v>32</v>
      </c>
      <c r="C31" s="36" t="s">
        <v>58</v>
      </c>
      <c r="D31" s="36" t="s">
        <v>46</v>
      </c>
      <c r="E31" s="36" t="s">
        <v>131</v>
      </c>
      <c r="F31" s="37" t="s">
        <v>78</v>
      </c>
      <c r="G31" s="37" t="s">
        <v>79</v>
      </c>
      <c r="H31" s="37" t="s">
        <v>132</v>
      </c>
      <c r="I31" s="35"/>
      <c r="J31" s="35"/>
    </row>
    <row r="32">
      <c r="A32" s="32" t="s">
        <v>133</v>
      </c>
      <c r="B32" s="32" t="s">
        <v>45</v>
      </c>
      <c r="C32" s="36" t="s">
        <v>58</v>
      </c>
      <c r="D32" s="36" t="s">
        <v>41</v>
      </c>
      <c r="E32" s="36" t="s">
        <v>33</v>
      </c>
      <c r="F32" s="37" t="s">
        <v>134</v>
      </c>
      <c r="G32" s="37" t="s">
        <v>135</v>
      </c>
      <c r="H32" s="34" t="s">
        <v>33</v>
      </c>
      <c r="I32" s="35"/>
      <c r="J32" s="35"/>
    </row>
    <row r="33">
      <c r="A33" s="32" t="s">
        <v>136</v>
      </c>
      <c r="B33" s="32" t="s">
        <v>45</v>
      </c>
      <c r="C33" s="36" t="s">
        <v>58</v>
      </c>
      <c r="D33" s="36" t="s">
        <v>137</v>
      </c>
      <c r="E33" s="36" t="s">
        <v>33</v>
      </c>
      <c r="F33" s="37" t="s">
        <v>83</v>
      </c>
      <c r="G33" s="37" t="s">
        <v>84</v>
      </c>
      <c r="H33" s="34" t="s">
        <v>33</v>
      </c>
      <c r="I33" s="35"/>
      <c r="J33" s="35"/>
    </row>
    <row r="34">
      <c r="A34" s="32" t="s">
        <v>138</v>
      </c>
      <c r="B34" s="32" t="s">
        <v>45</v>
      </c>
      <c r="C34" s="36" t="s">
        <v>58</v>
      </c>
      <c r="D34" s="36" t="s">
        <v>33</v>
      </c>
      <c r="E34" s="36" t="s">
        <v>33</v>
      </c>
      <c r="F34" s="37" t="s">
        <v>83</v>
      </c>
      <c r="G34" s="34" t="s">
        <v>33</v>
      </c>
      <c r="H34" s="34" t="s">
        <v>33</v>
      </c>
      <c r="I34" s="35"/>
      <c r="J34" s="35"/>
    </row>
    <row r="35">
      <c r="A35" s="32" t="s">
        <v>139</v>
      </c>
      <c r="B35" s="32" t="s">
        <v>57</v>
      </c>
      <c r="C35" s="36" t="s">
        <v>58</v>
      </c>
      <c r="D35" s="36" t="s">
        <v>140</v>
      </c>
      <c r="E35" s="36" t="s">
        <v>141</v>
      </c>
      <c r="F35" s="37" t="s">
        <v>83</v>
      </c>
      <c r="G35" s="37" t="s">
        <v>84</v>
      </c>
      <c r="H35" s="37" t="s">
        <v>142</v>
      </c>
      <c r="I35" s="35"/>
      <c r="J35" s="35"/>
    </row>
    <row r="36">
      <c r="A36" s="32" t="s">
        <v>143</v>
      </c>
      <c r="B36" s="32" t="s">
        <v>109</v>
      </c>
      <c r="C36" s="36" t="s">
        <v>58</v>
      </c>
      <c r="D36" s="36" t="s">
        <v>33</v>
      </c>
      <c r="E36" s="36" t="s">
        <v>95</v>
      </c>
      <c r="F36" s="37" t="s">
        <v>35</v>
      </c>
      <c r="G36" s="34" t="s">
        <v>33</v>
      </c>
      <c r="H36" s="37" t="s">
        <v>36</v>
      </c>
      <c r="I36" s="35"/>
      <c r="J36" s="35"/>
    </row>
    <row r="37">
      <c r="A37" s="32" t="s">
        <v>144</v>
      </c>
      <c r="B37" s="32" t="s">
        <v>109</v>
      </c>
      <c r="C37" s="36" t="s">
        <v>58</v>
      </c>
      <c r="D37" s="36" t="s">
        <v>128</v>
      </c>
      <c r="E37" s="36" t="s">
        <v>119</v>
      </c>
      <c r="F37" s="37" t="s">
        <v>69</v>
      </c>
      <c r="G37" s="37" t="s">
        <v>70</v>
      </c>
      <c r="H37" s="37" t="s">
        <v>71</v>
      </c>
      <c r="I37" s="35"/>
      <c r="J37" s="35"/>
    </row>
    <row r="38">
      <c r="A38" s="32" t="s">
        <v>145</v>
      </c>
      <c r="B38" s="32" t="s">
        <v>62</v>
      </c>
      <c r="C38" s="36" t="s">
        <v>58</v>
      </c>
      <c r="D38" s="36" t="s">
        <v>140</v>
      </c>
      <c r="E38" s="36" t="s">
        <v>146</v>
      </c>
      <c r="F38" s="37" t="s">
        <v>83</v>
      </c>
      <c r="G38" s="37" t="s">
        <v>84</v>
      </c>
      <c r="H38" s="37" t="s">
        <v>85</v>
      </c>
      <c r="I38" s="35"/>
      <c r="J38" s="35"/>
    </row>
    <row r="39">
      <c r="A39" s="32" t="s">
        <v>147</v>
      </c>
      <c r="B39" s="32" t="s">
        <v>62</v>
      </c>
      <c r="C39" s="36" t="s">
        <v>58</v>
      </c>
      <c r="D39" s="36" t="s">
        <v>33</v>
      </c>
      <c r="E39" s="36" t="s">
        <v>33</v>
      </c>
      <c r="F39" s="37" t="s">
        <v>148</v>
      </c>
      <c r="G39" s="34" t="s">
        <v>33</v>
      </c>
      <c r="H39" s="34" t="s">
        <v>33</v>
      </c>
      <c r="I39" s="35"/>
      <c r="J39" s="35"/>
    </row>
    <row r="40">
      <c r="A40" s="32" t="s">
        <v>149</v>
      </c>
      <c r="B40" s="32" t="s">
        <v>62</v>
      </c>
      <c r="C40" s="36" t="s">
        <v>58</v>
      </c>
      <c r="D40" s="36" t="s">
        <v>34</v>
      </c>
      <c r="E40" s="36" t="s">
        <v>113</v>
      </c>
      <c r="F40" s="37" t="s">
        <v>69</v>
      </c>
      <c r="G40" s="37" t="s">
        <v>70</v>
      </c>
      <c r="H40" s="37" t="s">
        <v>71</v>
      </c>
      <c r="I40" s="35"/>
      <c r="J40" s="35"/>
    </row>
    <row r="41">
      <c r="A41" s="32" t="s">
        <v>150</v>
      </c>
      <c r="B41" s="32" t="s">
        <v>151</v>
      </c>
      <c r="C41" s="36" t="s">
        <v>26</v>
      </c>
      <c r="D41" s="36" t="s">
        <v>91</v>
      </c>
      <c r="E41" s="36" t="s">
        <v>152</v>
      </c>
      <c r="F41" s="37" t="s">
        <v>69</v>
      </c>
      <c r="G41" s="37" t="s">
        <v>70</v>
      </c>
      <c r="H41" s="37" t="s">
        <v>71</v>
      </c>
      <c r="I41" s="35"/>
      <c r="J41" s="35"/>
    </row>
    <row r="42">
      <c r="A42" s="32" t="s">
        <v>153</v>
      </c>
      <c r="B42" s="32" t="s">
        <v>154</v>
      </c>
      <c r="C42" s="36" t="s">
        <v>26</v>
      </c>
      <c r="D42" s="36" t="s">
        <v>68</v>
      </c>
      <c r="E42" s="36" t="s">
        <v>33</v>
      </c>
      <c r="F42" s="37" t="s">
        <v>134</v>
      </c>
      <c r="G42" s="37" t="s">
        <v>135</v>
      </c>
      <c r="H42" s="34" t="s">
        <v>33</v>
      </c>
      <c r="I42" s="35"/>
      <c r="J42" s="35"/>
    </row>
    <row r="43">
      <c r="A43" s="32" t="s">
        <v>155</v>
      </c>
      <c r="B43" s="32" t="s">
        <v>38</v>
      </c>
      <c r="C43" s="36" t="s">
        <v>26</v>
      </c>
      <c r="D43" s="36" t="s">
        <v>156</v>
      </c>
      <c r="E43" s="36" t="s">
        <v>157</v>
      </c>
      <c r="F43" s="37" t="s">
        <v>158</v>
      </c>
      <c r="G43" s="37" t="s">
        <v>159</v>
      </c>
      <c r="H43" s="37" t="s">
        <v>160</v>
      </c>
      <c r="I43" s="35"/>
      <c r="J43" s="35"/>
    </row>
    <row r="44">
      <c r="A44" s="32" t="s">
        <v>161</v>
      </c>
      <c r="B44" s="32" t="s">
        <v>38</v>
      </c>
      <c r="C44" s="36" t="s">
        <v>26</v>
      </c>
      <c r="D44" s="36" t="s">
        <v>66</v>
      </c>
      <c r="E44" s="36" t="s">
        <v>33</v>
      </c>
      <c r="F44" s="37" t="s">
        <v>162</v>
      </c>
      <c r="G44" s="37" t="s">
        <v>163</v>
      </c>
      <c r="H44" s="34" t="s">
        <v>33</v>
      </c>
      <c r="I44" s="35"/>
      <c r="J44" s="35"/>
    </row>
    <row r="45">
      <c r="A45" s="32" t="s">
        <v>164</v>
      </c>
      <c r="B45" s="32" t="s">
        <v>38</v>
      </c>
      <c r="C45" s="36" t="s">
        <v>26</v>
      </c>
      <c r="D45" s="36" t="s">
        <v>165</v>
      </c>
      <c r="E45" s="36" t="s">
        <v>128</v>
      </c>
      <c r="F45" s="37" t="s">
        <v>166</v>
      </c>
      <c r="G45" s="37" t="s">
        <v>167</v>
      </c>
      <c r="H45" s="37" t="s">
        <v>168</v>
      </c>
      <c r="I45" s="35"/>
      <c r="J45" s="35"/>
    </row>
    <row r="46">
      <c r="A46" s="32" t="s">
        <v>169</v>
      </c>
      <c r="B46" s="32" t="s">
        <v>57</v>
      </c>
      <c r="C46" s="36" t="s">
        <v>26</v>
      </c>
      <c r="D46" s="36" t="s">
        <v>95</v>
      </c>
      <c r="E46" s="36" t="s">
        <v>33</v>
      </c>
      <c r="F46" s="37" t="s">
        <v>170</v>
      </c>
      <c r="G46" s="37" t="s">
        <v>171</v>
      </c>
      <c r="H46" s="34" t="s">
        <v>33</v>
      </c>
      <c r="I46" s="35"/>
      <c r="J46" s="35"/>
    </row>
    <row r="47">
      <c r="A47" s="32" t="s">
        <v>172</v>
      </c>
      <c r="B47" s="32" t="s">
        <v>57</v>
      </c>
      <c r="C47" s="36" t="s">
        <v>26</v>
      </c>
      <c r="D47" s="36" t="s">
        <v>173</v>
      </c>
      <c r="E47" s="36" t="s">
        <v>122</v>
      </c>
      <c r="F47" s="37" t="s">
        <v>174</v>
      </c>
      <c r="G47" s="37" t="s">
        <v>175</v>
      </c>
      <c r="H47" s="37" t="s">
        <v>176</v>
      </c>
      <c r="I47" s="35"/>
      <c r="J47" s="35"/>
    </row>
    <row r="48">
      <c r="A48" s="32" t="s">
        <v>177</v>
      </c>
      <c r="B48" s="32" t="s">
        <v>57</v>
      </c>
      <c r="C48" s="36" t="s">
        <v>26</v>
      </c>
      <c r="D48" s="36" t="s">
        <v>178</v>
      </c>
      <c r="E48" s="36" t="s">
        <v>179</v>
      </c>
      <c r="F48" s="37" t="s">
        <v>69</v>
      </c>
      <c r="G48" s="37" t="s">
        <v>180</v>
      </c>
      <c r="H48" s="37" t="s">
        <v>71</v>
      </c>
      <c r="I48" s="35"/>
      <c r="J48" s="35"/>
    </row>
    <row r="49">
      <c r="A49" s="32" t="s">
        <v>181</v>
      </c>
      <c r="B49" s="32" t="s">
        <v>109</v>
      </c>
      <c r="C49" s="36" t="s">
        <v>26</v>
      </c>
      <c r="D49" s="36" t="s">
        <v>95</v>
      </c>
      <c r="E49" s="36" t="s">
        <v>33</v>
      </c>
      <c r="F49" s="37" t="s">
        <v>170</v>
      </c>
      <c r="G49" s="37" t="s">
        <v>171</v>
      </c>
      <c r="H49" s="34" t="s">
        <v>33</v>
      </c>
      <c r="I49" s="35"/>
      <c r="J49" s="35"/>
    </row>
    <row r="50">
      <c r="A50" s="32" t="s">
        <v>182</v>
      </c>
      <c r="B50" s="32" t="s">
        <v>62</v>
      </c>
      <c r="C50" s="36" t="s">
        <v>26</v>
      </c>
      <c r="D50" s="36" t="s">
        <v>127</v>
      </c>
      <c r="E50" s="36" t="s">
        <v>66</v>
      </c>
      <c r="F50" s="37" t="s">
        <v>183</v>
      </c>
      <c r="G50" s="37" t="s">
        <v>184</v>
      </c>
      <c r="H50" s="37" t="s">
        <v>185</v>
      </c>
      <c r="I50" s="35"/>
      <c r="J50" s="35"/>
    </row>
    <row r="51">
      <c r="A51" s="32" t="s">
        <v>186</v>
      </c>
      <c r="B51" s="32" t="s">
        <v>62</v>
      </c>
      <c r="C51" s="36" t="s">
        <v>26</v>
      </c>
      <c r="D51" s="36" t="s">
        <v>187</v>
      </c>
      <c r="E51" s="36" t="s">
        <v>188</v>
      </c>
      <c r="F51" s="37" t="s">
        <v>189</v>
      </c>
      <c r="G51" s="37" t="s">
        <v>190</v>
      </c>
      <c r="H51" s="37" t="s">
        <v>191</v>
      </c>
      <c r="I51" s="35"/>
      <c r="J51" s="35"/>
    </row>
    <row r="52">
      <c r="A52" s="32" t="s">
        <v>192</v>
      </c>
      <c r="B52" s="32" t="s">
        <v>62</v>
      </c>
      <c r="C52" s="36" t="s">
        <v>26</v>
      </c>
      <c r="D52" s="36" t="s">
        <v>33</v>
      </c>
      <c r="E52" s="36" t="s">
        <v>33</v>
      </c>
      <c r="F52" s="37" t="s">
        <v>193</v>
      </c>
      <c r="G52" s="34" t="s">
        <v>33</v>
      </c>
      <c r="H52" s="34" t="s">
        <v>33</v>
      </c>
      <c r="I52" s="35"/>
      <c r="J52" s="35"/>
    </row>
    <row r="53">
      <c r="A53" s="32" t="s">
        <v>194</v>
      </c>
      <c r="B53" s="32" t="s">
        <v>62</v>
      </c>
      <c r="C53" s="36" t="s">
        <v>26</v>
      </c>
      <c r="D53" s="36" t="s">
        <v>33</v>
      </c>
      <c r="E53" s="36" t="s">
        <v>33</v>
      </c>
      <c r="F53" s="37" t="s">
        <v>83</v>
      </c>
      <c r="G53" s="34" t="s">
        <v>33</v>
      </c>
      <c r="H53" s="34" t="s">
        <v>33</v>
      </c>
      <c r="I53" s="35"/>
      <c r="J53" s="35"/>
    </row>
    <row r="54">
      <c r="A54" s="32" t="s">
        <v>195</v>
      </c>
      <c r="B54" s="32" t="s">
        <v>62</v>
      </c>
      <c r="C54" s="36" t="s">
        <v>26</v>
      </c>
      <c r="D54" s="36" t="s">
        <v>165</v>
      </c>
      <c r="E54" s="36" t="s">
        <v>105</v>
      </c>
      <c r="F54" s="37" t="s">
        <v>124</v>
      </c>
      <c r="G54" s="37" t="s">
        <v>125</v>
      </c>
      <c r="H54" s="37" t="s">
        <v>30</v>
      </c>
      <c r="I54" s="35"/>
      <c r="J54" s="35"/>
    </row>
    <row r="55">
      <c r="A55" s="32" t="s">
        <v>196</v>
      </c>
      <c r="B55" s="32" t="s">
        <v>62</v>
      </c>
      <c r="C55" s="36" t="s">
        <v>26</v>
      </c>
      <c r="D55" s="36" t="s">
        <v>187</v>
      </c>
      <c r="E55" s="36" t="s">
        <v>33</v>
      </c>
      <c r="F55" s="37" t="s">
        <v>69</v>
      </c>
      <c r="G55" s="37" t="s">
        <v>197</v>
      </c>
      <c r="H55" s="34" t="s">
        <v>33</v>
      </c>
      <c r="I55" s="35"/>
      <c r="J55" s="35"/>
    </row>
    <row r="56">
      <c r="A56" s="32" t="s">
        <v>198</v>
      </c>
      <c r="B56" s="32" t="s">
        <v>62</v>
      </c>
      <c r="C56" s="36" t="s">
        <v>26</v>
      </c>
      <c r="D56" s="36" t="s">
        <v>33</v>
      </c>
      <c r="E56" s="36" t="s">
        <v>199</v>
      </c>
      <c r="F56" s="37" t="s">
        <v>35</v>
      </c>
      <c r="G56" s="34" t="s">
        <v>33</v>
      </c>
      <c r="H56" s="37" t="s">
        <v>36</v>
      </c>
      <c r="I56" s="35"/>
      <c r="J56" s="35"/>
    </row>
    <row r="57">
      <c r="A57" s="32" t="s">
        <v>200</v>
      </c>
      <c r="B57" s="32" t="s">
        <v>62</v>
      </c>
      <c r="C57" s="36" t="s">
        <v>26</v>
      </c>
      <c r="D57" s="36" t="s">
        <v>119</v>
      </c>
      <c r="E57" s="36" t="s">
        <v>201</v>
      </c>
      <c r="F57" s="37" t="s">
        <v>202</v>
      </c>
      <c r="G57" s="37" t="s">
        <v>203</v>
      </c>
      <c r="H57" s="37" t="s">
        <v>204</v>
      </c>
      <c r="I57" s="35"/>
      <c r="J57" s="35"/>
    </row>
    <row r="58">
      <c r="A58" s="32" t="s">
        <v>205</v>
      </c>
      <c r="B58" s="32" t="s">
        <v>62</v>
      </c>
      <c r="C58" s="36" t="s">
        <v>26</v>
      </c>
      <c r="D58" s="36" t="s">
        <v>206</v>
      </c>
      <c r="E58" s="36" t="s">
        <v>178</v>
      </c>
      <c r="F58" s="37" t="s">
        <v>207</v>
      </c>
      <c r="G58" s="37" t="s">
        <v>47</v>
      </c>
      <c r="H58" s="37" t="s">
        <v>208</v>
      </c>
      <c r="I58" s="35"/>
      <c r="J58" s="35"/>
    </row>
    <row r="59">
      <c r="A59" s="32" t="s">
        <v>209</v>
      </c>
      <c r="B59" s="32" t="s">
        <v>210</v>
      </c>
      <c r="C59" s="36" t="s">
        <v>178</v>
      </c>
      <c r="D59" s="36" t="s">
        <v>33</v>
      </c>
      <c r="E59" s="36" t="s">
        <v>33</v>
      </c>
      <c r="F59" s="37" t="s">
        <v>102</v>
      </c>
      <c r="G59" s="34" t="s">
        <v>33</v>
      </c>
      <c r="H59" s="34" t="s">
        <v>33</v>
      </c>
      <c r="I59" s="35"/>
      <c r="J59" s="35"/>
    </row>
    <row r="60">
      <c r="A60" s="32" t="s">
        <v>211</v>
      </c>
      <c r="B60" s="32" t="s">
        <v>212</v>
      </c>
      <c r="C60" s="36" t="s">
        <v>178</v>
      </c>
      <c r="D60" s="36" t="s">
        <v>68</v>
      </c>
      <c r="E60" s="36" t="s">
        <v>213</v>
      </c>
      <c r="F60" s="37" t="s">
        <v>97</v>
      </c>
      <c r="G60" s="37" t="s">
        <v>98</v>
      </c>
      <c r="H60" s="37" t="s">
        <v>99</v>
      </c>
      <c r="I60" s="35"/>
      <c r="J60" s="35"/>
    </row>
    <row r="61">
      <c r="A61" s="32" t="s">
        <v>214</v>
      </c>
      <c r="B61" s="32" t="s">
        <v>212</v>
      </c>
      <c r="C61" s="36" t="s">
        <v>178</v>
      </c>
      <c r="D61" s="36" t="s">
        <v>105</v>
      </c>
      <c r="E61" s="36" t="s">
        <v>33</v>
      </c>
      <c r="F61" s="37" t="s">
        <v>215</v>
      </c>
      <c r="G61" s="37" t="s">
        <v>216</v>
      </c>
      <c r="H61" s="34" t="s">
        <v>33</v>
      </c>
      <c r="I61" s="35"/>
      <c r="J61" s="35"/>
    </row>
    <row r="62">
      <c r="A62" s="32" t="s">
        <v>217</v>
      </c>
      <c r="B62" s="32" t="s">
        <v>151</v>
      </c>
      <c r="C62" s="36" t="s">
        <v>178</v>
      </c>
      <c r="D62" s="36" t="s">
        <v>218</v>
      </c>
      <c r="E62" s="36" t="s">
        <v>128</v>
      </c>
      <c r="F62" s="37" t="s">
        <v>219</v>
      </c>
      <c r="G62" s="37" t="s">
        <v>220</v>
      </c>
      <c r="H62" s="37" t="s">
        <v>221</v>
      </c>
      <c r="I62" s="35"/>
      <c r="J62" s="35"/>
    </row>
    <row r="63">
      <c r="A63" s="32" t="s">
        <v>222</v>
      </c>
      <c r="B63" s="32" t="s">
        <v>24</v>
      </c>
      <c r="C63" s="36" t="s">
        <v>178</v>
      </c>
      <c r="D63" s="36" t="s">
        <v>223</v>
      </c>
      <c r="E63" s="36" t="s">
        <v>33</v>
      </c>
      <c r="F63" s="37" t="s">
        <v>78</v>
      </c>
      <c r="G63" s="37" t="s">
        <v>224</v>
      </c>
      <c r="H63" s="34" t="s">
        <v>33</v>
      </c>
      <c r="I63" s="35"/>
      <c r="J63" s="35"/>
    </row>
    <row r="64">
      <c r="A64" s="32" t="s">
        <v>225</v>
      </c>
      <c r="B64" s="32" t="s">
        <v>24</v>
      </c>
      <c r="C64" s="36" t="s">
        <v>178</v>
      </c>
      <c r="D64" s="36" t="s">
        <v>128</v>
      </c>
      <c r="E64" s="36" t="s">
        <v>226</v>
      </c>
      <c r="F64" s="37" t="s">
        <v>227</v>
      </c>
      <c r="G64" s="37" t="s">
        <v>228</v>
      </c>
      <c r="H64" s="37" t="s">
        <v>229</v>
      </c>
      <c r="I64" s="35"/>
      <c r="J64" s="35"/>
    </row>
    <row r="65">
      <c r="A65" s="32" t="s">
        <v>230</v>
      </c>
      <c r="B65" s="32" t="s">
        <v>154</v>
      </c>
      <c r="C65" s="36" t="s">
        <v>178</v>
      </c>
      <c r="D65" s="36" t="s">
        <v>157</v>
      </c>
      <c r="E65" s="36" t="s">
        <v>33</v>
      </c>
      <c r="F65" s="37" t="s">
        <v>134</v>
      </c>
      <c r="G65" s="37" t="s">
        <v>135</v>
      </c>
      <c r="H65" s="34" t="s">
        <v>33</v>
      </c>
      <c r="I65" s="35"/>
      <c r="J65" s="35"/>
    </row>
    <row r="66">
      <c r="A66" s="32" t="s">
        <v>231</v>
      </c>
      <c r="B66" s="32" t="s">
        <v>73</v>
      </c>
      <c r="C66" s="36" t="s">
        <v>178</v>
      </c>
      <c r="D66" s="36" t="s">
        <v>232</v>
      </c>
      <c r="E66" s="36" t="s">
        <v>128</v>
      </c>
      <c r="F66" s="37" t="s">
        <v>233</v>
      </c>
      <c r="G66" s="37" t="s">
        <v>234</v>
      </c>
      <c r="H66" s="37" t="s">
        <v>235</v>
      </c>
      <c r="I66" s="35"/>
      <c r="J66" s="35"/>
    </row>
    <row r="67">
      <c r="A67" s="32" t="s">
        <v>236</v>
      </c>
      <c r="B67" s="32" t="s">
        <v>32</v>
      </c>
      <c r="C67" s="36" t="s">
        <v>178</v>
      </c>
      <c r="D67" s="36" t="s">
        <v>152</v>
      </c>
      <c r="E67" s="36" t="s">
        <v>34</v>
      </c>
      <c r="F67" s="37" t="s">
        <v>69</v>
      </c>
      <c r="G67" s="37" t="s">
        <v>70</v>
      </c>
      <c r="H67" s="37" t="s">
        <v>71</v>
      </c>
      <c r="I67" s="35"/>
      <c r="J67" s="35"/>
    </row>
    <row r="68">
      <c r="A68" s="32" t="s">
        <v>237</v>
      </c>
      <c r="B68" s="32" t="s">
        <v>32</v>
      </c>
      <c r="C68" s="36" t="s">
        <v>178</v>
      </c>
      <c r="D68" s="36" t="s">
        <v>187</v>
      </c>
      <c r="E68" s="36" t="s">
        <v>122</v>
      </c>
      <c r="F68" s="37" t="s">
        <v>28</v>
      </c>
      <c r="G68" s="37" t="s">
        <v>29</v>
      </c>
      <c r="H68" s="37" t="s">
        <v>238</v>
      </c>
      <c r="I68" s="35"/>
      <c r="J68" s="35"/>
    </row>
    <row r="69">
      <c r="A69" s="32" t="s">
        <v>239</v>
      </c>
      <c r="B69" s="32" t="s">
        <v>32</v>
      </c>
      <c r="C69" s="36" t="s">
        <v>178</v>
      </c>
      <c r="D69" s="36" t="s">
        <v>240</v>
      </c>
      <c r="E69" s="36" t="s">
        <v>157</v>
      </c>
      <c r="F69" s="37" t="s">
        <v>202</v>
      </c>
      <c r="G69" s="37" t="s">
        <v>241</v>
      </c>
      <c r="H69" s="37" t="s">
        <v>242</v>
      </c>
      <c r="I69" s="35"/>
      <c r="J69" s="35"/>
    </row>
    <row r="70">
      <c r="A70" s="32" t="s">
        <v>243</v>
      </c>
      <c r="B70" s="32" t="s">
        <v>45</v>
      </c>
      <c r="C70" s="36" t="s">
        <v>178</v>
      </c>
      <c r="D70" s="36" t="s">
        <v>33</v>
      </c>
      <c r="E70" s="36" t="s">
        <v>33</v>
      </c>
      <c r="F70" s="37" t="s">
        <v>166</v>
      </c>
      <c r="G70" s="34" t="s">
        <v>33</v>
      </c>
      <c r="H70" s="34" t="s">
        <v>33</v>
      </c>
      <c r="I70" s="35"/>
      <c r="J70" s="35"/>
    </row>
    <row r="71">
      <c r="A71" s="32" t="s">
        <v>244</v>
      </c>
      <c r="B71" s="32" t="s">
        <v>45</v>
      </c>
      <c r="C71" s="36" t="s">
        <v>178</v>
      </c>
      <c r="D71" s="36" t="s">
        <v>245</v>
      </c>
      <c r="E71" s="36" t="s">
        <v>33</v>
      </c>
      <c r="F71" s="37" t="s">
        <v>170</v>
      </c>
      <c r="G71" s="37" t="s">
        <v>246</v>
      </c>
      <c r="H71" s="34" t="s">
        <v>33</v>
      </c>
      <c r="I71" s="35"/>
      <c r="J71" s="35"/>
    </row>
    <row r="72">
      <c r="A72" s="32" t="s">
        <v>247</v>
      </c>
      <c r="B72" s="32" t="s">
        <v>109</v>
      </c>
      <c r="C72" s="36" t="s">
        <v>178</v>
      </c>
      <c r="D72" s="36" t="s">
        <v>157</v>
      </c>
      <c r="E72" s="36" t="s">
        <v>33</v>
      </c>
      <c r="F72" s="37" t="s">
        <v>134</v>
      </c>
      <c r="G72" s="37" t="s">
        <v>135</v>
      </c>
      <c r="H72" s="34" t="s">
        <v>33</v>
      </c>
      <c r="I72" s="35"/>
      <c r="J72" s="35"/>
    </row>
    <row r="73">
      <c r="A73" s="32" t="s">
        <v>248</v>
      </c>
      <c r="B73" s="32" t="s">
        <v>109</v>
      </c>
      <c r="C73" s="36" t="s">
        <v>178</v>
      </c>
      <c r="D73" s="36" t="s">
        <v>33</v>
      </c>
      <c r="E73" s="36" t="s">
        <v>105</v>
      </c>
      <c r="F73" s="37" t="s">
        <v>219</v>
      </c>
      <c r="G73" s="34" t="s">
        <v>33</v>
      </c>
      <c r="H73" s="37" t="s">
        <v>221</v>
      </c>
      <c r="I73" s="35"/>
      <c r="J73" s="35"/>
    </row>
    <row r="74">
      <c r="A74" s="32" t="s">
        <v>249</v>
      </c>
      <c r="B74" s="32" t="s">
        <v>62</v>
      </c>
      <c r="C74" s="36" t="s">
        <v>178</v>
      </c>
      <c r="D74" s="36" t="s">
        <v>33</v>
      </c>
      <c r="E74" s="36" t="s">
        <v>33</v>
      </c>
      <c r="F74" s="37" t="s">
        <v>250</v>
      </c>
      <c r="G74" s="34" t="s">
        <v>33</v>
      </c>
      <c r="H74" s="34" t="s">
        <v>33</v>
      </c>
      <c r="I74" s="35"/>
      <c r="J74" s="35"/>
    </row>
    <row r="75">
      <c r="A75" s="32" t="s">
        <v>251</v>
      </c>
      <c r="B75" s="32" t="s">
        <v>62</v>
      </c>
      <c r="C75" s="36" t="s">
        <v>178</v>
      </c>
      <c r="D75" s="36" t="s">
        <v>127</v>
      </c>
      <c r="E75" s="36" t="s">
        <v>46</v>
      </c>
      <c r="F75" s="37" t="s">
        <v>69</v>
      </c>
      <c r="G75" s="37" t="s">
        <v>70</v>
      </c>
      <c r="H75" s="37" t="s">
        <v>71</v>
      </c>
      <c r="I75" s="35"/>
      <c r="J75" s="35"/>
    </row>
    <row r="76">
      <c r="A76" s="32" t="s">
        <v>252</v>
      </c>
      <c r="B76" s="32" t="s">
        <v>62</v>
      </c>
      <c r="C76" s="36" t="s">
        <v>178</v>
      </c>
      <c r="D76" s="36" t="s">
        <v>240</v>
      </c>
      <c r="E76" s="36" t="s">
        <v>33</v>
      </c>
      <c r="F76" s="37" t="s">
        <v>134</v>
      </c>
      <c r="G76" s="37" t="s">
        <v>135</v>
      </c>
      <c r="H76" s="34" t="s">
        <v>33</v>
      </c>
      <c r="I76" s="35"/>
      <c r="J76" s="35"/>
    </row>
    <row r="77">
      <c r="A77" s="32" t="s">
        <v>253</v>
      </c>
      <c r="B77" s="32" t="s">
        <v>62</v>
      </c>
      <c r="C77" s="36" t="s">
        <v>178</v>
      </c>
      <c r="D77" s="36" t="s">
        <v>254</v>
      </c>
      <c r="E77" s="36" t="s">
        <v>255</v>
      </c>
      <c r="F77" s="37" t="s">
        <v>219</v>
      </c>
      <c r="G77" s="37" t="s">
        <v>256</v>
      </c>
      <c r="H77" s="37" t="s">
        <v>221</v>
      </c>
      <c r="I77" s="35"/>
      <c r="J77" s="35"/>
    </row>
    <row r="78">
      <c r="A78" s="32" t="s">
        <v>257</v>
      </c>
      <c r="B78" s="32" t="s">
        <v>62</v>
      </c>
      <c r="C78" s="36" t="s">
        <v>178</v>
      </c>
      <c r="D78" s="36" t="s">
        <v>255</v>
      </c>
      <c r="E78" s="36" t="s">
        <v>122</v>
      </c>
      <c r="F78" s="37" t="s">
        <v>69</v>
      </c>
      <c r="G78" s="37" t="s">
        <v>70</v>
      </c>
      <c r="H78" s="37" t="s">
        <v>71</v>
      </c>
      <c r="I78" s="35"/>
      <c r="J78" s="35"/>
    </row>
    <row r="79">
      <c r="A79" s="32" t="s">
        <v>258</v>
      </c>
      <c r="B79" s="32" t="s">
        <v>62</v>
      </c>
      <c r="C79" s="36" t="s">
        <v>178</v>
      </c>
      <c r="D79" s="36" t="s">
        <v>105</v>
      </c>
      <c r="E79" s="36" t="s">
        <v>165</v>
      </c>
      <c r="F79" s="37" t="s">
        <v>69</v>
      </c>
      <c r="G79" s="37" t="s">
        <v>70</v>
      </c>
      <c r="H79" s="37" t="s">
        <v>71</v>
      </c>
      <c r="I79" s="35"/>
      <c r="J79" s="35"/>
    </row>
    <row r="80">
      <c r="A80" s="32" t="s">
        <v>259</v>
      </c>
      <c r="B80" s="32" t="s">
        <v>62</v>
      </c>
      <c r="C80" s="36" t="s">
        <v>178</v>
      </c>
      <c r="D80" s="36" t="s">
        <v>87</v>
      </c>
      <c r="E80" s="36" t="s">
        <v>68</v>
      </c>
      <c r="F80" s="37" t="s">
        <v>219</v>
      </c>
      <c r="G80" s="37" t="s">
        <v>220</v>
      </c>
      <c r="H80" s="37" t="s">
        <v>221</v>
      </c>
      <c r="I80" s="35"/>
      <c r="J80" s="35"/>
    </row>
    <row r="81">
      <c r="A81" s="32" t="s">
        <v>260</v>
      </c>
      <c r="B81" s="32" t="s">
        <v>212</v>
      </c>
      <c r="C81" s="36" t="s">
        <v>114</v>
      </c>
      <c r="D81" s="36" t="s">
        <v>187</v>
      </c>
      <c r="E81" s="36" t="s">
        <v>201</v>
      </c>
      <c r="F81" s="37" t="s">
        <v>69</v>
      </c>
      <c r="G81" s="37" t="s">
        <v>70</v>
      </c>
      <c r="H81" s="37" t="s">
        <v>71</v>
      </c>
      <c r="I81" s="35"/>
      <c r="J81" s="35"/>
    </row>
    <row r="82">
      <c r="A82" s="32" t="s">
        <v>261</v>
      </c>
      <c r="B82" s="32" t="s">
        <v>24</v>
      </c>
      <c r="C82" s="36" t="s">
        <v>114</v>
      </c>
      <c r="D82" s="36" t="s">
        <v>91</v>
      </c>
      <c r="E82" s="36" t="s">
        <v>33</v>
      </c>
      <c r="F82" s="37" t="s">
        <v>262</v>
      </c>
      <c r="G82" s="37" t="s">
        <v>263</v>
      </c>
      <c r="H82" s="34" t="s">
        <v>33</v>
      </c>
      <c r="I82" s="35"/>
      <c r="J82" s="35"/>
    </row>
    <row r="83">
      <c r="A83" s="32" t="s">
        <v>264</v>
      </c>
      <c r="B83" s="32" t="s">
        <v>24</v>
      </c>
      <c r="C83" s="36" t="s">
        <v>114</v>
      </c>
      <c r="D83" s="36" t="s">
        <v>33</v>
      </c>
      <c r="E83" s="36" t="s">
        <v>33</v>
      </c>
      <c r="F83" s="37" t="s">
        <v>102</v>
      </c>
      <c r="G83" s="34" t="s">
        <v>33</v>
      </c>
      <c r="H83" s="34" t="s">
        <v>33</v>
      </c>
      <c r="I83" s="35"/>
      <c r="J83" s="35"/>
    </row>
    <row r="84">
      <c r="A84" s="32" t="s">
        <v>265</v>
      </c>
      <c r="B84" s="32" t="s">
        <v>154</v>
      </c>
      <c r="C84" s="36" t="s">
        <v>114</v>
      </c>
      <c r="D84" s="36" t="s">
        <v>266</v>
      </c>
      <c r="E84" s="36" t="s">
        <v>95</v>
      </c>
      <c r="F84" s="37" t="s">
        <v>166</v>
      </c>
      <c r="G84" s="37" t="s">
        <v>267</v>
      </c>
      <c r="H84" s="37" t="s">
        <v>168</v>
      </c>
      <c r="I84" s="35"/>
      <c r="J84" s="35"/>
    </row>
    <row r="85">
      <c r="A85" s="32" t="s">
        <v>268</v>
      </c>
      <c r="B85" s="32" t="s">
        <v>32</v>
      </c>
      <c r="C85" s="36" t="s">
        <v>114</v>
      </c>
      <c r="D85" s="36" t="s">
        <v>199</v>
      </c>
      <c r="E85" s="36" t="s">
        <v>33</v>
      </c>
      <c r="F85" s="37" t="s">
        <v>262</v>
      </c>
      <c r="G85" s="37" t="s">
        <v>263</v>
      </c>
      <c r="H85" s="34" t="s">
        <v>33</v>
      </c>
      <c r="I85" s="35"/>
      <c r="J85" s="35"/>
    </row>
    <row r="86">
      <c r="A86" s="32" t="s">
        <v>269</v>
      </c>
      <c r="B86" s="32" t="s">
        <v>38</v>
      </c>
      <c r="C86" s="36" t="s">
        <v>114</v>
      </c>
      <c r="D86" s="36" t="s">
        <v>152</v>
      </c>
      <c r="E86" s="36" t="s">
        <v>33</v>
      </c>
      <c r="F86" s="37" t="s">
        <v>270</v>
      </c>
      <c r="G86" s="37" t="s">
        <v>271</v>
      </c>
      <c r="H86" s="34" t="s">
        <v>33</v>
      </c>
      <c r="I86" s="35"/>
      <c r="J86" s="35"/>
    </row>
    <row r="87">
      <c r="A87" s="32" t="s">
        <v>272</v>
      </c>
      <c r="B87" s="32" t="s">
        <v>45</v>
      </c>
      <c r="C87" s="36" t="s">
        <v>114</v>
      </c>
      <c r="D87" s="36" t="s">
        <v>33</v>
      </c>
      <c r="E87" s="36" t="s">
        <v>33</v>
      </c>
      <c r="F87" s="37" t="s">
        <v>273</v>
      </c>
      <c r="G87" s="34" t="s">
        <v>33</v>
      </c>
      <c r="H87" s="34" t="s">
        <v>33</v>
      </c>
      <c r="I87" s="35"/>
      <c r="J87" s="35"/>
    </row>
    <row r="88">
      <c r="A88" s="32" t="s">
        <v>274</v>
      </c>
      <c r="B88" s="32" t="s">
        <v>45</v>
      </c>
      <c r="C88" s="36" t="s">
        <v>114</v>
      </c>
      <c r="D88" s="36" t="s">
        <v>26</v>
      </c>
      <c r="E88" s="36" t="s">
        <v>49</v>
      </c>
      <c r="F88" s="37" t="s">
        <v>215</v>
      </c>
      <c r="G88" s="37" t="s">
        <v>216</v>
      </c>
      <c r="H88" s="37" t="s">
        <v>275</v>
      </c>
      <c r="I88" s="35"/>
      <c r="J88" s="35"/>
    </row>
    <row r="89">
      <c r="A89" s="32" t="s">
        <v>276</v>
      </c>
      <c r="B89" s="32" t="s">
        <v>57</v>
      </c>
      <c r="C89" s="36" t="s">
        <v>114</v>
      </c>
      <c r="D89" s="36" t="s">
        <v>187</v>
      </c>
      <c r="E89" s="36" t="s">
        <v>25</v>
      </c>
      <c r="F89" s="37" t="s">
        <v>202</v>
      </c>
      <c r="G89" s="37" t="s">
        <v>277</v>
      </c>
      <c r="H89" s="37" t="s">
        <v>278</v>
      </c>
      <c r="I89" s="35"/>
      <c r="J89" s="35"/>
    </row>
    <row r="90">
      <c r="A90" s="32" t="s">
        <v>279</v>
      </c>
      <c r="B90" s="32" t="s">
        <v>57</v>
      </c>
      <c r="C90" s="36" t="s">
        <v>114</v>
      </c>
      <c r="D90" s="36" t="s">
        <v>63</v>
      </c>
      <c r="E90" s="36" t="s">
        <v>33</v>
      </c>
      <c r="F90" s="37" t="s">
        <v>280</v>
      </c>
      <c r="G90" s="37" t="s">
        <v>281</v>
      </c>
      <c r="H90" s="34" t="s">
        <v>33</v>
      </c>
      <c r="I90" s="35"/>
      <c r="J90" s="35"/>
    </row>
    <row r="91">
      <c r="A91" s="32" t="s">
        <v>282</v>
      </c>
      <c r="B91" s="32" t="s">
        <v>109</v>
      </c>
      <c r="C91" s="36" t="s">
        <v>114</v>
      </c>
      <c r="D91" s="36" t="s">
        <v>283</v>
      </c>
      <c r="E91" s="36" t="s">
        <v>284</v>
      </c>
      <c r="F91" s="37" t="s">
        <v>250</v>
      </c>
      <c r="G91" s="37" t="s">
        <v>117</v>
      </c>
      <c r="H91" s="37" t="s">
        <v>285</v>
      </c>
      <c r="I91" s="35"/>
      <c r="J91" s="35"/>
    </row>
    <row r="92">
      <c r="A92" s="32" t="s">
        <v>286</v>
      </c>
      <c r="B92" s="32" t="s">
        <v>109</v>
      </c>
      <c r="C92" s="36" t="s">
        <v>114</v>
      </c>
      <c r="D92" s="36" t="s">
        <v>51</v>
      </c>
      <c r="E92" s="36" t="s">
        <v>33</v>
      </c>
      <c r="F92" s="37" t="s">
        <v>170</v>
      </c>
      <c r="G92" s="37" t="s">
        <v>171</v>
      </c>
      <c r="H92" s="34" t="s">
        <v>33</v>
      </c>
      <c r="I92" s="35"/>
      <c r="J92" s="35"/>
    </row>
    <row r="93">
      <c r="A93" s="32" t="s">
        <v>287</v>
      </c>
      <c r="B93" s="32" t="s">
        <v>109</v>
      </c>
      <c r="C93" s="36" t="s">
        <v>114</v>
      </c>
      <c r="D93" s="36" t="s">
        <v>66</v>
      </c>
      <c r="E93" s="36" t="s">
        <v>288</v>
      </c>
      <c r="F93" s="37" t="s">
        <v>215</v>
      </c>
      <c r="G93" s="37" t="s">
        <v>216</v>
      </c>
      <c r="H93" s="37" t="s">
        <v>275</v>
      </c>
      <c r="I93" s="35"/>
      <c r="J93" s="35"/>
    </row>
    <row r="94">
      <c r="A94" s="32" t="s">
        <v>289</v>
      </c>
      <c r="B94" s="32" t="s">
        <v>62</v>
      </c>
      <c r="C94" s="36" t="s">
        <v>114</v>
      </c>
      <c r="D94" s="36" t="s">
        <v>33</v>
      </c>
      <c r="E94" s="36" t="s">
        <v>33</v>
      </c>
      <c r="F94" s="37" t="s">
        <v>83</v>
      </c>
      <c r="G94" s="34" t="s">
        <v>33</v>
      </c>
      <c r="H94" s="34" t="s">
        <v>33</v>
      </c>
      <c r="I94" s="35"/>
      <c r="J94" s="35"/>
    </row>
    <row r="95">
      <c r="A95" s="32" t="s">
        <v>290</v>
      </c>
      <c r="B95" s="32" t="s">
        <v>62</v>
      </c>
      <c r="C95" s="36" t="s">
        <v>114</v>
      </c>
      <c r="D95" s="36" t="s">
        <v>33</v>
      </c>
      <c r="E95" s="36" t="s">
        <v>33</v>
      </c>
      <c r="F95" s="37" t="s">
        <v>102</v>
      </c>
      <c r="G95" s="34" t="s">
        <v>33</v>
      </c>
      <c r="H95" s="34" t="s">
        <v>33</v>
      </c>
      <c r="I95" s="35"/>
      <c r="J95" s="35"/>
    </row>
    <row r="96">
      <c r="A96" s="32" t="s">
        <v>291</v>
      </c>
      <c r="B96" s="32" t="s">
        <v>62</v>
      </c>
      <c r="C96" s="36" t="s">
        <v>114</v>
      </c>
      <c r="D96" s="36" t="s">
        <v>58</v>
      </c>
      <c r="E96" s="36" t="s">
        <v>33</v>
      </c>
      <c r="F96" s="37" t="s">
        <v>162</v>
      </c>
      <c r="G96" s="37" t="s">
        <v>163</v>
      </c>
      <c r="H96" s="34" t="s">
        <v>33</v>
      </c>
      <c r="I96" s="35"/>
      <c r="J96" s="35"/>
    </row>
    <row r="97">
      <c r="A97" s="32" t="s">
        <v>292</v>
      </c>
      <c r="B97" s="32" t="s">
        <v>62</v>
      </c>
      <c r="C97" s="36" t="s">
        <v>114</v>
      </c>
      <c r="D97" s="36" t="s">
        <v>178</v>
      </c>
      <c r="E97" s="36" t="s">
        <v>63</v>
      </c>
      <c r="F97" s="37" t="s">
        <v>215</v>
      </c>
      <c r="G97" s="37" t="s">
        <v>216</v>
      </c>
      <c r="H97" s="37" t="s">
        <v>275</v>
      </c>
      <c r="I97" s="35"/>
      <c r="J97" s="35"/>
    </row>
    <row r="98">
      <c r="A98" s="32" t="s">
        <v>293</v>
      </c>
      <c r="B98" s="32" t="s">
        <v>73</v>
      </c>
      <c r="C98" s="36" t="s">
        <v>105</v>
      </c>
      <c r="D98" s="36" t="s">
        <v>74</v>
      </c>
      <c r="E98" s="36" t="s">
        <v>33</v>
      </c>
      <c r="F98" s="37" t="s">
        <v>262</v>
      </c>
      <c r="G98" s="37" t="s">
        <v>263</v>
      </c>
      <c r="H98" s="34" t="s">
        <v>33</v>
      </c>
      <c r="I98" s="35"/>
      <c r="J98" s="35"/>
    </row>
    <row r="99">
      <c r="A99" s="32" t="s">
        <v>294</v>
      </c>
      <c r="B99" s="32" t="s">
        <v>32</v>
      </c>
      <c r="C99" s="36" t="s">
        <v>105</v>
      </c>
      <c r="D99" s="36" t="s">
        <v>119</v>
      </c>
      <c r="E99" s="36" t="s">
        <v>33</v>
      </c>
      <c r="F99" s="37" t="s">
        <v>295</v>
      </c>
      <c r="G99" s="37" t="s">
        <v>296</v>
      </c>
      <c r="H99" s="34" t="s">
        <v>33</v>
      </c>
      <c r="I99" s="35"/>
      <c r="J99" s="35"/>
    </row>
    <row r="100">
      <c r="A100" s="32" t="s">
        <v>297</v>
      </c>
      <c r="B100" s="32" t="s">
        <v>38</v>
      </c>
      <c r="C100" s="36" t="s">
        <v>105</v>
      </c>
      <c r="D100" s="36" t="s">
        <v>68</v>
      </c>
      <c r="E100" s="36" t="s">
        <v>26</v>
      </c>
      <c r="F100" s="37" t="s">
        <v>298</v>
      </c>
      <c r="G100" s="37" t="s">
        <v>299</v>
      </c>
      <c r="H100" s="37" t="s">
        <v>300</v>
      </c>
      <c r="I100" s="35"/>
      <c r="J100" s="35"/>
    </row>
    <row r="101">
      <c r="A101" s="32" t="s">
        <v>301</v>
      </c>
      <c r="B101" s="32" t="s">
        <v>38</v>
      </c>
      <c r="C101" s="36" t="s">
        <v>105</v>
      </c>
      <c r="D101" s="36" t="s">
        <v>302</v>
      </c>
      <c r="E101" s="36" t="s">
        <v>101</v>
      </c>
      <c r="F101" s="37" t="s">
        <v>170</v>
      </c>
      <c r="G101" s="37" t="s">
        <v>135</v>
      </c>
      <c r="H101" s="37" t="s">
        <v>303</v>
      </c>
      <c r="I101" s="35"/>
      <c r="J101" s="35"/>
    </row>
    <row r="102">
      <c r="A102" s="32" t="s">
        <v>304</v>
      </c>
      <c r="B102" s="32" t="s">
        <v>38</v>
      </c>
      <c r="C102" s="36" t="s">
        <v>105</v>
      </c>
      <c r="D102" s="36" t="s">
        <v>34</v>
      </c>
      <c r="E102" s="36" t="s">
        <v>33</v>
      </c>
      <c r="F102" s="37" t="s">
        <v>305</v>
      </c>
      <c r="G102" s="37" t="s">
        <v>306</v>
      </c>
      <c r="H102" s="34" t="s">
        <v>33</v>
      </c>
      <c r="I102" s="35"/>
      <c r="J102" s="35"/>
    </row>
    <row r="103">
      <c r="A103" s="32" t="s">
        <v>307</v>
      </c>
      <c r="B103" s="32" t="s">
        <v>45</v>
      </c>
      <c r="C103" s="36" t="s">
        <v>105</v>
      </c>
      <c r="D103" s="36" t="s">
        <v>34</v>
      </c>
      <c r="E103" s="36" t="s">
        <v>201</v>
      </c>
      <c r="F103" s="37" t="s">
        <v>69</v>
      </c>
      <c r="G103" s="37" t="s">
        <v>70</v>
      </c>
      <c r="H103" s="37" t="s">
        <v>71</v>
      </c>
      <c r="I103" s="35"/>
      <c r="J103" s="35"/>
    </row>
    <row r="104">
      <c r="A104" s="32" t="s">
        <v>308</v>
      </c>
      <c r="B104" s="32" t="s">
        <v>57</v>
      </c>
      <c r="C104" s="36" t="s">
        <v>105</v>
      </c>
      <c r="D104" s="36" t="s">
        <v>283</v>
      </c>
      <c r="E104" s="36" t="s">
        <v>49</v>
      </c>
      <c r="F104" s="37" t="s">
        <v>309</v>
      </c>
      <c r="G104" s="37" t="s">
        <v>310</v>
      </c>
      <c r="H104" s="37" t="s">
        <v>311</v>
      </c>
      <c r="I104" s="35"/>
      <c r="J104" s="35"/>
    </row>
    <row r="105">
      <c r="A105" s="32" t="s">
        <v>312</v>
      </c>
      <c r="B105" s="32" t="s">
        <v>57</v>
      </c>
      <c r="C105" s="36" t="s">
        <v>105</v>
      </c>
      <c r="D105" s="36" t="s">
        <v>95</v>
      </c>
      <c r="E105" s="36" t="s">
        <v>152</v>
      </c>
      <c r="F105" s="37" t="s">
        <v>69</v>
      </c>
      <c r="G105" s="37" t="s">
        <v>70</v>
      </c>
      <c r="H105" s="37" t="s">
        <v>71</v>
      </c>
      <c r="I105" s="35"/>
      <c r="J105" s="35"/>
    </row>
    <row r="106">
      <c r="A106" s="32" t="s">
        <v>313</v>
      </c>
      <c r="B106" s="32" t="s">
        <v>109</v>
      </c>
      <c r="C106" s="36" t="s">
        <v>105</v>
      </c>
      <c r="D106" s="36" t="s">
        <v>33</v>
      </c>
      <c r="E106" s="36" t="s">
        <v>152</v>
      </c>
      <c r="F106" s="37" t="s">
        <v>314</v>
      </c>
      <c r="G106" s="34" t="s">
        <v>33</v>
      </c>
      <c r="H106" s="37" t="s">
        <v>315</v>
      </c>
      <c r="I106" s="35"/>
      <c r="J106" s="35"/>
    </row>
    <row r="107">
      <c r="A107" s="32" t="s">
        <v>316</v>
      </c>
      <c r="B107" s="32" t="s">
        <v>109</v>
      </c>
      <c r="C107" s="36" t="s">
        <v>105</v>
      </c>
      <c r="D107" s="36" t="s">
        <v>157</v>
      </c>
      <c r="E107" s="36" t="s">
        <v>33</v>
      </c>
      <c r="F107" s="37" t="s">
        <v>317</v>
      </c>
      <c r="G107" s="37" t="s">
        <v>318</v>
      </c>
      <c r="H107" s="34" t="s">
        <v>33</v>
      </c>
      <c r="I107" s="35"/>
      <c r="J107" s="35"/>
    </row>
    <row r="108">
      <c r="A108" s="32" t="s">
        <v>319</v>
      </c>
      <c r="B108" s="32" t="s">
        <v>62</v>
      </c>
      <c r="C108" s="36" t="s">
        <v>105</v>
      </c>
      <c r="D108" s="36" t="s">
        <v>33</v>
      </c>
      <c r="E108" s="36" t="s">
        <v>46</v>
      </c>
      <c r="F108" s="37" t="s">
        <v>314</v>
      </c>
      <c r="G108" s="34" t="s">
        <v>33</v>
      </c>
      <c r="H108" s="37" t="s">
        <v>315</v>
      </c>
      <c r="I108" s="35"/>
      <c r="J108" s="35"/>
    </row>
    <row r="109">
      <c r="A109" s="32" t="s">
        <v>320</v>
      </c>
      <c r="B109" s="32" t="s">
        <v>62</v>
      </c>
      <c r="C109" s="36" t="s">
        <v>105</v>
      </c>
      <c r="D109" s="36" t="s">
        <v>66</v>
      </c>
      <c r="E109" s="36" t="s">
        <v>33</v>
      </c>
      <c r="F109" s="37" t="s">
        <v>162</v>
      </c>
      <c r="G109" s="37" t="s">
        <v>163</v>
      </c>
      <c r="H109" s="34" t="s">
        <v>33</v>
      </c>
      <c r="I109" s="35"/>
      <c r="J109" s="35"/>
    </row>
    <row r="110">
      <c r="A110" s="32" t="s">
        <v>321</v>
      </c>
      <c r="B110" s="32" t="s">
        <v>154</v>
      </c>
      <c r="C110" s="36" t="s">
        <v>187</v>
      </c>
      <c r="D110" s="36" t="s">
        <v>119</v>
      </c>
      <c r="E110" s="36" t="s">
        <v>322</v>
      </c>
      <c r="F110" s="37" t="s">
        <v>323</v>
      </c>
      <c r="G110" s="37" t="s">
        <v>117</v>
      </c>
      <c r="H110" s="37" t="s">
        <v>324</v>
      </c>
      <c r="I110" s="35"/>
      <c r="J110" s="35"/>
    </row>
    <row r="111">
      <c r="A111" s="32" t="s">
        <v>325</v>
      </c>
      <c r="B111" s="32" t="s">
        <v>73</v>
      </c>
      <c r="C111" s="36" t="s">
        <v>187</v>
      </c>
      <c r="D111" s="36" t="s">
        <v>26</v>
      </c>
      <c r="E111" s="36" t="s">
        <v>33</v>
      </c>
      <c r="F111" s="37" t="s">
        <v>162</v>
      </c>
      <c r="G111" s="37" t="s">
        <v>163</v>
      </c>
      <c r="H111" s="34" t="s">
        <v>33</v>
      </c>
      <c r="I111" s="35"/>
      <c r="J111" s="35"/>
    </row>
    <row r="112">
      <c r="A112" s="32" t="s">
        <v>326</v>
      </c>
      <c r="B112" s="32" t="s">
        <v>32</v>
      </c>
      <c r="C112" s="36" t="s">
        <v>187</v>
      </c>
      <c r="D112" s="36" t="s">
        <v>178</v>
      </c>
      <c r="E112" s="36" t="s">
        <v>49</v>
      </c>
      <c r="F112" s="37" t="s">
        <v>215</v>
      </c>
      <c r="G112" s="37" t="s">
        <v>216</v>
      </c>
      <c r="H112" s="37" t="s">
        <v>275</v>
      </c>
      <c r="I112" s="35"/>
      <c r="J112" s="35"/>
    </row>
    <row r="113">
      <c r="A113" s="32" t="s">
        <v>327</v>
      </c>
      <c r="B113" s="32" t="s">
        <v>38</v>
      </c>
      <c r="C113" s="36" t="s">
        <v>187</v>
      </c>
      <c r="D113" s="36" t="s">
        <v>105</v>
      </c>
      <c r="E113" s="36" t="s">
        <v>33</v>
      </c>
      <c r="F113" s="37" t="s">
        <v>328</v>
      </c>
      <c r="G113" s="37" t="s">
        <v>329</v>
      </c>
      <c r="H113" s="34" t="s">
        <v>33</v>
      </c>
      <c r="I113" s="35"/>
      <c r="J113" s="35"/>
    </row>
    <row r="114">
      <c r="A114" s="32" t="s">
        <v>330</v>
      </c>
      <c r="B114" s="32" t="s">
        <v>38</v>
      </c>
      <c r="C114" s="36" t="s">
        <v>187</v>
      </c>
      <c r="D114" s="36" t="s">
        <v>331</v>
      </c>
      <c r="E114" s="36" t="s">
        <v>33</v>
      </c>
      <c r="F114" s="37" t="s">
        <v>170</v>
      </c>
      <c r="G114" s="37" t="s">
        <v>171</v>
      </c>
      <c r="H114" s="34" t="s">
        <v>33</v>
      </c>
      <c r="I114" s="35"/>
      <c r="J114" s="35"/>
    </row>
    <row r="115">
      <c r="A115" s="32" t="s">
        <v>332</v>
      </c>
      <c r="B115" s="32" t="s">
        <v>38</v>
      </c>
      <c r="C115" s="36" t="s">
        <v>187</v>
      </c>
      <c r="D115" s="36" t="s">
        <v>255</v>
      </c>
      <c r="E115" s="36" t="s">
        <v>33</v>
      </c>
      <c r="F115" s="37" t="s">
        <v>317</v>
      </c>
      <c r="G115" s="37" t="s">
        <v>318</v>
      </c>
      <c r="H115" s="34" t="s">
        <v>33</v>
      </c>
      <c r="I115" s="35"/>
      <c r="J115" s="35"/>
    </row>
    <row r="116">
      <c r="A116" s="32" t="s">
        <v>333</v>
      </c>
      <c r="B116" s="32" t="s">
        <v>57</v>
      </c>
      <c r="C116" s="36" t="s">
        <v>187</v>
      </c>
      <c r="D116" s="36" t="s">
        <v>26</v>
      </c>
      <c r="E116" s="36" t="s">
        <v>178</v>
      </c>
      <c r="F116" s="37" t="s">
        <v>69</v>
      </c>
      <c r="G116" s="37" t="s">
        <v>70</v>
      </c>
      <c r="H116" s="37" t="s">
        <v>334</v>
      </c>
      <c r="I116" s="35"/>
      <c r="J116" s="35"/>
    </row>
    <row r="117">
      <c r="A117" s="32" t="s">
        <v>335</v>
      </c>
      <c r="B117" s="32" t="s">
        <v>109</v>
      </c>
      <c r="C117" s="36" t="s">
        <v>187</v>
      </c>
      <c r="D117" s="36" t="s">
        <v>157</v>
      </c>
      <c r="E117" s="36" t="s">
        <v>33</v>
      </c>
      <c r="F117" s="37" t="s">
        <v>336</v>
      </c>
      <c r="G117" s="37" t="s">
        <v>337</v>
      </c>
      <c r="H117" s="34" t="s">
        <v>33</v>
      </c>
      <c r="I117" s="35"/>
      <c r="J117" s="35"/>
    </row>
    <row r="118">
      <c r="A118" s="32" t="s">
        <v>338</v>
      </c>
      <c r="B118" s="32" t="s">
        <v>62</v>
      </c>
      <c r="C118" s="36" t="s">
        <v>187</v>
      </c>
      <c r="D118" s="36" t="s">
        <v>33</v>
      </c>
      <c r="E118" s="36" t="s">
        <v>26</v>
      </c>
      <c r="F118" s="37" t="s">
        <v>339</v>
      </c>
      <c r="G118" s="34" t="s">
        <v>33</v>
      </c>
      <c r="H118" s="37" t="s">
        <v>340</v>
      </c>
      <c r="I118" s="35"/>
      <c r="J118" s="35"/>
    </row>
    <row r="119">
      <c r="A119" s="32" t="s">
        <v>341</v>
      </c>
      <c r="B119" s="32" t="s">
        <v>62</v>
      </c>
      <c r="C119" s="36" t="s">
        <v>187</v>
      </c>
      <c r="D119" s="36" t="s">
        <v>152</v>
      </c>
      <c r="E119" s="36" t="s">
        <v>68</v>
      </c>
      <c r="F119" s="37" t="s">
        <v>69</v>
      </c>
      <c r="G119" s="37" t="s">
        <v>70</v>
      </c>
      <c r="H119" s="37" t="s">
        <v>71</v>
      </c>
      <c r="I119" s="35"/>
      <c r="J119" s="35"/>
    </row>
    <row r="120">
      <c r="A120" s="32" t="s">
        <v>342</v>
      </c>
      <c r="B120" s="32" t="s">
        <v>62</v>
      </c>
      <c r="C120" s="36" t="s">
        <v>187</v>
      </c>
      <c r="D120" s="36" t="s">
        <v>33</v>
      </c>
      <c r="E120" s="36" t="s">
        <v>95</v>
      </c>
      <c r="F120" s="37" t="s">
        <v>314</v>
      </c>
      <c r="G120" s="34" t="s">
        <v>33</v>
      </c>
      <c r="H120" s="37" t="s">
        <v>315</v>
      </c>
      <c r="I120" s="35"/>
      <c r="J120" s="35"/>
    </row>
    <row r="121">
      <c r="A121" s="32" t="s">
        <v>343</v>
      </c>
      <c r="B121" s="32" t="s">
        <v>62</v>
      </c>
      <c r="C121" s="36" t="s">
        <v>187</v>
      </c>
      <c r="D121" s="36" t="s">
        <v>68</v>
      </c>
      <c r="E121" s="36" t="s">
        <v>33</v>
      </c>
      <c r="F121" s="37" t="s">
        <v>317</v>
      </c>
      <c r="G121" s="37" t="s">
        <v>318</v>
      </c>
      <c r="H121" s="34" t="s">
        <v>33</v>
      </c>
      <c r="I121" s="35"/>
      <c r="J121" s="35"/>
    </row>
    <row r="122">
      <c r="A122" s="32" t="s">
        <v>344</v>
      </c>
      <c r="B122" s="32" t="s">
        <v>62</v>
      </c>
      <c r="C122" s="36" t="s">
        <v>187</v>
      </c>
      <c r="D122" s="36" t="s">
        <v>26</v>
      </c>
      <c r="E122" s="36" t="s">
        <v>165</v>
      </c>
      <c r="F122" s="37" t="s">
        <v>215</v>
      </c>
      <c r="G122" s="37" t="s">
        <v>216</v>
      </c>
      <c r="H122" s="37" t="s">
        <v>275</v>
      </c>
      <c r="I122" s="35"/>
      <c r="J122" s="35"/>
    </row>
    <row r="123">
      <c r="A123" s="32" t="s">
        <v>345</v>
      </c>
      <c r="B123" s="32" t="s">
        <v>154</v>
      </c>
      <c r="C123" s="36" t="s">
        <v>34</v>
      </c>
      <c r="D123" s="36" t="s">
        <v>232</v>
      </c>
      <c r="E123" s="36" t="s">
        <v>46</v>
      </c>
      <c r="F123" s="37" t="s">
        <v>346</v>
      </c>
      <c r="G123" s="37" t="s">
        <v>347</v>
      </c>
      <c r="H123" s="37" t="s">
        <v>348</v>
      </c>
      <c r="I123" s="35"/>
      <c r="J123" s="35"/>
    </row>
    <row r="124">
      <c r="A124" s="32" t="s">
        <v>349</v>
      </c>
      <c r="B124" s="32" t="s">
        <v>32</v>
      </c>
      <c r="C124" s="36" t="s">
        <v>34</v>
      </c>
      <c r="D124" s="36" t="s">
        <v>128</v>
      </c>
      <c r="E124" s="36" t="s">
        <v>87</v>
      </c>
      <c r="F124" s="37" t="s">
        <v>350</v>
      </c>
      <c r="G124" s="37" t="s">
        <v>351</v>
      </c>
      <c r="H124" s="37" t="s">
        <v>352</v>
      </c>
      <c r="I124" s="35"/>
      <c r="J124" s="35"/>
    </row>
    <row r="125">
      <c r="A125" s="32" t="s">
        <v>353</v>
      </c>
      <c r="B125" s="32" t="s">
        <v>38</v>
      </c>
      <c r="C125" s="36" t="s">
        <v>34</v>
      </c>
      <c r="D125" s="36" t="s">
        <v>122</v>
      </c>
      <c r="E125" s="36" t="s">
        <v>81</v>
      </c>
      <c r="F125" s="37" t="s">
        <v>354</v>
      </c>
      <c r="G125" s="37" t="s">
        <v>355</v>
      </c>
      <c r="H125" s="37" t="s">
        <v>356</v>
      </c>
      <c r="I125" s="35"/>
      <c r="J125" s="35"/>
    </row>
    <row r="126">
      <c r="A126" s="32" t="s">
        <v>357</v>
      </c>
      <c r="B126" s="32" t="s">
        <v>45</v>
      </c>
      <c r="C126" s="36" t="s">
        <v>34</v>
      </c>
      <c r="D126" s="36" t="s">
        <v>26</v>
      </c>
      <c r="E126" s="36" t="s">
        <v>213</v>
      </c>
      <c r="F126" s="37" t="s">
        <v>358</v>
      </c>
      <c r="G126" s="37" t="s">
        <v>220</v>
      </c>
      <c r="H126" s="37" t="s">
        <v>359</v>
      </c>
      <c r="I126" s="35"/>
      <c r="J126" s="35"/>
    </row>
    <row r="127">
      <c r="A127" s="32" t="s">
        <v>360</v>
      </c>
      <c r="B127" s="32" t="s">
        <v>45</v>
      </c>
      <c r="C127" s="36" t="s">
        <v>34</v>
      </c>
      <c r="D127" s="36" t="s">
        <v>33</v>
      </c>
      <c r="E127" s="36" t="s">
        <v>33</v>
      </c>
      <c r="F127" s="37" t="s">
        <v>262</v>
      </c>
      <c r="G127" s="34" t="s">
        <v>33</v>
      </c>
      <c r="H127" s="34" t="s">
        <v>33</v>
      </c>
      <c r="I127" s="35"/>
      <c r="J127" s="35"/>
    </row>
    <row r="128">
      <c r="A128" s="32" t="s">
        <v>361</v>
      </c>
      <c r="B128" s="32" t="s">
        <v>45</v>
      </c>
      <c r="C128" s="36" t="s">
        <v>34</v>
      </c>
      <c r="D128" s="36" t="s">
        <v>114</v>
      </c>
      <c r="E128" s="36" t="s">
        <v>33</v>
      </c>
      <c r="F128" s="37" t="s">
        <v>69</v>
      </c>
      <c r="G128" s="37" t="s">
        <v>70</v>
      </c>
      <c r="H128" s="34" t="s">
        <v>33</v>
      </c>
      <c r="I128" s="35"/>
      <c r="J128" s="35"/>
    </row>
    <row r="129">
      <c r="A129" s="32" t="s">
        <v>362</v>
      </c>
      <c r="B129" s="32" t="s">
        <v>57</v>
      </c>
      <c r="C129" s="36" t="s">
        <v>34</v>
      </c>
      <c r="D129" s="36" t="s">
        <v>187</v>
      </c>
      <c r="E129" s="36" t="s">
        <v>41</v>
      </c>
      <c r="F129" s="37" t="s">
        <v>350</v>
      </c>
      <c r="G129" s="37" t="s">
        <v>351</v>
      </c>
      <c r="H129" s="37" t="s">
        <v>363</v>
      </c>
      <c r="I129" s="35"/>
      <c r="J129" s="35"/>
    </row>
    <row r="130">
      <c r="A130" s="32" t="s">
        <v>364</v>
      </c>
      <c r="B130" s="32" t="s">
        <v>109</v>
      </c>
      <c r="C130" s="36" t="s">
        <v>34</v>
      </c>
      <c r="D130" s="36" t="s">
        <v>33</v>
      </c>
      <c r="E130" s="36" t="s">
        <v>365</v>
      </c>
      <c r="F130" s="37" t="s">
        <v>314</v>
      </c>
      <c r="G130" s="34" t="s">
        <v>33</v>
      </c>
      <c r="H130" s="37" t="s">
        <v>315</v>
      </c>
      <c r="I130" s="35"/>
      <c r="J130" s="35"/>
    </row>
    <row r="131">
      <c r="A131" s="32" t="s">
        <v>366</v>
      </c>
      <c r="B131" s="32" t="s">
        <v>109</v>
      </c>
      <c r="C131" s="36" t="s">
        <v>34</v>
      </c>
      <c r="D131" s="36" t="s">
        <v>33</v>
      </c>
      <c r="E131" s="36" t="s">
        <v>254</v>
      </c>
      <c r="F131" s="37" t="s">
        <v>328</v>
      </c>
      <c r="G131" s="34" t="s">
        <v>33</v>
      </c>
      <c r="H131" s="37" t="s">
        <v>367</v>
      </c>
      <c r="I131" s="35"/>
      <c r="J131" s="35"/>
    </row>
    <row r="132">
      <c r="A132" s="32" t="s">
        <v>368</v>
      </c>
      <c r="B132" s="32" t="s">
        <v>109</v>
      </c>
      <c r="C132" s="36" t="s">
        <v>34</v>
      </c>
      <c r="D132" s="36" t="s">
        <v>369</v>
      </c>
      <c r="E132" s="36" t="s">
        <v>95</v>
      </c>
      <c r="F132" s="37" t="s">
        <v>166</v>
      </c>
      <c r="G132" s="37" t="s">
        <v>267</v>
      </c>
      <c r="H132" s="37" t="s">
        <v>168</v>
      </c>
      <c r="I132" s="35"/>
      <c r="J132" s="35"/>
    </row>
    <row r="133">
      <c r="A133" s="32" t="s">
        <v>370</v>
      </c>
      <c r="B133" s="32" t="s">
        <v>109</v>
      </c>
      <c r="C133" s="36" t="s">
        <v>34</v>
      </c>
      <c r="D133" s="36" t="s">
        <v>33</v>
      </c>
      <c r="E133" s="36" t="s">
        <v>371</v>
      </c>
      <c r="F133" s="37" t="s">
        <v>372</v>
      </c>
      <c r="G133" s="34" t="s">
        <v>33</v>
      </c>
      <c r="H133" s="37" t="s">
        <v>348</v>
      </c>
      <c r="I133" s="35"/>
      <c r="J133" s="35"/>
    </row>
    <row r="134">
      <c r="A134" s="32" t="s">
        <v>373</v>
      </c>
      <c r="B134" s="32" t="s">
        <v>62</v>
      </c>
      <c r="C134" s="36" t="s">
        <v>34</v>
      </c>
      <c r="D134" s="36" t="s">
        <v>201</v>
      </c>
      <c r="E134" s="36" t="s">
        <v>49</v>
      </c>
      <c r="F134" s="37" t="s">
        <v>323</v>
      </c>
      <c r="G134" s="37" t="s">
        <v>117</v>
      </c>
      <c r="H134" s="37" t="s">
        <v>340</v>
      </c>
      <c r="I134" s="35"/>
      <c r="J134" s="35"/>
    </row>
    <row r="135">
      <c r="A135" s="32" t="s">
        <v>374</v>
      </c>
      <c r="B135" s="32" t="s">
        <v>62</v>
      </c>
      <c r="C135" s="36" t="s">
        <v>34</v>
      </c>
      <c r="D135" s="36" t="s">
        <v>33</v>
      </c>
      <c r="E135" s="36" t="s">
        <v>33</v>
      </c>
      <c r="F135" s="37" t="s">
        <v>375</v>
      </c>
      <c r="G135" s="34" t="s">
        <v>33</v>
      </c>
      <c r="H135" s="34" t="s">
        <v>33</v>
      </c>
      <c r="I135" s="35"/>
      <c r="J135" s="35"/>
    </row>
    <row r="136">
      <c r="A136" s="32" t="s">
        <v>376</v>
      </c>
      <c r="B136" s="32" t="s">
        <v>62</v>
      </c>
      <c r="C136" s="36" t="s">
        <v>34</v>
      </c>
      <c r="D136" s="36" t="s">
        <v>46</v>
      </c>
      <c r="E136" s="36" t="s">
        <v>377</v>
      </c>
      <c r="F136" s="37" t="s">
        <v>354</v>
      </c>
      <c r="G136" s="37" t="s">
        <v>355</v>
      </c>
      <c r="H136" s="37" t="s">
        <v>356</v>
      </c>
      <c r="I136" s="35"/>
      <c r="J136" s="35"/>
    </row>
    <row r="137">
      <c r="A137" s="32" t="s">
        <v>378</v>
      </c>
      <c r="B137" s="32" t="s">
        <v>62</v>
      </c>
      <c r="C137" s="36" t="s">
        <v>34</v>
      </c>
      <c r="D137" s="36" t="s">
        <v>33</v>
      </c>
      <c r="E137" s="36" t="s">
        <v>49</v>
      </c>
      <c r="F137" s="37" t="s">
        <v>375</v>
      </c>
      <c r="G137" s="34" t="s">
        <v>33</v>
      </c>
      <c r="H137" s="37" t="s">
        <v>379</v>
      </c>
      <c r="I137" s="35"/>
      <c r="J137" s="35"/>
    </row>
    <row r="138">
      <c r="A138" s="32" t="s">
        <v>380</v>
      </c>
      <c r="B138" s="32" t="s">
        <v>62</v>
      </c>
      <c r="C138" s="36" t="s">
        <v>34</v>
      </c>
      <c r="D138" s="36" t="s">
        <v>33</v>
      </c>
      <c r="E138" s="36" t="s">
        <v>33</v>
      </c>
      <c r="F138" s="37" t="s">
        <v>381</v>
      </c>
      <c r="G138" s="34" t="s">
        <v>33</v>
      </c>
      <c r="H138" s="34" t="s">
        <v>33</v>
      </c>
      <c r="I138" s="35"/>
      <c r="J138" s="35"/>
    </row>
    <row r="139">
      <c r="A139" s="32" t="s">
        <v>382</v>
      </c>
      <c r="B139" s="32" t="s">
        <v>62</v>
      </c>
      <c r="C139" s="36" t="s">
        <v>34</v>
      </c>
      <c r="D139" s="36" t="s">
        <v>383</v>
      </c>
      <c r="E139" s="36" t="s">
        <v>377</v>
      </c>
      <c r="F139" s="37" t="s">
        <v>170</v>
      </c>
      <c r="G139" s="37" t="s">
        <v>135</v>
      </c>
      <c r="H139" s="37" t="s">
        <v>303</v>
      </c>
      <c r="I139" s="35"/>
      <c r="J139" s="35"/>
    </row>
    <row r="140">
      <c r="A140" s="32" t="s">
        <v>384</v>
      </c>
      <c r="B140" s="32" t="s">
        <v>38</v>
      </c>
      <c r="C140" s="36" t="s">
        <v>152</v>
      </c>
      <c r="D140" s="36" t="s">
        <v>385</v>
      </c>
      <c r="E140" s="36" t="s">
        <v>322</v>
      </c>
      <c r="F140" s="37" t="s">
        <v>323</v>
      </c>
      <c r="G140" s="37" t="s">
        <v>117</v>
      </c>
      <c r="H140" s="37" t="s">
        <v>324</v>
      </c>
      <c r="I140" s="35"/>
      <c r="J140" s="35"/>
    </row>
    <row r="141">
      <c r="A141" s="32" t="s">
        <v>386</v>
      </c>
      <c r="B141" s="32" t="s">
        <v>38</v>
      </c>
      <c r="C141" s="36" t="s">
        <v>152</v>
      </c>
      <c r="D141" s="36" t="s">
        <v>33</v>
      </c>
      <c r="E141" s="36" t="s">
        <v>199</v>
      </c>
      <c r="F141" s="37" t="s">
        <v>233</v>
      </c>
      <c r="G141" s="34" t="s">
        <v>33</v>
      </c>
      <c r="H141" s="37" t="s">
        <v>235</v>
      </c>
      <c r="I141" s="35"/>
      <c r="J141" s="35"/>
    </row>
    <row r="142">
      <c r="A142" s="32" t="s">
        <v>387</v>
      </c>
      <c r="B142" s="32" t="s">
        <v>57</v>
      </c>
      <c r="C142" s="36" t="s">
        <v>152</v>
      </c>
      <c r="D142" s="36" t="s">
        <v>91</v>
      </c>
      <c r="E142" s="36" t="s">
        <v>46</v>
      </c>
      <c r="F142" s="37" t="s">
        <v>354</v>
      </c>
      <c r="G142" s="37" t="s">
        <v>355</v>
      </c>
      <c r="H142" s="37" t="s">
        <v>356</v>
      </c>
      <c r="I142" s="35"/>
      <c r="J142" s="35"/>
    </row>
    <row r="143">
      <c r="A143" s="32" t="s">
        <v>388</v>
      </c>
      <c r="B143" s="32" t="s">
        <v>57</v>
      </c>
      <c r="C143" s="36" t="s">
        <v>152</v>
      </c>
      <c r="D143" s="36" t="s">
        <v>178</v>
      </c>
      <c r="E143" s="36" t="s">
        <v>389</v>
      </c>
      <c r="F143" s="37" t="s">
        <v>69</v>
      </c>
      <c r="G143" s="37" t="s">
        <v>70</v>
      </c>
      <c r="H143" s="37" t="s">
        <v>334</v>
      </c>
      <c r="I143" s="35"/>
      <c r="J143" s="35"/>
    </row>
    <row r="144">
      <c r="A144" s="32" t="s">
        <v>390</v>
      </c>
      <c r="B144" s="32" t="s">
        <v>57</v>
      </c>
      <c r="C144" s="36" t="s">
        <v>152</v>
      </c>
      <c r="D144" s="36" t="s">
        <v>33</v>
      </c>
      <c r="E144" s="36" t="s">
        <v>226</v>
      </c>
      <c r="F144" s="37" t="s">
        <v>391</v>
      </c>
      <c r="G144" s="34" t="s">
        <v>33</v>
      </c>
      <c r="H144" s="37" t="s">
        <v>392</v>
      </c>
      <c r="I144" s="35"/>
      <c r="J144" s="35"/>
    </row>
    <row r="145">
      <c r="A145" s="32" t="s">
        <v>393</v>
      </c>
      <c r="B145" s="32" t="s">
        <v>109</v>
      </c>
      <c r="C145" s="36" t="s">
        <v>152</v>
      </c>
      <c r="D145" s="36" t="s">
        <v>33</v>
      </c>
      <c r="E145" s="36" t="s">
        <v>173</v>
      </c>
      <c r="F145" s="37" t="s">
        <v>394</v>
      </c>
      <c r="G145" s="34" t="s">
        <v>33</v>
      </c>
      <c r="H145" s="37" t="s">
        <v>395</v>
      </c>
      <c r="I145" s="35"/>
      <c r="J145" s="35"/>
    </row>
    <row r="146">
      <c r="A146" s="32" t="s">
        <v>396</v>
      </c>
      <c r="B146" s="32" t="s">
        <v>109</v>
      </c>
      <c r="C146" s="36" t="s">
        <v>152</v>
      </c>
      <c r="D146" s="36" t="s">
        <v>33</v>
      </c>
      <c r="E146" s="36" t="s">
        <v>49</v>
      </c>
      <c r="F146" s="37" t="s">
        <v>375</v>
      </c>
      <c r="G146" s="34" t="s">
        <v>33</v>
      </c>
      <c r="H146" s="37" t="s">
        <v>379</v>
      </c>
      <c r="I146" s="35"/>
      <c r="J146" s="35"/>
    </row>
    <row r="147">
      <c r="A147" s="32" t="s">
        <v>397</v>
      </c>
      <c r="B147" s="32" t="s">
        <v>109</v>
      </c>
      <c r="C147" s="36" t="s">
        <v>152</v>
      </c>
      <c r="D147" s="36" t="s">
        <v>34</v>
      </c>
      <c r="E147" s="36" t="s">
        <v>255</v>
      </c>
      <c r="F147" s="37" t="s">
        <v>69</v>
      </c>
      <c r="G147" s="37" t="s">
        <v>70</v>
      </c>
      <c r="H147" s="37" t="s">
        <v>71</v>
      </c>
      <c r="I147" s="35"/>
      <c r="J147" s="35"/>
    </row>
    <row r="148">
      <c r="A148" s="32" t="s">
        <v>398</v>
      </c>
      <c r="B148" s="32" t="s">
        <v>109</v>
      </c>
      <c r="C148" s="36" t="s">
        <v>152</v>
      </c>
      <c r="D148" s="36" t="s">
        <v>399</v>
      </c>
      <c r="E148" s="36" t="s">
        <v>33</v>
      </c>
      <c r="F148" s="37" t="s">
        <v>280</v>
      </c>
      <c r="G148" s="37" t="s">
        <v>400</v>
      </c>
      <c r="H148" s="34" t="s">
        <v>33</v>
      </c>
      <c r="I148" s="35"/>
      <c r="J148" s="35"/>
    </row>
    <row r="149">
      <c r="A149" s="32" t="s">
        <v>401</v>
      </c>
      <c r="B149" s="32" t="s">
        <v>62</v>
      </c>
      <c r="C149" s="36" t="s">
        <v>152</v>
      </c>
      <c r="D149" s="36" t="s">
        <v>33</v>
      </c>
      <c r="E149" s="36" t="s">
        <v>105</v>
      </c>
      <c r="F149" s="37" t="s">
        <v>402</v>
      </c>
      <c r="G149" s="34" t="s">
        <v>33</v>
      </c>
      <c r="H149" s="37" t="s">
        <v>235</v>
      </c>
      <c r="I149" s="35"/>
      <c r="J149" s="35"/>
    </row>
    <row r="150">
      <c r="A150" s="32" t="s">
        <v>403</v>
      </c>
      <c r="B150" s="32" t="s">
        <v>62</v>
      </c>
      <c r="C150" s="36" t="s">
        <v>152</v>
      </c>
      <c r="D150" s="36" t="s">
        <v>114</v>
      </c>
      <c r="E150" s="36" t="s">
        <v>187</v>
      </c>
      <c r="F150" s="37" t="s">
        <v>69</v>
      </c>
      <c r="G150" s="37" t="s">
        <v>70</v>
      </c>
      <c r="H150" s="37" t="s">
        <v>334</v>
      </c>
      <c r="I150" s="35"/>
      <c r="J150" s="35"/>
    </row>
    <row r="151">
      <c r="A151" s="32" t="s">
        <v>404</v>
      </c>
      <c r="B151" s="32" t="s">
        <v>62</v>
      </c>
      <c r="C151" s="36" t="s">
        <v>152</v>
      </c>
      <c r="D151" s="36" t="s">
        <v>33</v>
      </c>
      <c r="E151" s="36" t="s">
        <v>245</v>
      </c>
      <c r="F151" s="37" t="s">
        <v>314</v>
      </c>
      <c r="G151" s="34" t="s">
        <v>33</v>
      </c>
      <c r="H151" s="37" t="s">
        <v>405</v>
      </c>
      <c r="I151" s="35"/>
      <c r="J151" s="35"/>
    </row>
    <row r="152">
      <c r="A152" s="32" t="s">
        <v>406</v>
      </c>
      <c r="B152" s="32" t="s">
        <v>212</v>
      </c>
      <c r="C152" s="36" t="s">
        <v>128</v>
      </c>
      <c r="D152" s="36" t="s">
        <v>105</v>
      </c>
      <c r="E152" s="36" t="s">
        <v>58</v>
      </c>
      <c r="F152" s="37" t="s">
        <v>69</v>
      </c>
      <c r="G152" s="37" t="s">
        <v>70</v>
      </c>
      <c r="H152" s="37" t="s">
        <v>334</v>
      </c>
      <c r="I152" s="35"/>
      <c r="J152" s="35"/>
    </row>
    <row r="153">
      <c r="A153" s="32" t="s">
        <v>407</v>
      </c>
      <c r="B153" s="32" t="s">
        <v>73</v>
      </c>
      <c r="C153" s="36" t="s">
        <v>128</v>
      </c>
      <c r="D153" s="36" t="s">
        <v>58</v>
      </c>
      <c r="E153" s="36" t="s">
        <v>33</v>
      </c>
      <c r="F153" s="37" t="s">
        <v>183</v>
      </c>
      <c r="G153" s="37" t="s">
        <v>408</v>
      </c>
      <c r="H153" s="34" t="s">
        <v>33</v>
      </c>
      <c r="I153" s="35"/>
      <c r="J153" s="35"/>
    </row>
    <row r="154">
      <c r="A154" s="32" t="s">
        <v>409</v>
      </c>
      <c r="B154" s="32" t="s">
        <v>38</v>
      </c>
      <c r="C154" s="36" t="s">
        <v>128</v>
      </c>
      <c r="D154" s="36" t="s">
        <v>284</v>
      </c>
      <c r="E154" s="36" t="s">
        <v>33</v>
      </c>
      <c r="F154" s="37" t="s">
        <v>410</v>
      </c>
      <c r="G154" s="37" t="s">
        <v>411</v>
      </c>
      <c r="H154" s="34" t="s">
        <v>33</v>
      </c>
      <c r="I154" s="35"/>
      <c r="J154" s="35"/>
    </row>
    <row r="155">
      <c r="A155" s="32" t="s">
        <v>412</v>
      </c>
      <c r="B155" s="32" t="s">
        <v>45</v>
      </c>
      <c r="C155" s="36" t="s">
        <v>128</v>
      </c>
      <c r="D155" s="36" t="s">
        <v>152</v>
      </c>
      <c r="E155" s="36" t="s">
        <v>33</v>
      </c>
      <c r="F155" s="37" t="s">
        <v>69</v>
      </c>
      <c r="G155" s="37" t="s">
        <v>70</v>
      </c>
      <c r="H155" s="34" t="s">
        <v>33</v>
      </c>
      <c r="I155" s="35"/>
      <c r="J155" s="35"/>
    </row>
    <row r="156">
      <c r="A156" s="32" t="s">
        <v>413</v>
      </c>
      <c r="B156" s="32" t="s">
        <v>57</v>
      </c>
      <c r="C156" s="36" t="s">
        <v>128</v>
      </c>
      <c r="D156" s="36" t="s">
        <v>91</v>
      </c>
      <c r="E156" s="36" t="s">
        <v>26</v>
      </c>
      <c r="F156" s="37" t="s">
        <v>414</v>
      </c>
      <c r="G156" s="37" t="s">
        <v>241</v>
      </c>
      <c r="H156" s="37" t="s">
        <v>278</v>
      </c>
      <c r="I156" s="35"/>
      <c r="J156" s="35"/>
    </row>
    <row r="157">
      <c r="A157" s="32" t="s">
        <v>415</v>
      </c>
      <c r="B157" s="32" t="s">
        <v>109</v>
      </c>
      <c r="C157" s="36" t="s">
        <v>128</v>
      </c>
      <c r="D157" s="36" t="s">
        <v>33</v>
      </c>
      <c r="E157" s="36" t="s">
        <v>33</v>
      </c>
      <c r="F157" s="37" t="s">
        <v>314</v>
      </c>
      <c r="G157" s="34" t="s">
        <v>33</v>
      </c>
      <c r="H157" s="34" t="s">
        <v>33</v>
      </c>
      <c r="I157" s="35"/>
      <c r="J157" s="35"/>
    </row>
    <row r="158">
      <c r="A158" s="32" t="s">
        <v>416</v>
      </c>
      <c r="B158" s="32" t="s">
        <v>109</v>
      </c>
      <c r="C158" s="36" t="s">
        <v>128</v>
      </c>
      <c r="D158" s="36" t="s">
        <v>33</v>
      </c>
      <c r="E158" s="36" t="s">
        <v>33</v>
      </c>
      <c r="F158" s="37" t="s">
        <v>417</v>
      </c>
      <c r="G158" s="34" t="s">
        <v>33</v>
      </c>
      <c r="H158" s="34" t="s">
        <v>33</v>
      </c>
      <c r="I158" s="35"/>
      <c r="J158" s="35"/>
    </row>
    <row r="159">
      <c r="A159" s="32" t="s">
        <v>418</v>
      </c>
      <c r="B159" s="32" t="s">
        <v>62</v>
      </c>
      <c r="C159" s="36" t="s">
        <v>128</v>
      </c>
      <c r="D159" s="36" t="s">
        <v>33</v>
      </c>
      <c r="E159" s="36" t="s">
        <v>419</v>
      </c>
      <c r="F159" s="37" t="s">
        <v>314</v>
      </c>
      <c r="G159" s="34" t="s">
        <v>33</v>
      </c>
      <c r="H159" s="37" t="s">
        <v>405</v>
      </c>
      <c r="I159" s="35"/>
      <c r="J159" s="35"/>
    </row>
    <row r="160">
      <c r="A160" s="32" t="s">
        <v>420</v>
      </c>
      <c r="B160" s="32" t="s">
        <v>62</v>
      </c>
      <c r="C160" s="36" t="s">
        <v>128</v>
      </c>
      <c r="D160" s="36" t="s">
        <v>240</v>
      </c>
      <c r="E160" s="36" t="s">
        <v>49</v>
      </c>
      <c r="F160" s="37" t="s">
        <v>421</v>
      </c>
      <c r="G160" s="37" t="s">
        <v>355</v>
      </c>
      <c r="H160" s="37" t="s">
        <v>356</v>
      </c>
      <c r="I160" s="35"/>
      <c r="J160" s="35"/>
    </row>
    <row r="161">
      <c r="A161" s="32" t="s">
        <v>422</v>
      </c>
      <c r="B161" s="32" t="s">
        <v>62</v>
      </c>
      <c r="C161" s="36" t="s">
        <v>128</v>
      </c>
      <c r="D161" s="36" t="s">
        <v>82</v>
      </c>
      <c r="E161" s="36" t="s">
        <v>33</v>
      </c>
      <c r="F161" s="37" t="s">
        <v>423</v>
      </c>
      <c r="G161" s="37" t="s">
        <v>424</v>
      </c>
      <c r="H161" s="34" t="s">
        <v>33</v>
      </c>
      <c r="I161" s="35"/>
      <c r="J161" s="35"/>
    </row>
    <row r="162">
      <c r="A162" s="32" t="s">
        <v>425</v>
      </c>
      <c r="B162" s="32" t="s">
        <v>62</v>
      </c>
      <c r="C162" s="36" t="s">
        <v>128</v>
      </c>
      <c r="D162" s="36" t="s">
        <v>254</v>
      </c>
      <c r="E162" s="36" t="s">
        <v>331</v>
      </c>
      <c r="F162" s="37" t="s">
        <v>426</v>
      </c>
      <c r="G162" s="37" t="s">
        <v>125</v>
      </c>
      <c r="H162" s="37" t="s">
        <v>30</v>
      </c>
      <c r="I162" s="35"/>
      <c r="J162" s="35"/>
    </row>
    <row r="163">
      <c r="A163" s="32" t="s">
        <v>427</v>
      </c>
      <c r="B163" s="32" t="s">
        <v>62</v>
      </c>
      <c r="C163" s="36" t="s">
        <v>128</v>
      </c>
      <c r="D163" s="36" t="s">
        <v>33</v>
      </c>
      <c r="E163" s="36" t="s">
        <v>365</v>
      </c>
      <c r="F163" s="37" t="s">
        <v>314</v>
      </c>
      <c r="G163" s="34" t="s">
        <v>33</v>
      </c>
      <c r="H163" s="37" t="s">
        <v>315</v>
      </c>
      <c r="I163" s="35"/>
      <c r="J163" s="35"/>
    </row>
    <row r="164">
      <c r="A164" s="32" t="s">
        <v>428</v>
      </c>
      <c r="B164" s="32" t="s">
        <v>73</v>
      </c>
      <c r="C164" s="36" t="s">
        <v>68</v>
      </c>
      <c r="D164" s="36" t="s">
        <v>152</v>
      </c>
      <c r="E164" s="36" t="s">
        <v>218</v>
      </c>
      <c r="F164" s="37" t="s">
        <v>350</v>
      </c>
      <c r="G164" s="37" t="s">
        <v>351</v>
      </c>
      <c r="H164" s="37" t="s">
        <v>429</v>
      </c>
      <c r="I164" s="35"/>
      <c r="J164" s="35"/>
    </row>
    <row r="165">
      <c r="A165" s="32" t="s">
        <v>430</v>
      </c>
      <c r="B165" s="32" t="s">
        <v>32</v>
      </c>
      <c r="C165" s="36" t="s">
        <v>68</v>
      </c>
      <c r="D165" s="36" t="s">
        <v>302</v>
      </c>
      <c r="E165" s="36" t="s">
        <v>33</v>
      </c>
      <c r="F165" s="37" t="s">
        <v>431</v>
      </c>
      <c r="G165" s="37" t="s">
        <v>355</v>
      </c>
      <c r="H165" s="34" t="s">
        <v>33</v>
      </c>
      <c r="I165" s="35"/>
      <c r="J165" s="35"/>
    </row>
    <row r="166">
      <c r="A166" s="32" t="s">
        <v>432</v>
      </c>
      <c r="B166" s="32" t="s">
        <v>38</v>
      </c>
      <c r="C166" s="36" t="s">
        <v>68</v>
      </c>
      <c r="D166" s="36" t="s">
        <v>91</v>
      </c>
      <c r="E166" s="36" t="s">
        <v>26</v>
      </c>
      <c r="F166" s="37" t="s">
        <v>414</v>
      </c>
      <c r="G166" s="37" t="s">
        <v>241</v>
      </c>
      <c r="H166" s="37" t="s">
        <v>278</v>
      </c>
      <c r="I166" s="35"/>
      <c r="J166" s="35"/>
    </row>
    <row r="167">
      <c r="A167" s="32" t="s">
        <v>433</v>
      </c>
      <c r="B167" s="32" t="s">
        <v>45</v>
      </c>
      <c r="C167" s="36" t="s">
        <v>68</v>
      </c>
      <c r="D167" s="36" t="s">
        <v>128</v>
      </c>
      <c r="E167" s="36" t="s">
        <v>33</v>
      </c>
      <c r="F167" s="37" t="s">
        <v>434</v>
      </c>
      <c r="G167" s="37" t="s">
        <v>435</v>
      </c>
      <c r="H167" s="34" t="s">
        <v>33</v>
      </c>
      <c r="I167" s="35"/>
      <c r="J167" s="35"/>
    </row>
    <row r="168">
      <c r="A168" s="32" t="s">
        <v>436</v>
      </c>
      <c r="B168" s="32" t="s">
        <v>45</v>
      </c>
      <c r="C168" s="36" t="s">
        <v>68</v>
      </c>
      <c r="D168" s="36" t="s">
        <v>127</v>
      </c>
      <c r="E168" s="36" t="s">
        <v>223</v>
      </c>
      <c r="F168" s="37" t="s">
        <v>437</v>
      </c>
      <c r="G168" s="37" t="s">
        <v>438</v>
      </c>
      <c r="H168" s="37" t="s">
        <v>439</v>
      </c>
      <c r="I168" s="35"/>
      <c r="J168" s="35"/>
    </row>
    <row r="169">
      <c r="A169" s="32" t="s">
        <v>440</v>
      </c>
      <c r="B169" s="32" t="s">
        <v>45</v>
      </c>
      <c r="C169" s="36" t="s">
        <v>68</v>
      </c>
      <c r="D169" s="36" t="s">
        <v>33</v>
      </c>
      <c r="E169" s="36" t="s">
        <v>365</v>
      </c>
      <c r="F169" s="37" t="s">
        <v>314</v>
      </c>
      <c r="G169" s="34" t="s">
        <v>33</v>
      </c>
      <c r="H169" s="37" t="s">
        <v>315</v>
      </c>
      <c r="I169" s="35"/>
      <c r="J169" s="35"/>
    </row>
    <row r="170">
      <c r="A170" s="32" t="s">
        <v>441</v>
      </c>
      <c r="B170" s="32" t="s">
        <v>57</v>
      </c>
      <c r="C170" s="36" t="s">
        <v>68</v>
      </c>
      <c r="D170" s="36" t="s">
        <v>232</v>
      </c>
      <c r="E170" s="36" t="s">
        <v>442</v>
      </c>
      <c r="F170" s="37" t="s">
        <v>323</v>
      </c>
      <c r="G170" s="37" t="s">
        <v>117</v>
      </c>
      <c r="H170" s="37" t="s">
        <v>324</v>
      </c>
      <c r="I170" s="35"/>
      <c r="J170" s="35"/>
    </row>
    <row r="171">
      <c r="A171" s="32" t="s">
        <v>443</v>
      </c>
      <c r="B171" s="32" t="s">
        <v>57</v>
      </c>
      <c r="C171" s="36" t="s">
        <v>68</v>
      </c>
      <c r="D171" s="36" t="s">
        <v>49</v>
      </c>
      <c r="E171" s="36" t="s">
        <v>82</v>
      </c>
      <c r="F171" s="37" t="s">
        <v>323</v>
      </c>
      <c r="G171" s="37" t="s">
        <v>117</v>
      </c>
      <c r="H171" s="37" t="s">
        <v>324</v>
      </c>
      <c r="I171" s="35"/>
      <c r="J171" s="35"/>
    </row>
    <row r="172">
      <c r="A172" s="32" t="s">
        <v>444</v>
      </c>
      <c r="B172" s="32" t="s">
        <v>57</v>
      </c>
      <c r="C172" s="36" t="s">
        <v>68</v>
      </c>
      <c r="D172" s="36" t="s">
        <v>95</v>
      </c>
      <c r="E172" s="36" t="s">
        <v>137</v>
      </c>
      <c r="F172" s="37" t="s">
        <v>350</v>
      </c>
      <c r="G172" s="37" t="s">
        <v>351</v>
      </c>
      <c r="H172" s="37" t="s">
        <v>445</v>
      </c>
      <c r="I172" s="35"/>
      <c r="J172" s="35"/>
    </row>
    <row r="173">
      <c r="A173" s="32" t="s">
        <v>446</v>
      </c>
      <c r="B173" s="32" t="s">
        <v>109</v>
      </c>
      <c r="C173" s="36" t="s">
        <v>68</v>
      </c>
      <c r="D173" s="36" t="s">
        <v>33</v>
      </c>
      <c r="E173" s="36" t="s">
        <v>33</v>
      </c>
      <c r="F173" s="37" t="s">
        <v>102</v>
      </c>
      <c r="G173" s="34" t="s">
        <v>33</v>
      </c>
      <c r="H173" s="34" t="s">
        <v>33</v>
      </c>
      <c r="I173" s="35"/>
      <c r="J173" s="35"/>
    </row>
    <row r="174">
      <c r="A174" s="32" t="s">
        <v>447</v>
      </c>
      <c r="B174" s="32" t="s">
        <v>109</v>
      </c>
      <c r="C174" s="36" t="s">
        <v>68</v>
      </c>
      <c r="D174" s="36" t="s">
        <v>46</v>
      </c>
      <c r="E174" s="36" t="s">
        <v>288</v>
      </c>
      <c r="F174" s="37" t="s">
        <v>448</v>
      </c>
      <c r="G174" s="37" t="s">
        <v>355</v>
      </c>
      <c r="H174" s="37" t="s">
        <v>356</v>
      </c>
      <c r="I174" s="35"/>
      <c r="J174" s="35"/>
    </row>
    <row r="175">
      <c r="A175" s="32" t="s">
        <v>449</v>
      </c>
      <c r="B175" s="32" t="s">
        <v>109</v>
      </c>
      <c r="C175" s="36" t="s">
        <v>68</v>
      </c>
      <c r="D175" s="36" t="s">
        <v>114</v>
      </c>
      <c r="E175" s="36" t="s">
        <v>450</v>
      </c>
      <c r="F175" s="37" t="s">
        <v>69</v>
      </c>
      <c r="G175" s="37" t="s">
        <v>70</v>
      </c>
      <c r="H175" s="37" t="s">
        <v>334</v>
      </c>
      <c r="I175" s="35"/>
      <c r="J175" s="35"/>
    </row>
    <row r="176">
      <c r="A176" s="32" t="s">
        <v>451</v>
      </c>
      <c r="B176" s="32" t="s">
        <v>62</v>
      </c>
      <c r="C176" s="36" t="s">
        <v>68</v>
      </c>
      <c r="D176" s="36" t="s">
        <v>33</v>
      </c>
      <c r="E176" s="36" t="s">
        <v>33</v>
      </c>
      <c r="F176" s="37" t="s">
        <v>83</v>
      </c>
      <c r="G176" s="34" t="s">
        <v>33</v>
      </c>
      <c r="H176" s="34" t="s">
        <v>33</v>
      </c>
      <c r="I176" s="35"/>
      <c r="J176" s="35"/>
    </row>
    <row r="177">
      <c r="A177" s="32" t="s">
        <v>452</v>
      </c>
      <c r="B177" s="32" t="s">
        <v>62</v>
      </c>
      <c r="C177" s="36" t="s">
        <v>68</v>
      </c>
      <c r="D177" s="36" t="s">
        <v>371</v>
      </c>
      <c r="E177" s="36" t="s">
        <v>82</v>
      </c>
      <c r="F177" s="37" t="s">
        <v>453</v>
      </c>
      <c r="G177" s="37" t="s">
        <v>454</v>
      </c>
      <c r="H177" s="37" t="s">
        <v>455</v>
      </c>
      <c r="I177" s="35"/>
      <c r="J177" s="35"/>
    </row>
    <row r="178">
      <c r="A178" s="32" t="s">
        <v>456</v>
      </c>
      <c r="B178" s="32" t="s">
        <v>24</v>
      </c>
      <c r="C178" s="36" t="s">
        <v>127</v>
      </c>
      <c r="D178" s="36" t="s">
        <v>457</v>
      </c>
      <c r="E178" s="36" t="s">
        <v>46</v>
      </c>
      <c r="F178" s="37" t="s">
        <v>54</v>
      </c>
      <c r="G178" s="37" t="s">
        <v>458</v>
      </c>
      <c r="H178" s="37" t="s">
        <v>459</v>
      </c>
      <c r="I178" s="35"/>
      <c r="J178" s="35"/>
    </row>
    <row r="179">
      <c r="A179" s="32" t="s">
        <v>460</v>
      </c>
      <c r="B179" s="32" t="s">
        <v>73</v>
      </c>
      <c r="C179" s="36" t="s">
        <v>127</v>
      </c>
      <c r="D179" s="36" t="s">
        <v>68</v>
      </c>
      <c r="E179" s="36" t="s">
        <v>33</v>
      </c>
      <c r="F179" s="37" t="s">
        <v>350</v>
      </c>
      <c r="G179" s="37" t="s">
        <v>351</v>
      </c>
      <c r="H179" s="34" t="s">
        <v>33</v>
      </c>
      <c r="I179" s="35"/>
      <c r="J179" s="35"/>
    </row>
    <row r="180">
      <c r="A180" s="32" t="s">
        <v>461</v>
      </c>
      <c r="B180" s="32" t="s">
        <v>73</v>
      </c>
      <c r="C180" s="36" t="s">
        <v>127</v>
      </c>
      <c r="D180" s="36" t="s">
        <v>33</v>
      </c>
      <c r="E180" s="36" t="s">
        <v>33</v>
      </c>
      <c r="F180" s="37" t="s">
        <v>462</v>
      </c>
      <c r="G180" s="34" t="s">
        <v>33</v>
      </c>
      <c r="H180" s="34" t="s">
        <v>33</v>
      </c>
      <c r="I180" s="35"/>
      <c r="J180" s="35"/>
    </row>
    <row r="181">
      <c r="A181" s="32" t="s">
        <v>463</v>
      </c>
      <c r="B181" s="32" t="s">
        <v>73</v>
      </c>
      <c r="C181" s="36" t="s">
        <v>127</v>
      </c>
      <c r="D181" s="36" t="s">
        <v>226</v>
      </c>
      <c r="E181" s="36" t="s">
        <v>399</v>
      </c>
      <c r="F181" s="37" t="s">
        <v>174</v>
      </c>
      <c r="G181" s="37" t="s">
        <v>175</v>
      </c>
      <c r="H181" s="37" t="s">
        <v>464</v>
      </c>
      <c r="I181" s="35"/>
      <c r="J181" s="35"/>
    </row>
    <row r="182">
      <c r="A182" s="32" t="s">
        <v>465</v>
      </c>
      <c r="B182" s="32" t="s">
        <v>38</v>
      </c>
      <c r="C182" s="36" t="s">
        <v>127</v>
      </c>
      <c r="D182" s="36" t="s">
        <v>49</v>
      </c>
      <c r="E182" s="36" t="s">
        <v>466</v>
      </c>
      <c r="F182" s="37" t="s">
        <v>323</v>
      </c>
      <c r="G182" s="37" t="s">
        <v>117</v>
      </c>
      <c r="H182" s="37" t="s">
        <v>324</v>
      </c>
      <c r="I182" s="35"/>
      <c r="J182" s="35"/>
    </row>
    <row r="183">
      <c r="A183" s="32" t="s">
        <v>467</v>
      </c>
      <c r="B183" s="32" t="s">
        <v>38</v>
      </c>
      <c r="C183" s="36" t="s">
        <v>127</v>
      </c>
      <c r="D183" s="36" t="s">
        <v>105</v>
      </c>
      <c r="E183" s="36" t="s">
        <v>33</v>
      </c>
      <c r="F183" s="37" t="s">
        <v>69</v>
      </c>
      <c r="G183" s="37" t="s">
        <v>70</v>
      </c>
      <c r="H183" s="34" t="s">
        <v>33</v>
      </c>
      <c r="I183" s="35"/>
      <c r="J183" s="35"/>
    </row>
    <row r="184">
      <c r="A184" s="32" t="s">
        <v>468</v>
      </c>
      <c r="B184" s="32" t="s">
        <v>38</v>
      </c>
      <c r="C184" s="36" t="s">
        <v>127</v>
      </c>
      <c r="D184" s="36" t="s">
        <v>33</v>
      </c>
      <c r="E184" s="36" t="s">
        <v>27</v>
      </c>
      <c r="F184" s="37" t="s">
        <v>469</v>
      </c>
      <c r="G184" s="34" t="s">
        <v>33</v>
      </c>
      <c r="H184" s="37" t="s">
        <v>470</v>
      </c>
      <c r="I184" s="35"/>
      <c r="J184" s="35"/>
    </row>
    <row r="185">
      <c r="A185" s="32" t="s">
        <v>471</v>
      </c>
      <c r="B185" s="32" t="s">
        <v>57</v>
      </c>
      <c r="C185" s="36" t="s">
        <v>127</v>
      </c>
      <c r="D185" s="36" t="s">
        <v>33</v>
      </c>
      <c r="E185" s="36" t="s">
        <v>33</v>
      </c>
      <c r="F185" s="37" t="s">
        <v>472</v>
      </c>
      <c r="G185" s="34" t="s">
        <v>33</v>
      </c>
      <c r="H185" s="34" t="s">
        <v>33</v>
      </c>
      <c r="I185" s="35"/>
      <c r="J185" s="35"/>
    </row>
    <row r="186">
      <c r="A186" s="32" t="s">
        <v>473</v>
      </c>
      <c r="B186" s="32" t="s">
        <v>57</v>
      </c>
      <c r="C186" s="36" t="s">
        <v>127</v>
      </c>
      <c r="D186" s="36" t="s">
        <v>331</v>
      </c>
      <c r="E186" s="36" t="s">
        <v>67</v>
      </c>
      <c r="F186" s="37" t="s">
        <v>97</v>
      </c>
      <c r="G186" s="37" t="s">
        <v>98</v>
      </c>
      <c r="H186" s="37" t="s">
        <v>474</v>
      </c>
      <c r="I186" s="35"/>
      <c r="J186" s="35"/>
    </row>
    <row r="187">
      <c r="A187" s="32" t="s">
        <v>475</v>
      </c>
      <c r="B187" s="32" t="s">
        <v>109</v>
      </c>
      <c r="C187" s="36" t="s">
        <v>127</v>
      </c>
      <c r="D187" s="36" t="s">
        <v>34</v>
      </c>
      <c r="E187" s="36" t="s">
        <v>476</v>
      </c>
      <c r="F187" s="37" t="s">
        <v>83</v>
      </c>
      <c r="G187" s="37" t="s">
        <v>120</v>
      </c>
      <c r="H187" s="37" t="s">
        <v>142</v>
      </c>
      <c r="I187" s="35"/>
      <c r="J187" s="35"/>
    </row>
    <row r="188">
      <c r="A188" s="32" t="s">
        <v>477</v>
      </c>
      <c r="B188" s="32" t="s">
        <v>62</v>
      </c>
      <c r="C188" s="36" t="s">
        <v>127</v>
      </c>
      <c r="D188" s="36" t="s">
        <v>66</v>
      </c>
      <c r="E188" s="36" t="s">
        <v>165</v>
      </c>
      <c r="F188" s="37" t="s">
        <v>423</v>
      </c>
      <c r="G188" s="37" t="s">
        <v>296</v>
      </c>
      <c r="H188" s="37" t="s">
        <v>478</v>
      </c>
      <c r="I188" s="35"/>
      <c r="J188" s="35"/>
    </row>
    <row r="189">
      <c r="A189" s="32" t="s">
        <v>479</v>
      </c>
      <c r="B189" s="32" t="s">
        <v>62</v>
      </c>
      <c r="C189" s="36" t="s">
        <v>127</v>
      </c>
      <c r="D189" s="36" t="s">
        <v>331</v>
      </c>
      <c r="E189" s="36" t="s">
        <v>33</v>
      </c>
      <c r="F189" s="37" t="s">
        <v>280</v>
      </c>
      <c r="G189" s="37" t="s">
        <v>400</v>
      </c>
      <c r="H189" s="34" t="s">
        <v>33</v>
      </c>
      <c r="I189" s="35"/>
      <c r="J189" s="35"/>
    </row>
    <row r="190">
      <c r="A190" s="32" t="s">
        <v>480</v>
      </c>
      <c r="B190" s="32" t="s">
        <v>62</v>
      </c>
      <c r="C190" s="36" t="s">
        <v>127</v>
      </c>
      <c r="D190" s="36" t="s">
        <v>302</v>
      </c>
      <c r="E190" s="36" t="s">
        <v>33</v>
      </c>
      <c r="F190" s="37" t="s">
        <v>314</v>
      </c>
      <c r="G190" s="37" t="s">
        <v>481</v>
      </c>
      <c r="H190" s="34" t="s">
        <v>33</v>
      </c>
      <c r="I190" s="35"/>
      <c r="J190" s="35"/>
    </row>
    <row r="191">
      <c r="A191" s="32" t="s">
        <v>482</v>
      </c>
      <c r="B191" s="32" t="s">
        <v>62</v>
      </c>
      <c r="C191" s="36" t="s">
        <v>127</v>
      </c>
      <c r="D191" s="36" t="s">
        <v>82</v>
      </c>
      <c r="E191" s="36" t="s">
        <v>33</v>
      </c>
      <c r="F191" s="37" t="s">
        <v>88</v>
      </c>
      <c r="G191" s="37" t="s">
        <v>89</v>
      </c>
      <c r="H191" s="34" t="s">
        <v>33</v>
      </c>
      <c r="I191" s="35"/>
      <c r="J191" s="35"/>
    </row>
    <row r="192">
      <c r="A192" s="32" t="s">
        <v>483</v>
      </c>
      <c r="B192" s="32" t="s">
        <v>484</v>
      </c>
      <c r="C192" s="36" t="s">
        <v>255</v>
      </c>
      <c r="D192" s="36" t="s">
        <v>128</v>
      </c>
      <c r="E192" s="36" t="s">
        <v>33</v>
      </c>
      <c r="F192" s="37" t="s">
        <v>215</v>
      </c>
      <c r="G192" s="37" t="s">
        <v>216</v>
      </c>
      <c r="H192" s="34" t="s">
        <v>33</v>
      </c>
      <c r="I192" s="35"/>
      <c r="J192" s="35"/>
    </row>
    <row r="193">
      <c r="A193" s="32" t="s">
        <v>485</v>
      </c>
      <c r="B193" s="32" t="s">
        <v>486</v>
      </c>
      <c r="C193" s="36" t="s">
        <v>255</v>
      </c>
      <c r="D193" s="36" t="s">
        <v>33</v>
      </c>
      <c r="E193" s="36" t="s">
        <v>33</v>
      </c>
      <c r="F193" s="37" t="s">
        <v>134</v>
      </c>
      <c r="G193" s="34" t="s">
        <v>33</v>
      </c>
      <c r="H193" s="34" t="s">
        <v>33</v>
      </c>
      <c r="I193" s="35"/>
      <c r="J193" s="35"/>
    </row>
    <row r="194">
      <c r="A194" s="32" t="s">
        <v>487</v>
      </c>
      <c r="B194" s="32" t="s">
        <v>73</v>
      </c>
      <c r="C194" s="36" t="s">
        <v>255</v>
      </c>
      <c r="D194" s="36" t="s">
        <v>33</v>
      </c>
      <c r="E194" s="36" t="s">
        <v>457</v>
      </c>
      <c r="F194" s="37" t="s">
        <v>35</v>
      </c>
      <c r="G194" s="34" t="s">
        <v>33</v>
      </c>
      <c r="H194" s="37" t="s">
        <v>36</v>
      </c>
      <c r="I194" s="35"/>
      <c r="J194" s="35"/>
    </row>
    <row r="195">
      <c r="A195" s="32" t="s">
        <v>488</v>
      </c>
      <c r="B195" s="32" t="s">
        <v>73</v>
      </c>
      <c r="C195" s="36" t="s">
        <v>255</v>
      </c>
      <c r="D195" s="36" t="s">
        <v>157</v>
      </c>
      <c r="E195" s="36" t="s">
        <v>81</v>
      </c>
      <c r="F195" s="37" t="s">
        <v>489</v>
      </c>
      <c r="G195" s="37" t="s">
        <v>490</v>
      </c>
      <c r="H195" s="37" t="s">
        <v>491</v>
      </c>
      <c r="I195" s="35"/>
      <c r="J195" s="35"/>
    </row>
    <row r="196">
      <c r="A196" s="32" t="s">
        <v>492</v>
      </c>
      <c r="B196" s="32" t="s">
        <v>38</v>
      </c>
      <c r="C196" s="36" t="s">
        <v>255</v>
      </c>
      <c r="D196" s="36" t="s">
        <v>201</v>
      </c>
      <c r="E196" s="36" t="s">
        <v>67</v>
      </c>
      <c r="F196" s="37" t="s">
        <v>493</v>
      </c>
      <c r="G196" s="37" t="s">
        <v>494</v>
      </c>
      <c r="H196" s="37" t="s">
        <v>495</v>
      </c>
      <c r="I196" s="35"/>
      <c r="J196" s="35"/>
    </row>
    <row r="197">
      <c r="A197" s="32" t="s">
        <v>496</v>
      </c>
      <c r="B197" s="32" t="s">
        <v>45</v>
      </c>
      <c r="C197" s="36" t="s">
        <v>255</v>
      </c>
      <c r="D197" s="36" t="s">
        <v>46</v>
      </c>
      <c r="E197" s="36" t="s">
        <v>34</v>
      </c>
      <c r="F197" s="37" t="s">
        <v>202</v>
      </c>
      <c r="G197" s="37" t="s">
        <v>241</v>
      </c>
      <c r="H197" s="37" t="s">
        <v>278</v>
      </c>
      <c r="I197" s="35"/>
      <c r="J197" s="35"/>
    </row>
    <row r="198">
      <c r="A198" s="32" t="s">
        <v>497</v>
      </c>
      <c r="B198" s="32" t="s">
        <v>109</v>
      </c>
      <c r="C198" s="36" t="s">
        <v>255</v>
      </c>
      <c r="D198" s="36" t="s">
        <v>33</v>
      </c>
      <c r="E198" s="36" t="s">
        <v>33</v>
      </c>
      <c r="F198" s="37" t="s">
        <v>498</v>
      </c>
      <c r="G198" s="34" t="s">
        <v>33</v>
      </c>
      <c r="H198" s="34" t="s">
        <v>33</v>
      </c>
      <c r="I198" s="35"/>
      <c r="J198" s="35"/>
    </row>
    <row r="199">
      <c r="A199" s="32" t="s">
        <v>499</v>
      </c>
      <c r="B199" s="32" t="s">
        <v>109</v>
      </c>
      <c r="C199" s="36" t="s">
        <v>255</v>
      </c>
      <c r="D199" s="36" t="s">
        <v>127</v>
      </c>
      <c r="E199" s="36" t="s">
        <v>33</v>
      </c>
      <c r="F199" s="37" t="s">
        <v>317</v>
      </c>
      <c r="G199" s="37" t="s">
        <v>318</v>
      </c>
      <c r="H199" s="34" t="s">
        <v>33</v>
      </c>
      <c r="I199" s="35"/>
      <c r="J199" s="35"/>
    </row>
    <row r="200">
      <c r="A200" s="32" t="s">
        <v>500</v>
      </c>
      <c r="B200" s="32" t="s">
        <v>62</v>
      </c>
      <c r="C200" s="36" t="s">
        <v>255</v>
      </c>
      <c r="D200" s="36" t="s">
        <v>66</v>
      </c>
      <c r="E200" s="36" t="s">
        <v>33</v>
      </c>
      <c r="F200" s="37" t="s">
        <v>501</v>
      </c>
      <c r="G200" s="37" t="s">
        <v>400</v>
      </c>
      <c r="H200" s="34" t="s">
        <v>33</v>
      </c>
      <c r="I200" s="35"/>
      <c r="J200" s="35"/>
    </row>
    <row r="201">
      <c r="A201" s="32" t="s">
        <v>502</v>
      </c>
      <c r="B201" s="32" t="s">
        <v>62</v>
      </c>
      <c r="C201" s="36" t="s">
        <v>255</v>
      </c>
      <c r="D201" s="36" t="s">
        <v>201</v>
      </c>
      <c r="E201" s="36" t="s">
        <v>152</v>
      </c>
      <c r="F201" s="37" t="s">
        <v>503</v>
      </c>
      <c r="G201" s="37" t="s">
        <v>504</v>
      </c>
      <c r="H201" s="37" t="s">
        <v>505</v>
      </c>
      <c r="I201" s="35"/>
      <c r="J201" s="35"/>
    </row>
    <row r="202">
      <c r="A202" s="32" t="s">
        <v>506</v>
      </c>
      <c r="B202" s="32" t="s">
        <v>62</v>
      </c>
      <c r="C202" s="36" t="s">
        <v>255</v>
      </c>
      <c r="D202" s="36" t="s">
        <v>119</v>
      </c>
      <c r="E202" s="36" t="s">
        <v>101</v>
      </c>
      <c r="F202" s="37" t="s">
        <v>507</v>
      </c>
      <c r="G202" s="37" t="s">
        <v>508</v>
      </c>
      <c r="H202" s="37" t="s">
        <v>509</v>
      </c>
      <c r="I202" s="35"/>
      <c r="J202" s="35"/>
    </row>
    <row r="203">
      <c r="A203" s="32" t="s">
        <v>510</v>
      </c>
      <c r="B203" s="32" t="s">
        <v>45</v>
      </c>
      <c r="C203" s="36" t="s">
        <v>95</v>
      </c>
      <c r="D203" s="36" t="s">
        <v>511</v>
      </c>
      <c r="E203" s="36" t="s">
        <v>68</v>
      </c>
      <c r="F203" s="37" t="s">
        <v>202</v>
      </c>
      <c r="G203" s="37" t="s">
        <v>241</v>
      </c>
      <c r="H203" s="37" t="s">
        <v>278</v>
      </c>
      <c r="I203" s="35"/>
      <c r="J203" s="35"/>
    </row>
    <row r="204">
      <c r="A204" s="32" t="s">
        <v>512</v>
      </c>
      <c r="B204" s="32" t="s">
        <v>109</v>
      </c>
      <c r="C204" s="36" t="s">
        <v>95</v>
      </c>
      <c r="D204" s="36" t="s">
        <v>137</v>
      </c>
      <c r="E204" s="36" t="s">
        <v>113</v>
      </c>
      <c r="F204" s="37" t="s">
        <v>166</v>
      </c>
      <c r="G204" s="37" t="s">
        <v>267</v>
      </c>
      <c r="H204" s="37" t="s">
        <v>168</v>
      </c>
      <c r="I204" s="35"/>
      <c r="J204" s="35"/>
    </row>
    <row r="205">
      <c r="A205" s="32" t="s">
        <v>513</v>
      </c>
      <c r="B205" s="32" t="s">
        <v>62</v>
      </c>
      <c r="C205" s="36" t="s">
        <v>95</v>
      </c>
      <c r="D205" s="36" t="s">
        <v>58</v>
      </c>
      <c r="E205" s="36" t="s">
        <v>26</v>
      </c>
      <c r="F205" s="37" t="s">
        <v>69</v>
      </c>
      <c r="G205" s="37" t="s">
        <v>70</v>
      </c>
      <c r="H205" s="37" t="s">
        <v>334</v>
      </c>
      <c r="I205" s="35"/>
      <c r="J205" s="35"/>
    </row>
    <row r="206">
      <c r="A206" s="32" t="s">
        <v>514</v>
      </c>
      <c r="B206" s="32" t="s">
        <v>62</v>
      </c>
      <c r="C206" s="36" t="s">
        <v>95</v>
      </c>
      <c r="D206" s="36" t="s">
        <v>113</v>
      </c>
      <c r="E206" s="36" t="s">
        <v>515</v>
      </c>
      <c r="F206" s="37" t="s">
        <v>516</v>
      </c>
      <c r="G206" s="37" t="s">
        <v>517</v>
      </c>
      <c r="H206" s="37" t="s">
        <v>518</v>
      </c>
      <c r="I206" s="35"/>
      <c r="J206" s="35"/>
    </row>
    <row r="207">
      <c r="A207" s="32" t="s">
        <v>519</v>
      </c>
      <c r="B207" s="32" t="s">
        <v>212</v>
      </c>
      <c r="C207" s="36" t="s">
        <v>365</v>
      </c>
      <c r="D207" s="36" t="s">
        <v>33</v>
      </c>
      <c r="E207" s="36" t="s">
        <v>33</v>
      </c>
      <c r="F207" s="37" t="s">
        <v>134</v>
      </c>
      <c r="G207" s="34" t="s">
        <v>33</v>
      </c>
      <c r="H207" s="34" t="s">
        <v>33</v>
      </c>
      <c r="I207" s="35"/>
      <c r="J207" s="35"/>
    </row>
    <row r="208">
      <c r="A208" s="32" t="s">
        <v>520</v>
      </c>
      <c r="B208" s="32" t="s">
        <v>212</v>
      </c>
      <c r="C208" s="36" t="s">
        <v>365</v>
      </c>
      <c r="D208" s="36" t="s">
        <v>457</v>
      </c>
      <c r="E208" s="36" t="s">
        <v>119</v>
      </c>
      <c r="F208" s="37" t="s">
        <v>375</v>
      </c>
      <c r="G208" s="37" t="s">
        <v>521</v>
      </c>
      <c r="H208" s="37" t="s">
        <v>379</v>
      </c>
      <c r="I208" s="35"/>
      <c r="J208" s="35"/>
    </row>
    <row r="209">
      <c r="A209" s="32" t="s">
        <v>522</v>
      </c>
      <c r="B209" s="32" t="s">
        <v>151</v>
      </c>
      <c r="C209" s="36" t="s">
        <v>365</v>
      </c>
      <c r="D209" s="36" t="s">
        <v>187</v>
      </c>
      <c r="E209" s="36" t="s">
        <v>201</v>
      </c>
      <c r="F209" s="37" t="s">
        <v>523</v>
      </c>
      <c r="G209" s="37" t="s">
        <v>490</v>
      </c>
      <c r="H209" s="37" t="s">
        <v>524</v>
      </c>
      <c r="I209" s="35"/>
      <c r="J209" s="35"/>
    </row>
    <row r="210">
      <c r="A210" s="32" t="s">
        <v>525</v>
      </c>
      <c r="B210" s="32" t="s">
        <v>38</v>
      </c>
      <c r="C210" s="36" t="s">
        <v>365</v>
      </c>
      <c r="D210" s="36" t="s">
        <v>201</v>
      </c>
      <c r="E210" s="36" t="s">
        <v>127</v>
      </c>
      <c r="F210" s="37" t="s">
        <v>233</v>
      </c>
      <c r="G210" s="37" t="s">
        <v>526</v>
      </c>
      <c r="H210" s="37" t="s">
        <v>235</v>
      </c>
      <c r="I210" s="35"/>
      <c r="J210" s="35"/>
    </row>
    <row r="211">
      <c r="A211" s="32" t="s">
        <v>527</v>
      </c>
      <c r="B211" s="32" t="s">
        <v>38</v>
      </c>
      <c r="C211" s="36" t="s">
        <v>365</v>
      </c>
      <c r="D211" s="36" t="s">
        <v>67</v>
      </c>
      <c r="E211" s="36" t="s">
        <v>528</v>
      </c>
      <c r="F211" s="37" t="s">
        <v>529</v>
      </c>
      <c r="G211" s="37" t="s">
        <v>530</v>
      </c>
      <c r="H211" s="37" t="s">
        <v>531</v>
      </c>
      <c r="I211" s="35"/>
      <c r="J211" s="35"/>
    </row>
    <row r="212">
      <c r="A212" s="32" t="s">
        <v>532</v>
      </c>
      <c r="B212" s="32" t="s">
        <v>38</v>
      </c>
      <c r="C212" s="36" t="s">
        <v>365</v>
      </c>
      <c r="D212" s="36" t="s">
        <v>53</v>
      </c>
      <c r="E212" s="36" t="s">
        <v>533</v>
      </c>
      <c r="F212" s="37" t="s">
        <v>534</v>
      </c>
      <c r="G212" s="37" t="s">
        <v>535</v>
      </c>
      <c r="H212" s="37" t="s">
        <v>536</v>
      </c>
      <c r="I212" s="35"/>
      <c r="J212" s="35"/>
    </row>
    <row r="213">
      <c r="A213" s="32" t="s">
        <v>537</v>
      </c>
      <c r="B213" s="32" t="s">
        <v>62</v>
      </c>
      <c r="C213" s="36" t="s">
        <v>365</v>
      </c>
      <c r="D213" s="36" t="s">
        <v>173</v>
      </c>
      <c r="E213" s="36" t="s">
        <v>33</v>
      </c>
      <c r="F213" s="37" t="s">
        <v>538</v>
      </c>
      <c r="G213" s="37" t="s">
        <v>539</v>
      </c>
      <c r="H213" s="34" t="s">
        <v>33</v>
      </c>
      <c r="I213" s="35"/>
      <c r="J213" s="35"/>
    </row>
    <row r="214">
      <c r="A214" s="32" t="s">
        <v>540</v>
      </c>
      <c r="B214" s="32" t="s">
        <v>62</v>
      </c>
      <c r="C214" s="36" t="s">
        <v>365</v>
      </c>
      <c r="D214" s="36" t="s">
        <v>49</v>
      </c>
      <c r="E214" s="36" t="s">
        <v>68</v>
      </c>
      <c r="F214" s="37" t="s">
        <v>503</v>
      </c>
      <c r="G214" s="37" t="s">
        <v>541</v>
      </c>
      <c r="H214" s="37" t="s">
        <v>505</v>
      </c>
      <c r="I214" s="35"/>
      <c r="J214" s="35"/>
    </row>
    <row r="215">
      <c r="A215" s="32" t="s">
        <v>542</v>
      </c>
      <c r="B215" s="32" t="s">
        <v>32</v>
      </c>
      <c r="C215" s="36" t="s">
        <v>157</v>
      </c>
      <c r="D215" s="36" t="s">
        <v>156</v>
      </c>
      <c r="E215" s="36" t="s">
        <v>53</v>
      </c>
      <c r="F215" s="37" t="s">
        <v>170</v>
      </c>
      <c r="G215" s="37" t="s">
        <v>135</v>
      </c>
      <c r="H215" s="37" t="s">
        <v>303</v>
      </c>
      <c r="I215" s="35"/>
      <c r="J215" s="35"/>
    </row>
    <row r="216">
      <c r="A216" s="32" t="s">
        <v>543</v>
      </c>
      <c r="B216" s="32" t="s">
        <v>45</v>
      </c>
      <c r="C216" s="36" t="s">
        <v>157</v>
      </c>
      <c r="D216" s="36" t="s">
        <v>33</v>
      </c>
      <c r="E216" s="36" t="s">
        <v>33</v>
      </c>
      <c r="F216" s="37" t="s">
        <v>134</v>
      </c>
      <c r="G216" s="34" t="s">
        <v>33</v>
      </c>
      <c r="H216" s="34" t="s">
        <v>33</v>
      </c>
      <c r="I216" s="35"/>
      <c r="J216" s="35"/>
    </row>
    <row r="217">
      <c r="A217" s="32" t="s">
        <v>544</v>
      </c>
      <c r="B217" s="32" t="s">
        <v>57</v>
      </c>
      <c r="C217" s="36" t="s">
        <v>157</v>
      </c>
      <c r="D217" s="36" t="s">
        <v>545</v>
      </c>
      <c r="E217" s="36" t="s">
        <v>33</v>
      </c>
      <c r="F217" s="37" t="s">
        <v>546</v>
      </c>
      <c r="G217" s="37" t="s">
        <v>190</v>
      </c>
      <c r="H217" s="34" t="s">
        <v>33</v>
      </c>
      <c r="I217" s="35"/>
      <c r="J217" s="35"/>
    </row>
    <row r="218">
      <c r="A218" s="32" t="s">
        <v>547</v>
      </c>
      <c r="B218" s="32" t="s">
        <v>57</v>
      </c>
      <c r="C218" s="36" t="s">
        <v>157</v>
      </c>
      <c r="D218" s="36" t="s">
        <v>33</v>
      </c>
      <c r="E218" s="36" t="s">
        <v>33</v>
      </c>
      <c r="F218" s="37" t="s">
        <v>102</v>
      </c>
      <c r="G218" s="34" t="s">
        <v>33</v>
      </c>
      <c r="H218" s="34" t="s">
        <v>33</v>
      </c>
      <c r="I218" s="35"/>
      <c r="J218" s="35"/>
    </row>
    <row r="219">
      <c r="A219" s="32" t="s">
        <v>548</v>
      </c>
      <c r="B219" s="32" t="s">
        <v>57</v>
      </c>
      <c r="C219" s="36" t="s">
        <v>157</v>
      </c>
      <c r="D219" s="36" t="s">
        <v>33</v>
      </c>
      <c r="E219" s="36" t="s">
        <v>199</v>
      </c>
      <c r="F219" s="37" t="s">
        <v>503</v>
      </c>
      <c r="G219" s="34" t="s">
        <v>33</v>
      </c>
      <c r="H219" s="37" t="s">
        <v>505</v>
      </c>
      <c r="I219" s="35"/>
      <c r="J219" s="35"/>
    </row>
    <row r="220">
      <c r="A220" s="32" t="s">
        <v>549</v>
      </c>
      <c r="B220" s="32" t="s">
        <v>57</v>
      </c>
      <c r="C220" s="36" t="s">
        <v>157</v>
      </c>
      <c r="D220" s="36" t="s">
        <v>178</v>
      </c>
      <c r="E220" s="36" t="s">
        <v>322</v>
      </c>
      <c r="F220" s="37" t="s">
        <v>550</v>
      </c>
      <c r="G220" s="37" t="s">
        <v>551</v>
      </c>
      <c r="H220" s="37" t="s">
        <v>552</v>
      </c>
      <c r="I220" s="35"/>
      <c r="J220" s="35"/>
    </row>
    <row r="221">
      <c r="A221" s="32" t="s">
        <v>553</v>
      </c>
      <c r="B221" s="32" t="s">
        <v>109</v>
      </c>
      <c r="C221" s="36" t="s">
        <v>157</v>
      </c>
      <c r="D221" s="36" t="s">
        <v>284</v>
      </c>
      <c r="E221" s="36" t="s">
        <v>33</v>
      </c>
      <c r="F221" s="37" t="s">
        <v>554</v>
      </c>
      <c r="G221" s="37" t="s">
        <v>347</v>
      </c>
      <c r="H221" s="34" t="s">
        <v>33</v>
      </c>
      <c r="I221" s="35"/>
      <c r="J221" s="35"/>
    </row>
    <row r="222">
      <c r="A222" s="32" t="s">
        <v>555</v>
      </c>
      <c r="B222" s="32" t="s">
        <v>109</v>
      </c>
      <c r="C222" s="36" t="s">
        <v>157</v>
      </c>
      <c r="D222" s="36" t="s">
        <v>63</v>
      </c>
      <c r="E222" s="36" t="s">
        <v>369</v>
      </c>
      <c r="F222" s="37" t="s">
        <v>538</v>
      </c>
      <c r="G222" s="37" t="s">
        <v>539</v>
      </c>
      <c r="H222" s="37" t="s">
        <v>303</v>
      </c>
      <c r="I222" s="35"/>
      <c r="J222" s="35"/>
    </row>
    <row r="223">
      <c r="A223" s="32" t="s">
        <v>556</v>
      </c>
      <c r="B223" s="32" t="s">
        <v>109</v>
      </c>
      <c r="C223" s="36" t="s">
        <v>157</v>
      </c>
      <c r="D223" s="36" t="s">
        <v>399</v>
      </c>
      <c r="E223" s="36" t="s">
        <v>34</v>
      </c>
      <c r="F223" s="37" t="s">
        <v>69</v>
      </c>
      <c r="G223" s="37" t="s">
        <v>70</v>
      </c>
      <c r="H223" s="37" t="s">
        <v>71</v>
      </c>
      <c r="I223" s="35"/>
      <c r="J223" s="35"/>
    </row>
    <row r="224">
      <c r="A224" s="32" t="s">
        <v>557</v>
      </c>
      <c r="B224" s="32" t="s">
        <v>109</v>
      </c>
      <c r="C224" s="36" t="s">
        <v>157</v>
      </c>
      <c r="D224" s="36" t="s">
        <v>49</v>
      </c>
      <c r="E224" s="36" t="s">
        <v>240</v>
      </c>
      <c r="F224" s="37" t="s">
        <v>346</v>
      </c>
      <c r="G224" s="37" t="s">
        <v>558</v>
      </c>
      <c r="H224" s="37" t="s">
        <v>348</v>
      </c>
      <c r="I224" s="35"/>
      <c r="J224" s="35"/>
    </row>
    <row r="225">
      <c r="A225" s="32" t="s">
        <v>559</v>
      </c>
      <c r="B225" s="32" t="s">
        <v>62</v>
      </c>
      <c r="C225" s="36" t="s">
        <v>157</v>
      </c>
      <c r="D225" s="36" t="s">
        <v>33</v>
      </c>
      <c r="E225" s="36" t="s">
        <v>450</v>
      </c>
      <c r="F225" s="37" t="s">
        <v>83</v>
      </c>
      <c r="G225" s="34" t="s">
        <v>33</v>
      </c>
      <c r="H225" s="37" t="s">
        <v>560</v>
      </c>
      <c r="I225" s="35"/>
      <c r="J225" s="35"/>
    </row>
    <row r="226">
      <c r="A226" s="32" t="s">
        <v>561</v>
      </c>
      <c r="B226" s="32" t="s">
        <v>62</v>
      </c>
      <c r="C226" s="36" t="s">
        <v>157</v>
      </c>
      <c r="D226" s="36" t="s">
        <v>156</v>
      </c>
      <c r="E226" s="36" t="s">
        <v>53</v>
      </c>
      <c r="F226" s="37" t="s">
        <v>166</v>
      </c>
      <c r="G226" s="37" t="s">
        <v>267</v>
      </c>
      <c r="H226" s="37" t="s">
        <v>168</v>
      </c>
      <c r="I226" s="35"/>
      <c r="J226" s="35"/>
    </row>
    <row r="227">
      <c r="A227" s="32" t="s">
        <v>562</v>
      </c>
      <c r="B227" s="32" t="s">
        <v>154</v>
      </c>
      <c r="C227" s="36" t="s">
        <v>122</v>
      </c>
      <c r="D227" s="36" t="s">
        <v>377</v>
      </c>
      <c r="E227" s="36" t="s">
        <v>119</v>
      </c>
      <c r="F227" s="37" t="s">
        <v>134</v>
      </c>
      <c r="G227" s="37" t="s">
        <v>135</v>
      </c>
      <c r="H227" s="37" t="s">
        <v>563</v>
      </c>
      <c r="I227" s="35"/>
      <c r="J227" s="35"/>
    </row>
    <row r="228">
      <c r="A228" s="32" t="s">
        <v>564</v>
      </c>
      <c r="B228" s="32" t="s">
        <v>38</v>
      </c>
      <c r="C228" s="36" t="s">
        <v>122</v>
      </c>
      <c r="D228" s="36" t="s">
        <v>33</v>
      </c>
      <c r="E228" s="36" t="s">
        <v>33</v>
      </c>
      <c r="F228" s="37" t="s">
        <v>529</v>
      </c>
      <c r="G228" s="34" t="s">
        <v>33</v>
      </c>
      <c r="H228" s="34" t="s">
        <v>33</v>
      </c>
      <c r="I228" s="35"/>
      <c r="J228" s="35"/>
    </row>
    <row r="229">
      <c r="A229" s="32" t="s">
        <v>565</v>
      </c>
      <c r="B229" s="32" t="s">
        <v>45</v>
      </c>
      <c r="C229" s="36" t="s">
        <v>122</v>
      </c>
      <c r="D229" s="36" t="s">
        <v>27</v>
      </c>
      <c r="E229" s="36" t="s">
        <v>33</v>
      </c>
      <c r="F229" s="37" t="s">
        <v>309</v>
      </c>
      <c r="G229" s="37" t="s">
        <v>566</v>
      </c>
      <c r="H229" s="34" t="s">
        <v>33</v>
      </c>
      <c r="I229" s="35"/>
      <c r="J229" s="35"/>
    </row>
    <row r="230">
      <c r="A230" s="32" t="s">
        <v>567</v>
      </c>
      <c r="B230" s="32" t="s">
        <v>45</v>
      </c>
      <c r="C230" s="36" t="s">
        <v>122</v>
      </c>
      <c r="D230" s="36" t="s">
        <v>58</v>
      </c>
      <c r="E230" s="36" t="s">
        <v>399</v>
      </c>
      <c r="F230" s="37" t="s">
        <v>568</v>
      </c>
      <c r="G230" s="37" t="s">
        <v>400</v>
      </c>
      <c r="H230" s="37" t="s">
        <v>359</v>
      </c>
      <c r="I230" s="35"/>
      <c r="J230" s="35"/>
    </row>
    <row r="231">
      <c r="A231" s="32" t="s">
        <v>569</v>
      </c>
      <c r="B231" s="32" t="s">
        <v>57</v>
      </c>
      <c r="C231" s="36" t="s">
        <v>122</v>
      </c>
      <c r="D231" s="36" t="s">
        <v>399</v>
      </c>
      <c r="E231" s="36" t="s">
        <v>67</v>
      </c>
      <c r="F231" s="37" t="s">
        <v>233</v>
      </c>
      <c r="G231" s="37" t="s">
        <v>47</v>
      </c>
      <c r="H231" s="37" t="s">
        <v>570</v>
      </c>
      <c r="I231" s="35"/>
      <c r="J231" s="35"/>
    </row>
    <row r="232">
      <c r="A232" s="32" t="s">
        <v>571</v>
      </c>
      <c r="B232" s="32" t="s">
        <v>109</v>
      </c>
      <c r="C232" s="36" t="s">
        <v>122</v>
      </c>
      <c r="D232" s="36" t="s">
        <v>322</v>
      </c>
      <c r="E232" s="36" t="s">
        <v>33</v>
      </c>
      <c r="F232" s="37" t="s">
        <v>572</v>
      </c>
      <c r="G232" s="37" t="s">
        <v>573</v>
      </c>
      <c r="H232" s="34" t="s">
        <v>33</v>
      </c>
      <c r="I232" s="35"/>
      <c r="J232" s="35"/>
    </row>
    <row r="233">
      <c r="A233" s="32" t="s">
        <v>574</v>
      </c>
      <c r="B233" s="32" t="s">
        <v>109</v>
      </c>
      <c r="C233" s="36" t="s">
        <v>122</v>
      </c>
      <c r="D233" s="36" t="s">
        <v>33</v>
      </c>
      <c r="E233" s="36" t="s">
        <v>33</v>
      </c>
      <c r="F233" s="37" t="s">
        <v>262</v>
      </c>
      <c r="G233" s="34" t="s">
        <v>33</v>
      </c>
      <c r="H233" s="34" t="s">
        <v>33</v>
      </c>
      <c r="I233" s="35"/>
      <c r="J233" s="35"/>
    </row>
    <row r="234">
      <c r="A234" s="32" t="s">
        <v>575</v>
      </c>
      <c r="B234" s="32" t="s">
        <v>109</v>
      </c>
      <c r="C234" s="36" t="s">
        <v>122</v>
      </c>
      <c r="D234" s="36" t="s">
        <v>33</v>
      </c>
      <c r="E234" s="36" t="s">
        <v>283</v>
      </c>
      <c r="F234" s="37" t="s">
        <v>576</v>
      </c>
      <c r="G234" s="34" t="s">
        <v>33</v>
      </c>
      <c r="H234" s="37" t="s">
        <v>577</v>
      </c>
      <c r="I234" s="35"/>
      <c r="J234" s="35"/>
    </row>
    <row r="235">
      <c r="A235" s="32" t="s">
        <v>578</v>
      </c>
      <c r="B235" s="32" t="s">
        <v>109</v>
      </c>
      <c r="C235" s="36" t="s">
        <v>122</v>
      </c>
      <c r="D235" s="36" t="s">
        <v>127</v>
      </c>
      <c r="E235" s="36" t="s">
        <v>87</v>
      </c>
      <c r="F235" s="37" t="s">
        <v>579</v>
      </c>
      <c r="G235" s="37" t="s">
        <v>580</v>
      </c>
      <c r="H235" s="37" t="s">
        <v>581</v>
      </c>
      <c r="I235" s="35"/>
      <c r="J235" s="35"/>
    </row>
    <row r="236">
      <c r="A236" s="32" t="s">
        <v>582</v>
      </c>
      <c r="B236" s="32" t="s">
        <v>212</v>
      </c>
      <c r="C236" s="36" t="s">
        <v>46</v>
      </c>
      <c r="D236" s="36" t="s">
        <v>33</v>
      </c>
      <c r="E236" s="36" t="s">
        <v>385</v>
      </c>
      <c r="F236" s="37" t="s">
        <v>375</v>
      </c>
      <c r="G236" s="34" t="s">
        <v>33</v>
      </c>
      <c r="H236" s="37" t="s">
        <v>474</v>
      </c>
      <c r="I236" s="35"/>
      <c r="J236" s="35"/>
    </row>
    <row r="237">
      <c r="A237" s="32" t="s">
        <v>583</v>
      </c>
      <c r="B237" s="32" t="s">
        <v>32</v>
      </c>
      <c r="C237" s="36" t="s">
        <v>46</v>
      </c>
      <c r="D237" s="36" t="s">
        <v>218</v>
      </c>
      <c r="E237" s="36" t="s">
        <v>96</v>
      </c>
      <c r="F237" s="37" t="s">
        <v>83</v>
      </c>
      <c r="G237" s="37" t="s">
        <v>84</v>
      </c>
      <c r="H237" s="37" t="s">
        <v>142</v>
      </c>
      <c r="I237" s="35"/>
      <c r="J237" s="35"/>
    </row>
    <row r="238">
      <c r="A238" s="32" t="s">
        <v>584</v>
      </c>
      <c r="B238" s="32" t="s">
        <v>45</v>
      </c>
      <c r="C238" s="36" t="s">
        <v>46</v>
      </c>
      <c r="D238" s="36" t="s">
        <v>199</v>
      </c>
      <c r="E238" s="36" t="s">
        <v>226</v>
      </c>
      <c r="F238" s="37" t="s">
        <v>309</v>
      </c>
      <c r="G238" s="37" t="s">
        <v>585</v>
      </c>
      <c r="H238" s="37" t="s">
        <v>311</v>
      </c>
      <c r="I238" s="35"/>
      <c r="J238" s="35"/>
    </row>
    <row r="239">
      <c r="A239" s="32" t="s">
        <v>586</v>
      </c>
      <c r="B239" s="32" t="s">
        <v>57</v>
      </c>
      <c r="C239" s="36" t="s">
        <v>46</v>
      </c>
      <c r="D239" s="36" t="s">
        <v>95</v>
      </c>
      <c r="E239" s="36" t="s">
        <v>137</v>
      </c>
      <c r="F239" s="37" t="s">
        <v>78</v>
      </c>
      <c r="G239" s="37" t="s">
        <v>79</v>
      </c>
      <c r="H239" s="37" t="s">
        <v>132</v>
      </c>
      <c r="I239" s="35"/>
      <c r="J239" s="35"/>
    </row>
    <row r="240">
      <c r="A240" s="32" t="s">
        <v>587</v>
      </c>
      <c r="B240" s="32" t="s">
        <v>109</v>
      </c>
      <c r="C240" s="36" t="s">
        <v>46</v>
      </c>
      <c r="D240" s="36" t="s">
        <v>74</v>
      </c>
      <c r="E240" s="36" t="s">
        <v>266</v>
      </c>
      <c r="F240" s="37" t="s">
        <v>323</v>
      </c>
      <c r="G240" s="37" t="s">
        <v>234</v>
      </c>
      <c r="H240" s="37" t="s">
        <v>588</v>
      </c>
      <c r="I240" s="35"/>
      <c r="J240" s="35"/>
    </row>
    <row r="241">
      <c r="A241" s="32" t="s">
        <v>589</v>
      </c>
      <c r="B241" s="32" t="s">
        <v>109</v>
      </c>
      <c r="C241" s="36" t="s">
        <v>46</v>
      </c>
      <c r="D241" s="36" t="s">
        <v>33</v>
      </c>
      <c r="E241" s="36" t="s">
        <v>33</v>
      </c>
      <c r="F241" s="37" t="s">
        <v>102</v>
      </c>
      <c r="G241" s="34" t="s">
        <v>33</v>
      </c>
      <c r="H241" s="34" t="s">
        <v>33</v>
      </c>
      <c r="I241" s="35"/>
      <c r="J241" s="35"/>
    </row>
    <row r="242">
      <c r="A242" s="32" t="s">
        <v>590</v>
      </c>
      <c r="B242" s="32" t="s">
        <v>62</v>
      </c>
      <c r="C242" s="36" t="s">
        <v>46</v>
      </c>
      <c r="D242" s="36" t="s">
        <v>591</v>
      </c>
      <c r="E242" s="36" t="s">
        <v>331</v>
      </c>
      <c r="F242" s="37" t="s">
        <v>417</v>
      </c>
      <c r="G242" s="37" t="s">
        <v>355</v>
      </c>
      <c r="H242" s="37" t="s">
        <v>405</v>
      </c>
      <c r="I242" s="35"/>
      <c r="J242" s="35"/>
    </row>
    <row r="243">
      <c r="A243" s="32" t="s">
        <v>592</v>
      </c>
      <c r="B243" s="32" t="s">
        <v>62</v>
      </c>
      <c r="C243" s="36" t="s">
        <v>46</v>
      </c>
      <c r="D243" s="36" t="s">
        <v>33</v>
      </c>
      <c r="E243" s="36" t="s">
        <v>33</v>
      </c>
      <c r="F243" s="37" t="s">
        <v>593</v>
      </c>
      <c r="G243" s="34" t="s">
        <v>33</v>
      </c>
      <c r="H243" s="34" t="s">
        <v>33</v>
      </c>
      <c r="I243" s="35"/>
      <c r="J243" s="35"/>
    </row>
    <row r="244">
      <c r="A244" s="32" t="s">
        <v>594</v>
      </c>
      <c r="B244" s="32" t="s">
        <v>151</v>
      </c>
      <c r="C244" s="36" t="s">
        <v>91</v>
      </c>
      <c r="D244" s="36" t="s">
        <v>476</v>
      </c>
      <c r="E244" s="36" t="s">
        <v>119</v>
      </c>
      <c r="F244" s="37" t="s">
        <v>595</v>
      </c>
      <c r="G244" s="37" t="s">
        <v>596</v>
      </c>
      <c r="H244" s="37" t="s">
        <v>597</v>
      </c>
      <c r="I244" s="35"/>
      <c r="J244" s="35"/>
    </row>
    <row r="245">
      <c r="A245" s="32" t="s">
        <v>598</v>
      </c>
      <c r="B245" s="32" t="s">
        <v>38</v>
      </c>
      <c r="C245" s="36" t="s">
        <v>91</v>
      </c>
      <c r="D245" s="36" t="s">
        <v>599</v>
      </c>
      <c r="E245" s="36" t="s">
        <v>53</v>
      </c>
      <c r="F245" s="37" t="s">
        <v>600</v>
      </c>
      <c r="G245" s="37" t="s">
        <v>310</v>
      </c>
      <c r="H245" s="37" t="s">
        <v>311</v>
      </c>
      <c r="I245" s="35"/>
      <c r="J245" s="35"/>
    </row>
    <row r="246">
      <c r="A246" s="32" t="s">
        <v>601</v>
      </c>
      <c r="B246" s="32" t="s">
        <v>45</v>
      </c>
      <c r="C246" s="36" t="s">
        <v>91</v>
      </c>
      <c r="D246" s="36" t="s">
        <v>371</v>
      </c>
      <c r="E246" s="36" t="s">
        <v>33</v>
      </c>
      <c r="F246" s="37" t="s">
        <v>69</v>
      </c>
      <c r="G246" s="37" t="s">
        <v>163</v>
      </c>
      <c r="H246" s="34" t="s">
        <v>33</v>
      </c>
      <c r="I246" s="35"/>
      <c r="J246" s="35"/>
    </row>
    <row r="247">
      <c r="A247" s="32" t="s">
        <v>602</v>
      </c>
      <c r="B247" s="32" t="s">
        <v>45</v>
      </c>
      <c r="C247" s="36" t="s">
        <v>91</v>
      </c>
      <c r="D247" s="36" t="s">
        <v>46</v>
      </c>
      <c r="E247" s="36" t="s">
        <v>442</v>
      </c>
      <c r="F247" s="37" t="s">
        <v>595</v>
      </c>
      <c r="G247" s="37" t="s">
        <v>603</v>
      </c>
      <c r="H247" s="37" t="s">
        <v>604</v>
      </c>
      <c r="I247" s="35"/>
      <c r="J247" s="35"/>
    </row>
    <row r="248">
      <c r="A248" s="32" t="s">
        <v>605</v>
      </c>
      <c r="B248" s="32" t="s">
        <v>109</v>
      </c>
      <c r="C248" s="36" t="s">
        <v>91</v>
      </c>
      <c r="D248" s="36" t="s">
        <v>515</v>
      </c>
      <c r="E248" s="36" t="s">
        <v>322</v>
      </c>
      <c r="F248" s="37" t="s">
        <v>489</v>
      </c>
      <c r="G248" s="37" t="s">
        <v>521</v>
      </c>
      <c r="H248" s="37" t="s">
        <v>491</v>
      </c>
      <c r="I248" s="35"/>
      <c r="J248" s="35"/>
    </row>
    <row r="249">
      <c r="A249" s="32" t="s">
        <v>606</v>
      </c>
      <c r="B249" s="32" t="s">
        <v>109</v>
      </c>
      <c r="C249" s="36" t="s">
        <v>91</v>
      </c>
      <c r="D249" s="36" t="s">
        <v>33</v>
      </c>
      <c r="E249" s="36" t="s">
        <v>33</v>
      </c>
      <c r="F249" s="37" t="s">
        <v>102</v>
      </c>
      <c r="G249" s="34" t="s">
        <v>33</v>
      </c>
      <c r="H249" s="34" t="s">
        <v>33</v>
      </c>
      <c r="I249" s="35"/>
      <c r="J249" s="35"/>
    </row>
    <row r="250">
      <c r="A250" s="32" t="s">
        <v>607</v>
      </c>
      <c r="B250" s="32" t="s">
        <v>62</v>
      </c>
      <c r="C250" s="36" t="s">
        <v>91</v>
      </c>
      <c r="D250" s="36" t="s">
        <v>385</v>
      </c>
      <c r="E250" s="36" t="s">
        <v>533</v>
      </c>
      <c r="F250" s="37" t="s">
        <v>323</v>
      </c>
      <c r="G250" s="37" t="s">
        <v>47</v>
      </c>
      <c r="H250" s="37" t="s">
        <v>588</v>
      </c>
      <c r="I250" s="35"/>
      <c r="J250" s="35"/>
    </row>
    <row r="251">
      <c r="A251" s="32" t="s">
        <v>608</v>
      </c>
      <c r="B251" s="32" t="s">
        <v>62</v>
      </c>
      <c r="C251" s="36" t="s">
        <v>91</v>
      </c>
      <c r="D251" s="36" t="s">
        <v>254</v>
      </c>
      <c r="E251" s="36" t="s">
        <v>33</v>
      </c>
      <c r="F251" s="37" t="s">
        <v>78</v>
      </c>
      <c r="G251" s="37" t="s">
        <v>224</v>
      </c>
      <c r="H251" s="34" t="s">
        <v>33</v>
      </c>
      <c r="I251" s="35"/>
      <c r="J251" s="35"/>
    </row>
    <row r="252">
      <c r="A252" s="32" t="s">
        <v>609</v>
      </c>
      <c r="B252" s="32" t="s">
        <v>32</v>
      </c>
      <c r="C252" s="36" t="s">
        <v>240</v>
      </c>
      <c r="D252" s="36" t="s">
        <v>91</v>
      </c>
      <c r="E252" s="36" t="s">
        <v>33</v>
      </c>
      <c r="F252" s="37" t="s">
        <v>610</v>
      </c>
      <c r="G252" s="37" t="s">
        <v>611</v>
      </c>
      <c r="H252" s="34" t="s">
        <v>33</v>
      </c>
      <c r="I252" s="35"/>
      <c r="J252" s="35"/>
    </row>
    <row r="253">
      <c r="A253" s="32" t="s">
        <v>612</v>
      </c>
      <c r="B253" s="32" t="s">
        <v>45</v>
      </c>
      <c r="C253" s="36" t="s">
        <v>240</v>
      </c>
      <c r="D253" s="36" t="s">
        <v>245</v>
      </c>
      <c r="E253" s="36" t="s">
        <v>533</v>
      </c>
      <c r="F253" s="37" t="s">
        <v>613</v>
      </c>
      <c r="G253" s="37" t="s">
        <v>614</v>
      </c>
      <c r="H253" s="37" t="s">
        <v>359</v>
      </c>
      <c r="I253" s="35"/>
      <c r="J253" s="35"/>
    </row>
    <row r="254">
      <c r="A254" s="32" t="s">
        <v>615</v>
      </c>
      <c r="B254" s="32" t="s">
        <v>109</v>
      </c>
      <c r="C254" s="36" t="s">
        <v>240</v>
      </c>
      <c r="D254" s="36" t="s">
        <v>33</v>
      </c>
      <c r="E254" s="36" t="s">
        <v>33</v>
      </c>
      <c r="F254" s="37" t="s">
        <v>576</v>
      </c>
      <c r="G254" s="34" t="s">
        <v>33</v>
      </c>
      <c r="H254" s="34" t="s">
        <v>33</v>
      </c>
      <c r="I254" s="35"/>
      <c r="J254" s="35"/>
    </row>
    <row r="255">
      <c r="A255" s="32" t="s">
        <v>616</v>
      </c>
      <c r="B255" s="32" t="s">
        <v>109</v>
      </c>
      <c r="C255" s="36" t="s">
        <v>240</v>
      </c>
      <c r="D255" s="36" t="s">
        <v>141</v>
      </c>
      <c r="E255" s="36" t="s">
        <v>33</v>
      </c>
      <c r="F255" s="37" t="s">
        <v>617</v>
      </c>
      <c r="G255" s="37" t="s">
        <v>618</v>
      </c>
      <c r="H255" s="34" t="s">
        <v>33</v>
      </c>
      <c r="I255" s="35"/>
      <c r="J255" s="35"/>
    </row>
    <row r="256">
      <c r="A256" s="32" t="s">
        <v>619</v>
      </c>
      <c r="B256" s="32" t="s">
        <v>109</v>
      </c>
      <c r="C256" s="36" t="s">
        <v>240</v>
      </c>
      <c r="D256" s="36" t="s">
        <v>33</v>
      </c>
      <c r="E256" s="36" t="s">
        <v>33</v>
      </c>
      <c r="F256" s="37" t="s">
        <v>620</v>
      </c>
      <c r="G256" s="34" t="s">
        <v>33</v>
      </c>
      <c r="H256" s="34" t="s">
        <v>33</v>
      </c>
      <c r="I256" s="35"/>
      <c r="J256" s="35"/>
    </row>
    <row r="257">
      <c r="A257" s="32" t="s">
        <v>621</v>
      </c>
      <c r="B257" s="32" t="s">
        <v>62</v>
      </c>
      <c r="C257" s="36" t="s">
        <v>240</v>
      </c>
      <c r="D257" s="36" t="s">
        <v>51</v>
      </c>
      <c r="E257" s="36" t="s">
        <v>33</v>
      </c>
      <c r="F257" s="37" t="s">
        <v>622</v>
      </c>
      <c r="G257" s="37" t="s">
        <v>216</v>
      </c>
      <c r="H257" s="34" t="s">
        <v>33</v>
      </c>
      <c r="I257" s="35"/>
      <c r="J257" s="35"/>
    </row>
    <row r="258">
      <c r="A258" s="32" t="s">
        <v>623</v>
      </c>
      <c r="B258" s="32" t="s">
        <v>38</v>
      </c>
      <c r="C258" s="36" t="s">
        <v>113</v>
      </c>
      <c r="D258" s="36" t="s">
        <v>33</v>
      </c>
      <c r="E258" s="36" t="s">
        <v>33</v>
      </c>
      <c r="F258" s="37" t="s">
        <v>498</v>
      </c>
      <c r="G258" s="34" t="s">
        <v>33</v>
      </c>
      <c r="H258" s="34" t="s">
        <v>33</v>
      </c>
      <c r="I258" s="35"/>
      <c r="J258" s="35"/>
    </row>
    <row r="259">
      <c r="A259" s="32" t="s">
        <v>624</v>
      </c>
      <c r="B259" s="32" t="s">
        <v>38</v>
      </c>
      <c r="C259" s="36" t="s">
        <v>113</v>
      </c>
      <c r="D259" s="36" t="s">
        <v>33</v>
      </c>
      <c r="E259" s="36" t="s">
        <v>188</v>
      </c>
      <c r="F259" s="37" t="s">
        <v>625</v>
      </c>
      <c r="G259" s="34" t="s">
        <v>33</v>
      </c>
      <c r="H259" s="37" t="s">
        <v>359</v>
      </c>
      <c r="I259" s="35"/>
      <c r="J259" s="35"/>
    </row>
    <row r="260">
      <c r="A260" s="32" t="s">
        <v>626</v>
      </c>
      <c r="B260" s="32" t="s">
        <v>109</v>
      </c>
      <c r="C260" s="36" t="s">
        <v>113</v>
      </c>
      <c r="D260" s="36" t="s">
        <v>178</v>
      </c>
      <c r="E260" s="36" t="s">
        <v>218</v>
      </c>
      <c r="F260" s="37" t="s">
        <v>627</v>
      </c>
      <c r="G260" s="37" t="s">
        <v>400</v>
      </c>
      <c r="H260" s="37" t="s">
        <v>359</v>
      </c>
      <c r="I260" s="35"/>
      <c r="J260" s="35"/>
    </row>
    <row r="261">
      <c r="A261" s="32" t="s">
        <v>628</v>
      </c>
      <c r="B261" s="32" t="s">
        <v>109</v>
      </c>
      <c r="C261" s="36" t="s">
        <v>113</v>
      </c>
      <c r="D261" s="36" t="s">
        <v>385</v>
      </c>
      <c r="E261" s="36" t="s">
        <v>33</v>
      </c>
      <c r="F261" s="37" t="s">
        <v>629</v>
      </c>
      <c r="G261" s="37" t="s">
        <v>197</v>
      </c>
      <c r="H261" s="34" t="s">
        <v>33</v>
      </c>
      <c r="I261" s="35"/>
      <c r="J261" s="35"/>
    </row>
    <row r="262">
      <c r="A262" s="32" t="s">
        <v>630</v>
      </c>
      <c r="B262" s="32" t="s">
        <v>109</v>
      </c>
      <c r="C262" s="36" t="s">
        <v>113</v>
      </c>
      <c r="D262" s="36" t="s">
        <v>33</v>
      </c>
      <c r="E262" s="36" t="s">
        <v>140</v>
      </c>
      <c r="F262" s="37" t="s">
        <v>88</v>
      </c>
      <c r="G262" s="34" t="s">
        <v>33</v>
      </c>
      <c r="H262" s="37" t="s">
        <v>631</v>
      </c>
      <c r="I262" s="35"/>
      <c r="J262" s="35"/>
    </row>
    <row r="263">
      <c r="A263" s="32" t="s">
        <v>632</v>
      </c>
      <c r="B263" s="32" t="s">
        <v>151</v>
      </c>
      <c r="C263" s="36" t="s">
        <v>201</v>
      </c>
      <c r="D263" s="36" t="s">
        <v>187</v>
      </c>
      <c r="E263" s="36" t="s">
        <v>34</v>
      </c>
      <c r="F263" s="37" t="s">
        <v>633</v>
      </c>
      <c r="G263" s="37" t="s">
        <v>634</v>
      </c>
      <c r="H263" s="37" t="s">
        <v>635</v>
      </c>
      <c r="I263" s="35"/>
      <c r="J263" s="35"/>
    </row>
    <row r="264">
      <c r="A264" s="32" t="s">
        <v>636</v>
      </c>
      <c r="B264" s="32" t="s">
        <v>45</v>
      </c>
      <c r="C264" s="36" t="s">
        <v>201</v>
      </c>
      <c r="D264" s="36" t="s">
        <v>240</v>
      </c>
      <c r="E264" s="36" t="s">
        <v>33</v>
      </c>
      <c r="F264" s="37" t="s">
        <v>637</v>
      </c>
      <c r="G264" s="37" t="s">
        <v>638</v>
      </c>
      <c r="H264" s="34" t="s">
        <v>33</v>
      </c>
      <c r="I264" s="35"/>
      <c r="J264" s="35"/>
    </row>
    <row r="265">
      <c r="A265" s="32" t="s">
        <v>639</v>
      </c>
      <c r="B265" s="32" t="s">
        <v>109</v>
      </c>
      <c r="C265" s="36" t="s">
        <v>201</v>
      </c>
      <c r="D265" s="36" t="s">
        <v>63</v>
      </c>
      <c r="E265" s="36" t="s">
        <v>187</v>
      </c>
      <c r="F265" s="37" t="s">
        <v>640</v>
      </c>
      <c r="G265" s="37" t="s">
        <v>175</v>
      </c>
      <c r="H265" s="37" t="s">
        <v>176</v>
      </c>
      <c r="I265" s="35"/>
      <c r="J265" s="35"/>
    </row>
    <row r="266">
      <c r="A266" s="32" t="s">
        <v>641</v>
      </c>
      <c r="B266" s="32" t="s">
        <v>109</v>
      </c>
      <c r="C266" s="36" t="s">
        <v>201</v>
      </c>
      <c r="D266" s="36" t="s">
        <v>33</v>
      </c>
      <c r="E266" s="36" t="s">
        <v>240</v>
      </c>
      <c r="F266" s="37" t="s">
        <v>54</v>
      </c>
      <c r="G266" s="34" t="s">
        <v>33</v>
      </c>
      <c r="H266" s="37" t="s">
        <v>642</v>
      </c>
      <c r="I266" s="35"/>
      <c r="J266" s="35"/>
    </row>
    <row r="267">
      <c r="A267" s="32" t="s">
        <v>643</v>
      </c>
      <c r="B267" s="32" t="s">
        <v>62</v>
      </c>
      <c r="C267" s="36" t="s">
        <v>201</v>
      </c>
      <c r="D267" s="36" t="s">
        <v>33</v>
      </c>
      <c r="E267" s="36" t="s">
        <v>369</v>
      </c>
      <c r="F267" s="37" t="s">
        <v>189</v>
      </c>
      <c r="G267" s="34" t="s">
        <v>33</v>
      </c>
      <c r="H267" s="37" t="s">
        <v>191</v>
      </c>
      <c r="I267" s="35"/>
      <c r="J267" s="35"/>
    </row>
    <row r="268">
      <c r="A268" s="32" t="s">
        <v>644</v>
      </c>
      <c r="B268" s="32" t="s">
        <v>62</v>
      </c>
      <c r="C268" s="36" t="s">
        <v>201</v>
      </c>
      <c r="D268" s="36" t="s">
        <v>399</v>
      </c>
      <c r="E268" s="36" t="s">
        <v>645</v>
      </c>
      <c r="F268" s="37" t="s">
        <v>646</v>
      </c>
      <c r="G268" s="37" t="s">
        <v>647</v>
      </c>
      <c r="H268" s="37" t="s">
        <v>648</v>
      </c>
      <c r="I268" s="35"/>
      <c r="J268" s="35"/>
    </row>
    <row r="269">
      <c r="A269" s="32" t="s">
        <v>649</v>
      </c>
      <c r="B269" s="32" t="s">
        <v>62</v>
      </c>
      <c r="C269" s="36" t="s">
        <v>201</v>
      </c>
      <c r="D269" s="36" t="s">
        <v>223</v>
      </c>
      <c r="E269" s="36" t="s">
        <v>33</v>
      </c>
      <c r="F269" s="37" t="s">
        <v>650</v>
      </c>
      <c r="G269" s="37" t="s">
        <v>216</v>
      </c>
      <c r="H269" s="34" t="s">
        <v>33</v>
      </c>
      <c r="I269" s="35"/>
      <c r="J269" s="35"/>
    </row>
    <row r="270">
      <c r="A270" s="32" t="s">
        <v>651</v>
      </c>
      <c r="B270" s="32" t="s">
        <v>151</v>
      </c>
      <c r="C270" s="36" t="s">
        <v>399</v>
      </c>
      <c r="D270" s="36" t="s">
        <v>652</v>
      </c>
      <c r="E270" s="36" t="s">
        <v>33</v>
      </c>
      <c r="F270" s="37" t="s">
        <v>653</v>
      </c>
      <c r="G270" s="37" t="s">
        <v>654</v>
      </c>
      <c r="H270" s="34" t="s">
        <v>33</v>
      </c>
      <c r="I270" s="35"/>
      <c r="J270" s="35"/>
    </row>
    <row r="271">
      <c r="A271" s="32" t="s">
        <v>655</v>
      </c>
      <c r="B271" s="32" t="s">
        <v>73</v>
      </c>
      <c r="C271" s="36" t="s">
        <v>399</v>
      </c>
      <c r="D271" s="36" t="s">
        <v>128</v>
      </c>
      <c r="E271" s="36" t="s">
        <v>33</v>
      </c>
      <c r="F271" s="37" t="s">
        <v>656</v>
      </c>
      <c r="G271" s="37" t="s">
        <v>657</v>
      </c>
      <c r="H271" s="34" t="s">
        <v>33</v>
      </c>
      <c r="I271" s="35"/>
      <c r="J271" s="35"/>
    </row>
    <row r="272">
      <c r="A272" s="32" t="s">
        <v>658</v>
      </c>
      <c r="B272" s="32" t="s">
        <v>32</v>
      </c>
      <c r="C272" s="36" t="s">
        <v>399</v>
      </c>
      <c r="D272" s="36" t="s">
        <v>25</v>
      </c>
      <c r="E272" s="36" t="s">
        <v>26</v>
      </c>
      <c r="F272" s="37" t="s">
        <v>659</v>
      </c>
      <c r="G272" s="37" t="s">
        <v>614</v>
      </c>
      <c r="H272" s="37" t="s">
        <v>359</v>
      </c>
      <c r="I272" s="35"/>
      <c r="J272" s="35"/>
    </row>
    <row r="273">
      <c r="A273" s="32" t="s">
        <v>660</v>
      </c>
      <c r="B273" s="32" t="s">
        <v>38</v>
      </c>
      <c r="C273" s="36" t="s">
        <v>399</v>
      </c>
      <c r="D273" s="36" t="s">
        <v>33</v>
      </c>
      <c r="E273" s="36" t="s">
        <v>385</v>
      </c>
      <c r="F273" s="37" t="s">
        <v>576</v>
      </c>
      <c r="G273" s="34" t="s">
        <v>33</v>
      </c>
      <c r="H273" s="37" t="s">
        <v>577</v>
      </c>
      <c r="I273" s="35"/>
      <c r="J273" s="35"/>
    </row>
    <row r="274">
      <c r="A274" s="32" t="s">
        <v>661</v>
      </c>
      <c r="B274" s="32" t="s">
        <v>45</v>
      </c>
      <c r="C274" s="36" t="s">
        <v>399</v>
      </c>
      <c r="D274" s="36" t="s">
        <v>33</v>
      </c>
      <c r="E274" s="36" t="s">
        <v>331</v>
      </c>
      <c r="F274" s="37" t="s">
        <v>448</v>
      </c>
      <c r="G274" s="34" t="s">
        <v>33</v>
      </c>
      <c r="H274" s="37" t="s">
        <v>356</v>
      </c>
      <c r="I274" s="35"/>
      <c r="J274" s="35"/>
    </row>
    <row r="275">
      <c r="A275" s="32" t="s">
        <v>662</v>
      </c>
      <c r="B275" s="32" t="s">
        <v>57</v>
      </c>
      <c r="C275" s="36" t="s">
        <v>399</v>
      </c>
      <c r="D275" s="36" t="s">
        <v>33</v>
      </c>
      <c r="E275" s="36" t="s">
        <v>33</v>
      </c>
      <c r="F275" s="37" t="s">
        <v>663</v>
      </c>
      <c r="G275" s="34" t="s">
        <v>33</v>
      </c>
      <c r="H275" s="34" t="s">
        <v>33</v>
      </c>
      <c r="I275" s="35"/>
      <c r="J275" s="35"/>
    </row>
    <row r="276">
      <c r="A276" s="32" t="s">
        <v>664</v>
      </c>
      <c r="B276" s="32" t="s">
        <v>57</v>
      </c>
      <c r="C276" s="36" t="s">
        <v>399</v>
      </c>
      <c r="D276" s="36" t="s">
        <v>128</v>
      </c>
      <c r="E276" s="36" t="s">
        <v>152</v>
      </c>
      <c r="F276" s="37" t="s">
        <v>665</v>
      </c>
      <c r="G276" s="37" t="s">
        <v>614</v>
      </c>
      <c r="H276" s="37" t="s">
        <v>359</v>
      </c>
      <c r="I276" s="35"/>
      <c r="J276" s="35"/>
    </row>
    <row r="277">
      <c r="A277" s="32" t="s">
        <v>666</v>
      </c>
      <c r="B277" s="32" t="s">
        <v>109</v>
      </c>
      <c r="C277" s="36" t="s">
        <v>399</v>
      </c>
      <c r="D277" s="36" t="s">
        <v>68</v>
      </c>
      <c r="E277" s="36" t="s">
        <v>33</v>
      </c>
      <c r="F277" s="37" t="s">
        <v>667</v>
      </c>
      <c r="G277" s="37" t="s">
        <v>337</v>
      </c>
      <c r="H277" s="34" t="s">
        <v>33</v>
      </c>
      <c r="I277" s="35"/>
      <c r="J277" s="35"/>
    </row>
    <row r="278">
      <c r="A278" s="32" t="s">
        <v>668</v>
      </c>
      <c r="B278" s="32" t="s">
        <v>38</v>
      </c>
      <c r="C278" s="36" t="s">
        <v>119</v>
      </c>
      <c r="D278" s="36" t="s">
        <v>95</v>
      </c>
      <c r="E278" s="36" t="s">
        <v>114</v>
      </c>
      <c r="F278" s="37" t="s">
        <v>69</v>
      </c>
      <c r="G278" s="37" t="s">
        <v>70</v>
      </c>
      <c r="H278" s="37" t="s">
        <v>71</v>
      </c>
      <c r="I278" s="35"/>
      <c r="J278" s="35"/>
    </row>
    <row r="279">
      <c r="A279" s="32" t="s">
        <v>669</v>
      </c>
      <c r="B279" s="32" t="s">
        <v>109</v>
      </c>
      <c r="C279" s="36" t="s">
        <v>119</v>
      </c>
      <c r="D279" s="36" t="s">
        <v>68</v>
      </c>
      <c r="E279" s="36" t="s">
        <v>33</v>
      </c>
      <c r="F279" s="37" t="s">
        <v>489</v>
      </c>
      <c r="G279" s="37" t="s">
        <v>670</v>
      </c>
      <c r="H279" s="34" t="s">
        <v>33</v>
      </c>
      <c r="I279" s="35"/>
      <c r="J279" s="35"/>
    </row>
    <row r="280">
      <c r="A280" s="32" t="s">
        <v>671</v>
      </c>
      <c r="B280" s="32" t="s">
        <v>62</v>
      </c>
      <c r="C280" s="36" t="s">
        <v>119</v>
      </c>
      <c r="D280" s="36" t="s">
        <v>165</v>
      </c>
      <c r="E280" s="36" t="s">
        <v>152</v>
      </c>
      <c r="F280" s="37" t="s">
        <v>69</v>
      </c>
      <c r="G280" s="37" t="s">
        <v>70</v>
      </c>
      <c r="H280" s="37" t="s">
        <v>71</v>
      </c>
      <c r="I280" s="35"/>
      <c r="J280" s="35"/>
    </row>
    <row r="281">
      <c r="A281" s="32" t="s">
        <v>672</v>
      </c>
      <c r="B281" s="32" t="s">
        <v>57</v>
      </c>
      <c r="C281" s="36" t="s">
        <v>165</v>
      </c>
      <c r="D281" s="36" t="s">
        <v>178</v>
      </c>
      <c r="E281" s="36" t="s">
        <v>33</v>
      </c>
      <c r="F281" s="37" t="s">
        <v>673</v>
      </c>
      <c r="G281" s="37" t="s">
        <v>674</v>
      </c>
      <c r="H281" s="34" t="s">
        <v>33</v>
      </c>
      <c r="I281" s="35"/>
      <c r="J281" s="35"/>
    </row>
    <row r="282">
      <c r="A282" s="32" t="s">
        <v>675</v>
      </c>
      <c r="B282" s="32" t="s">
        <v>62</v>
      </c>
      <c r="C282" s="36" t="s">
        <v>165</v>
      </c>
      <c r="D282" s="36" t="s">
        <v>119</v>
      </c>
      <c r="E282" s="36" t="s">
        <v>365</v>
      </c>
      <c r="F282" s="37" t="s">
        <v>262</v>
      </c>
      <c r="G282" s="37" t="s">
        <v>504</v>
      </c>
      <c r="H282" s="37" t="s">
        <v>676</v>
      </c>
      <c r="I282" s="35"/>
      <c r="J282" s="35"/>
    </row>
    <row r="283">
      <c r="A283" s="32" t="s">
        <v>677</v>
      </c>
      <c r="B283" s="32" t="s">
        <v>62</v>
      </c>
      <c r="C283" s="36" t="s">
        <v>165</v>
      </c>
      <c r="D283" s="36" t="s">
        <v>187</v>
      </c>
      <c r="E283" s="36" t="s">
        <v>33</v>
      </c>
      <c r="F283" s="37" t="s">
        <v>667</v>
      </c>
      <c r="G283" s="37" t="s">
        <v>678</v>
      </c>
      <c r="H283" s="34" t="s">
        <v>33</v>
      </c>
      <c r="I283" s="35"/>
      <c r="J283" s="35"/>
    </row>
    <row r="284">
      <c r="A284" s="32" t="s">
        <v>679</v>
      </c>
      <c r="B284" s="32" t="s">
        <v>151</v>
      </c>
      <c r="C284" s="36" t="s">
        <v>67</v>
      </c>
      <c r="D284" s="36" t="s">
        <v>680</v>
      </c>
      <c r="E284" s="36" t="s">
        <v>33</v>
      </c>
      <c r="F284" s="37" t="s">
        <v>610</v>
      </c>
      <c r="G284" s="37" t="s">
        <v>611</v>
      </c>
      <c r="H284" s="34" t="s">
        <v>33</v>
      </c>
      <c r="I284" s="35"/>
      <c r="J284" s="35"/>
    </row>
    <row r="285">
      <c r="A285" s="32" t="s">
        <v>681</v>
      </c>
      <c r="B285" s="32" t="s">
        <v>73</v>
      </c>
      <c r="C285" s="36" t="s">
        <v>67</v>
      </c>
      <c r="D285" s="36" t="s">
        <v>119</v>
      </c>
      <c r="E285" s="36" t="s">
        <v>128</v>
      </c>
      <c r="F285" s="37" t="s">
        <v>682</v>
      </c>
      <c r="G285" s="37" t="s">
        <v>504</v>
      </c>
      <c r="H285" s="37" t="s">
        <v>676</v>
      </c>
      <c r="I285" s="35"/>
      <c r="J285" s="35"/>
    </row>
    <row r="286">
      <c r="A286" s="32" t="s">
        <v>683</v>
      </c>
      <c r="B286" s="32" t="s">
        <v>38</v>
      </c>
      <c r="C286" s="36" t="s">
        <v>67</v>
      </c>
      <c r="D286" s="36" t="s">
        <v>266</v>
      </c>
      <c r="E286" s="36" t="s">
        <v>33</v>
      </c>
      <c r="F286" s="37" t="s">
        <v>684</v>
      </c>
      <c r="G286" s="37" t="s">
        <v>685</v>
      </c>
      <c r="H286" s="34" t="s">
        <v>33</v>
      </c>
      <c r="I286" s="35"/>
      <c r="J286" s="35"/>
    </row>
    <row r="287">
      <c r="A287" s="32" t="s">
        <v>686</v>
      </c>
      <c r="B287" s="32" t="s">
        <v>45</v>
      </c>
      <c r="C287" s="36" t="s">
        <v>67</v>
      </c>
      <c r="D287" s="36" t="s">
        <v>122</v>
      </c>
      <c r="E287" s="36" t="s">
        <v>33</v>
      </c>
      <c r="F287" s="37" t="s">
        <v>687</v>
      </c>
      <c r="G287" s="37" t="s">
        <v>234</v>
      </c>
      <c r="H287" s="34" t="s">
        <v>33</v>
      </c>
      <c r="I287" s="35"/>
      <c r="J287" s="35"/>
    </row>
    <row r="288">
      <c r="A288" s="32" t="s">
        <v>688</v>
      </c>
      <c r="B288" s="32" t="s">
        <v>109</v>
      </c>
      <c r="C288" s="36" t="s">
        <v>67</v>
      </c>
      <c r="D288" s="36" t="s">
        <v>33</v>
      </c>
      <c r="E288" s="36" t="s">
        <v>33</v>
      </c>
      <c r="F288" s="37" t="s">
        <v>295</v>
      </c>
      <c r="G288" s="34" t="s">
        <v>33</v>
      </c>
      <c r="H288" s="34" t="s">
        <v>33</v>
      </c>
      <c r="I288" s="35"/>
      <c r="J288" s="35"/>
    </row>
    <row r="289">
      <c r="A289" s="32" t="s">
        <v>689</v>
      </c>
      <c r="B289" s="32" t="s">
        <v>62</v>
      </c>
      <c r="C289" s="36" t="s">
        <v>67</v>
      </c>
      <c r="D289" s="36" t="s">
        <v>33</v>
      </c>
      <c r="E289" s="36" t="s">
        <v>33</v>
      </c>
      <c r="F289" s="37" t="s">
        <v>102</v>
      </c>
      <c r="G289" s="34" t="s">
        <v>33</v>
      </c>
      <c r="H289" s="34" t="s">
        <v>33</v>
      </c>
      <c r="I289" s="35"/>
      <c r="J289" s="35"/>
    </row>
    <row r="290">
      <c r="A290" s="32" t="s">
        <v>690</v>
      </c>
      <c r="B290" s="32" t="s">
        <v>154</v>
      </c>
      <c r="C290" s="36" t="s">
        <v>49</v>
      </c>
      <c r="D290" s="36" t="s">
        <v>68</v>
      </c>
      <c r="E290" s="36" t="s">
        <v>105</v>
      </c>
      <c r="F290" s="37" t="s">
        <v>691</v>
      </c>
      <c r="G290" s="37" t="s">
        <v>692</v>
      </c>
      <c r="H290" s="37" t="s">
        <v>693</v>
      </c>
      <c r="I290" s="35"/>
      <c r="J290" s="35"/>
    </row>
    <row r="291">
      <c r="A291" s="32" t="s">
        <v>694</v>
      </c>
      <c r="B291" s="32" t="s">
        <v>38</v>
      </c>
      <c r="C291" s="36" t="s">
        <v>49</v>
      </c>
      <c r="D291" s="36" t="s">
        <v>33</v>
      </c>
      <c r="E291" s="36" t="s">
        <v>288</v>
      </c>
      <c r="F291" s="37" t="s">
        <v>54</v>
      </c>
      <c r="G291" s="34" t="s">
        <v>33</v>
      </c>
      <c r="H291" s="37" t="s">
        <v>459</v>
      </c>
      <c r="I291" s="35"/>
      <c r="J291" s="35"/>
    </row>
    <row r="292">
      <c r="A292" s="32" t="s">
        <v>695</v>
      </c>
      <c r="B292" s="32" t="s">
        <v>45</v>
      </c>
      <c r="C292" s="36" t="s">
        <v>49</v>
      </c>
      <c r="D292" s="36" t="s">
        <v>33</v>
      </c>
      <c r="E292" s="36" t="s">
        <v>33</v>
      </c>
      <c r="F292" s="37" t="s">
        <v>696</v>
      </c>
      <c r="G292" s="34" t="s">
        <v>33</v>
      </c>
      <c r="H292" s="34" t="s">
        <v>33</v>
      </c>
      <c r="I292" s="35"/>
      <c r="J292" s="35"/>
    </row>
    <row r="293">
      <c r="A293" s="32" t="s">
        <v>697</v>
      </c>
      <c r="B293" s="32" t="s">
        <v>45</v>
      </c>
      <c r="C293" s="36" t="s">
        <v>49</v>
      </c>
      <c r="D293" s="36" t="s">
        <v>187</v>
      </c>
      <c r="E293" s="36" t="s">
        <v>33</v>
      </c>
      <c r="F293" s="37" t="s">
        <v>698</v>
      </c>
      <c r="G293" s="37" t="s">
        <v>234</v>
      </c>
      <c r="H293" s="34" t="s">
        <v>33</v>
      </c>
      <c r="I293" s="35"/>
      <c r="J293" s="35"/>
    </row>
    <row r="294">
      <c r="A294" s="32" t="s">
        <v>699</v>
      </c>
      <c r="B294" s="32" t="s">
        <v>57</v>
      </c>
      <c r="C294" s="36" t="s">
        <v>49</v>
      </c>
      <c r="D294" s="36" t="s">
        <v>399</v>
      </c>
      <c r="E294" s="36" t="s">
        <v>26</v>
      </c>
      <c r="F294" s="37" t="s">
        <v>336</v>
      </c>
      <c r="G294" s="37" t="s">
        <v>700</v>
      </c>
      <c r="H294" s="37" t="s">
        <v>303</v>
      </c>
      <c r="I294" s="35"/>
      <c r="J294" s="35"/>
    </row>
    <row r="295">
      <c r="A295" s="32" t="s">
        <v>701</v>
      </c>
      <c r="B295" s="32" t="s">
        <v>109</v>
      </c>
      <c r="C295" s="36" t="s">
        <v>49</v>
      </c>
      <c r="D295" s="36" t="s">
        <v>399</v>
      </c>
      <c r="E295" s="36" t="s">
        <v>240</v>
      </c>
      <c r="F295" s="37" t="s">
        <v>233</v>
      </c>
      <c r="G295" s="37" t="s">
        <v>47</v>
      </c>
      <c r="H295" s="37" t="s">
        <v>235</v>
      </c>
      <c r="I295" s="35"/>
      <c r="J295" s="35"/>
    </row>
    <row r="296">
      <c r="A296" s="32" t="s">
        <v>702</v>
      </c>
      <c r="B296" s="32" t="s">
        <v>109</v>
      </c>
      <c r="C296" s="36" t="s">
        <v>49</v>
      </c>
      <c r="D296" s="36" t="s">
        <v>33</v>
      </c>
      <c r="E296" s="36" t="s">
        <v>33</v>
      </c>
      <c r="F296" s="37" t="s">
        <v>703</v>
      </c>
      <c r="G296" s="34" t="s">
        <v>33</v>
      </c>
      <c r="H296" s="34" t="s">
        <v>33</v>
      </c>
      <c r="I296" s="35"/>
      <c r="J296" s="35"/>
    </row>
    <row r="297">
      <c r="A297" s="32" t="s">
        <v>704</v>
      </c>
      <c r="B297" s="32" t="s">
        <v>62</v>
      </c>
      <c r="C297" s="36" t="s">
        <v>49</v>
      </c>
      <c r="D297" s="36" t="s">
        <v>33</v>
      </c>
      <c r="E297" s="36" t="s">
        <v>33</v>
      </c>
      <c r="F297" s="37" t="s">
        <v>462</v>
      </c>
      <c r="G297" s="34" t="s">
        <v>33</v>
      </c>
      <c r="H297" s="34" t="s">
        <v>33</v>
      </c>
      <c r="I297" s="35"/>
      <c r="J297" s="35"/>
    </row>
    <row r="298">
      <c r="A298" s="32" t="s">
        <v>705</v>
      </c>
      <c r="B298" s="32" t="s">
        <v>73</v>
      </c>
      <c r="C298" s="36" t="s">
        <v>146</v>
      </c>
      <c r="D298" s="36" t="s">
        <v>187</v>
      </c>
      <c r="E298" s="36" t="s">
        <v>34</v>
      </c>
      <c r="F298" s="37" t="s">
        <v>69</v>
      </c>
      <c r="G298" s="37" t="s">
        <v>70</v>
      </c>
      <c r="H298" s="37" t="s">
        <v>334</v>
      </c>
      <c r="I298" s="35"/>
      <c r="J298" s="35"/>
    </row>
    <row r="299">
      <c r="A299" s="32" t="s">
        <v>706</v>
      </c>
      <c r="B299" s="32" t="s">
        <v>38</v>
      </c>
      <c r="C299" s="36" t="s">
        <v>146</v>
      </c>
      <c r="D299" s="36" t="s">
        <v>33</v>
      </c>
      <c r="E299" s="36" t="s">
        <v>33</v>
      </c>
      <c r="F299" s="37" t="s">
        <v>262</v>
      </c>
      <c r="G299" s="34" t="s">
        <v>33</v>
      </c>
      <c r="H299" s="34" t="s">
        <v>33</v>
      </c>
      <c r="I299" s="35"/>
      <c r="J299" s="35"/>
    </row>
    <row r="300">
      <c r="A300" s="32" t="s">
        <v>707</v>
      </c>
      <c r="B300" s="32" t="s">
        <v>45</v>
      </c>
      <c r="C300" s="36" t="s">
        <v>146</v>
      </c>
      <c r="D300" s="36" t="s">
        <v>53</v>
      </c>
      <c r="E300" s="36" t="s">
        <v>33</v>
      </c>
      <c r="F300" s="37" t="s">
        <v>684</v>
      </c>
      <c r="G300" s="37" t="s">
        <v>708</v>
      </c>
      <c r="H300" s="34" t="s">
        <v>33</v>
      </c>
      <c r="I300" s="35"/>
      <c r="J300" s="35"/>
    </row>
    <row r="301">
      <c r="A301" s="32" t="s">
        <v>709</v>
      </c>
      <c r="B301" s="32" t="s">
        <v>57</v>
      </c>
      <c r="C301" s="36" t="s">
        <v>146</v>
      </c>
      <c r="D301" s="36" t="s">
        <v>67</v>
      </c>
      <c r="E301" s="36" t="s">
        <v>34</v>
      </c>
      <c r="F301" s="37" t="s">
        <v>262</v>
      </c>
      <c r="G301" s="37" t="s">
        <v>504</v>
      </c>
      <c r="H301" s="37" t="s">
        <v>676</v>
      </c>
      <c r="I301" s="35"/>
      <c r="J301" s="35"/>
    </row>
    <row r="302">
      <c r="A302" s="32" t="s">
        <v>710</v>
      </c>
      <c r="B302" s="32" t="s">
        <v>109</v>
      </c>
      <c r="C302" s="36" t="s">
        <v>146</v>
      </c>
      <c r="D302" s="36" t="s">
        <v>389</v>
      </c>
      <c r="E302" s="36" t="s">
        <v>240</v>
      </c>
      <c r="F302" s="37" t="s">
        <v>629</v>
      </c>
      <c r="G302" s="37" t="s">
        <v>197</v>
      </c>
      <c r="H302" s="37" t="s">
        <v>711</v>
      </c>
      <c r="I302" s="35"/>
      <c r="J302" s="35"/>
    </row>
    <row r="303">
      <c r="A303" s="32" t="s">
        <v>712</v>
      </c>
      <c r="B303" s="32" t="s">
        <v>62</v>
      </c>
      <c r="C303" s="36" t="s">
        <v>146</v>
      </c>
      <c r="D303" s="36" t="s">
        <v>33</v>
      </c>
      <c r="E303" s="36" t="s">
        <v>33</v>
      </c>
      <c r="F303" s="37" t="s">
        <v>713</v>
      </c>
      <c r="G303" s="34" t="s">
        <v>33</v>
      </c>
      <c r="H303" s="34" t="s">
        <v>33</v>
      </c>
      <c r="I303" s="35"/>
      <c r="J303" s="35"/>
    </row>
    <row r="304">
      <c r="A304" s="32" t="s">
        <v>714</v>
      </c>
      <c r="B304" s="32" t="s">
        <v>62</v>
      </c>
      <c r="C304" s="36" t="s">
        <v>146</v>
      </c>
      <c r="D304" s="36" t="s">
        <v>127</v>
      </c>
      <c r="E304" s="36" t="s">
        <v>74</v>
      </c>
      <c r="F304" s="37" t="s">
        <v>501</v>
      </c>
      <c r="G304" s="37" t="s">
        <v>400</v>
      </c>
      <c r="H304" s="37" t="s">
        <v>359</v>
      </c>
      <c r="I304" s="35"/>
      <c r="J304" s="35"/>
    </row>
    <row r="305">
      <c r="A305" s="32" t="s">
        <v>715</v>
      </c>
      <c r="B305" s="32" t="s">
        <v>486</v>
      </c>
      <c r="C305" s="36" t="s">
        <v>53</v>
      </c>
      <c r="D305" s="36" t="s">
        <v>33</v>
      </c>
      <c r="E305" s="36" t="s">
        <v>457</v>
      </c>
      <c r="F305" s="37" t="s">
        <v>713</v>
      </c>
      <c r="G305" s="34" t="s">
        <v>33</v>
      </c>
      <c r="H305" s="37" t="s">
        <v>716</v>
      </c>
      <c r="I305" s="35"/>
      <c r="J305" s="35"/>
    </row>
    <row r="306">
      <c r="A306" s="32" t="s">
        <v>717</v>
      </c>
      <c r="B306" s="32" t="s">
        <v>73</v>
      </c>
      <c r="C306" s="36" t="s">
        <v>53</v>
      </c>
      <c r="D306" s="36" t="s">
        <v>49</v>
      </c>
      <c r="E306" s="36" t="s">
        <v>718</v>
      </c>
      <c r="F306" s="37" t="s">
        <v>719</v>
      </c>
      <c r="G306" s="37" t="s">
        <v>720</v>
      </c>
      <c r="H306" s="37" t="s">
        <v>721</v>
      </c>
      <c r="I306" s="35"/>
      <c r="J306" s="35"/>
    </row>
    <row r="307">
      <c r="A307" s="32" t="s">
        <v>722</v>
      </c>
      <c r="B307" s="32" t="s">
        <v>38</v>
      </c>
      <c r="C307" s="36" t="s">
        <v>53</v>
      </c>
      <c r="D307" s="36" t="s">
        <v>26</v>
      </c>
      <c r="E307" s="36" t="s">
        <v>33</v>
      </c>
      <c r="F307" s="37" t="s">
        <v>633</v>
      </c>
      <c r="G307" s="37" t="s">
        <v>634</v>
      </c>
      <c r="H307" s="34" t="s">
        <v>33</v>
      </c>
      <c r="I307" s="35"/>
      <c r="J307" s="35"/>
    </row>
    <row r="308">
      <c r="A308" s="32" t="s">
        <v>723</v>
      </c>
      <c r="B308" s="32" t="s">
        <v>38</v>
      </c>
      <c r="C308" s="36" t="s">
        <v>53</v>
      </c>
      <c r="D308" s="36" t="s">
        <v>33</v>
      </c>
      <c r="E308" s="36" t="s">
        <v>33</v>
      </c>
      <c r="F308" s="37" t="s">
        <v>622</v>
      </c>
      <c r="G308" s="34" t="s">
        <v>33</v>
      </c>
      <c r="H308" s="34" t="s">
        <v>33</v>
      </c>
      <c r="I308" s="35"/>
      <c r="J308" s="35"/>
    </row>
    <row r="309">
      <c r="A309" s="32" t="s">
        <v>724</v>
      </c>
      <c r="B309" s="32" t="s">
        <v>45</v>
      </c>
      <c r="C309" s="36" t="s">
        <v>53</v>
      </c>
      <c r="D309" s="36" t="s">
        <v>33</v>
      </c>
      <c r="E309" s="36" t="s">
        <v>33</v>
      </c>
      <c r="F309" s="37" t="s">
        <v>309</v>
      </c>
      <c r="G309" s="34" t="s">
        <v>33</v>
      </c>
      <c r="H309" s="34" t="s">
        <v>33</v>
      </c>
      <c r="I309" s="35"/>
      <c r="J309" s="35"/>
    </row>
    <row r="310">
      <c r="A310" s="32" t="s">
        <v>725</v>
      </c>
      <c r="B310" s="32" t="s">
        <v>57</v>
      </c>
      <c r="C310" s="36" t="s">
        <v>53</v>
      </c>
      <c r="D310" s="36" t="s">
        <v>91</v>
      </c>
      <c r="E310" s="36" t="s">
        <v>33</v>
      </c>
      <c r="F310" s="37" t="s">
        <v>726</v>
      </c>
      <c r="G310" s="37" t="s">
        <v>727</v>
      </c>
      <c r="H310" s="34" t="s">
        <v>33</v>
      </c>
      <c r="I310" s="35"/>
      <c r="J310" s="35"/>
    </row>
    <row r="311">
      <c r="A311" s="32" t="s">
        <v>728</v>
      </c>
      <c r="B311" s="32" t="s">
        <v>57</v>
      </c>
      <c r="C311" s="36" t="s">
        <v>53</v>
      </c>
      <c r="D311" s="36" t="s">
        <v>245</v>
      </c>
      <c r="E311" s="36" t="s">
        <v>33</v>
      </c>
      <c r="F311" s="37" t="s">
        <v>610</v>
      </c>
      <c r="G311" s="37" t="s">
        <v>729</v>
      </c>
      <c r="H311" s="34" t="s">
        <v>33</v>
      </c>
      <c r="I311" s="35"/>
      <c r="J311" s="35"/>
    </row>
    <row r="312">
      <c r="A312" s="32" t="s">
        <v>730</v>
      </c>
      <c r="B312" s="32" t="s">
        <v>57</v>
      </c>
      <c r="C312" s="36" t="s">
        <v>53</v>
      </c>
      <c r="D312" s="36" t="s">
        <v>178</v>
      </c>
      <c r="E312" s="36" t="s">
        <v>33</v>
      </c>
      <c r="F312" s="37" t="s">
        <v>215</v>
      </c>
      <c r="G312" s="37" t="s">
        <v>216</v>
      </c>
      <c r="H312" s="34" t="s">
        <v>33</v>
      </c>
      <c r="I312" s="35"/>
      <c r="J312" s="35"/>
    </row>
    <row r="313">
      <c r="A313" s="32" t="s">
        <v>731</v>
      </c>
      <c r="B313" s="32" t="s">
        <v>109</v>
      </c>
      <c r="C313" s="36" t="s">
        <v>53</v>
      </c>
      <c r="D313" s="36" t="s">
        <v>266</v>
      </c>
      <c r="E313" s="36" t="s">
        <v>365</v>
      </c>
      <c r="F313" s="37" t="s">
        <v>629</v>
      </c>
      <c r="G313" s="37" t="s">
        <v>197</v>
      </c>
      <c r="H313" s="37" t="s">
        <v>711</v>
      </c>
      <c r="I313" s="35"/>
      <c r="J313" s="35"/>
    </row>
    <row r="314">
      <c r="A314" s="32" t="s">
        <v>732</v>
      </c>
      <c r="B314" s="32" t="s">
        <v>32</v>
      </c>
      <c r="C314" s="36" t="s">
        <v>199</v>
      </c>
      <c r="D314" s="36" t="s">
        <v>33</v>
      </c>
      <c r="E314" s="36" t="s">
        <v>122</v>
      </c>
      <c r="F314" s="37" t="s">
        <v>102</v>
      </c>
      <c r="G314" s="34" t="s">
        <v>33</v>
      </c>
      <c r="H314" s="37" t="s">
        <v>733</v>
      </c>
      <c r="I314" s="35"/>
      <c r="J314" s="35"/>
    </row>
    <row r="315">
      <c r="A315" s="32" t="s">
        <v>734</v>
      </c>
      <c r="B315" s="32" t="s">
        <v>32</v>
      </c>
      <c r="C315" s="36" t="s">
        <v>322</v>
      </c>
      <c r="D315" s="36" t="s">
        <v>33</v>
      </c>
      <c r="E315" s="36" t="s">
        <v>33</v>
      </c>
      <c r="F315" s="37" t="s">
        <v>538</v>
      </c>
      <c r="G315" s="34" t="s">
        <v>33</v>
      </c>
      <c r="H315" s="34" t="s">
        <v>33</v>
      </c>
      <c r="I315" s="35"/>
      <c r="J315" s="35"/>
    </row>
    <row r="316">
      <c r="A316" s="32" t="s">
        <v>735</v>
      </c>
      <c r="B316" s="32" t="s">
        <v>38</v>
      </c>
      <c r="C316" s="36" t="s">
        <v>322</v>
      </c>
      <c r="D316" s="36" t="s">
        <v>91</v>
      </c>
      <c r="E316" s="36" t="s">
        <v>81</v>
      </c>
      <c r="F316" s="37" t="s">
        <v>69</v>
      </c>
      <c r="G316" s="37" t="s">
        <v>70</v>
      </c>
      <c r="H316" s="37" t="s">
        <v>736</v>
      </c>
      <c r="I316" s="35"/>
      <c r="J316" s="35"/>
    </row>
    <row r="317">
      <c r="A317" s="32" t="s">
        <v>737</v>
      </c>
      <c r="B317" s="32" t="s">
        <v>109</v>
      </c>
      <c r="C317" s="36" t="s">
        <v>322</v>
      </c>
      <c r="D317" s="36" t="s">
        <v>114</v>
      </c>
      <c r="E317" s="36" t="s">
        <v>67</v>
      </c>
      <c r="F317" s="37" t="s">
        <v>523</v>
      </c>
      <c r="G317" s="37" t="s">
        <v>490</v>
      </c>
      <c r="H317" s="37" t="s">
        <v>524</v>
      </c>
      <c r="I317" s="35"/>
      <c r="J317" s="35"/>
    </row>
    <row r="318">
      <c r="A318" s="32" t="s">
        <v>738</v>
      </c>
      <c r="B318" s="32" t="s">
        <v>109</v>
      </c>
      <c r="C318" s="36" t="s">
        <v>322</v>
      </c>
      <c r="D318" s="36" t="s">
        <v>33</v>
      </c>
      <c r="E318" s="36" t="s">
        <v>33</v>
      </c>
      <c r="F318" s="37" t="s">
        <v>97</v>
      </c>
      <c r="G318" s="34" t="s">
        <v>33</v>
      </c>
      <c r="H318" s="34" t="s">
        <v>33</v>
      </c>
      <c r="I318" s="35"/>
      <c r="J318" s="35"/>
    </row>
    <row r="319">
      <c r="A319" s="32" t="s">
        <v>739</v>
      </c>
      <c r="B319" s="32" t="s">
        <v>109</v>
      </c>
      <c r="C319" s="36" t="s">
        <v>322</v>
      </c>
      <c r="D319" s="36" t="s">
        <v>266</v>
      </c>
      <c r="E319" s="36" t="s">
        <v>46</v>
      </c>
      <c r="F319" s="37" t="s">
        <v>629</v>
      </c>
      <c r="G319" s="37" t="s">
        <v>197</v>
      </c>
      <c r="H319" s="37" t="s">
        <v>711</v>
      </c>
      <c r="I319" s="35"/>
      <c r="J319" s="35"/>
    </row>
    <row r="320">
      <c r="A320" s="32" t="s">
        <v>740</v>
      </c>
      <c r="B320" s="32" t="s">
        <v>62</v>
      </c>
      <c r="C320" s="36" t="s">
        <v>322</v>
      </c>
      <c r="D320" s="36" t="s">
        <v>33</v>
      </c>
      <c r="E320" s="36" t="s">
        <v>288</v>
      </c>
      <c r="F320" s="37" t="s">
        <v>741</v>
      </c>
      <c r="G320" s="34" t="s">
        <v>33</v>
      </c>
      <c r="H320" s="37" t="s">
        <v>742</v>
      </c>
      <c r="I320" s="35"/>
      <c r="J320" s="35"/>
    </row>
    <row r="321">
      <c r="A321" s="32" t="s">
        <v>743</v>
      </c>
      <c r="B321" s="32" t="s">
        <v>62</v>
      </c>
      <c r="C321" s="36" t="s">
        <v>322</v>
      </c>
      <c r="D321" s="36" t="s">
        <v>114</v>
      </c>
      <c r="E321" s="36" t="s">
        <v>33</v>
      </c>
      <c r="F321" s="37" t="s">
        <v>744</v>
      </c>
      <c r="G321" s="37" t="s">
        <v>347</v>
      </c>
      <c r="H321" s="34" t="s">
        <v>33</v>
      </c>
      <c r="I321" s="35"/>
      <c r="J321" s="35"/>
    </row>
    <row r="322">
      <c r="A322" s="32" t="s">
        <v>745</v>
      </c>
      <c r="B322" s="32" t="s">
        <v>746</v>
      </c>
      <c r="C322" s="36" t="s">
        <v>232</v>
      </c>
      <c r="D322" s="36" t="s">
        <v>33</v>
      </c>
      <c r="E322" s="36" t="s">
        <v>283</v>
      </c>
      <c r="F322" s="37" t="s">
        <v>54</v>
      </c>
      <c r="G322" s="34" t="s">
        <v>33</v>
      </c>
      <c r="H322" s="37" t="s">
        <v>459</v>
      </c>
      <c r="I322" s="35"/>
      <c r="J322" s="35"/>
    </row>
    <row r="323">
      <c r="A323" s="32" t="s">
        <v>747</v>
      </c>
      <c r="B323" s="32" t="s">
        <v>486</v>
      </c>
      <c r="C323" s="36" t="s">
        <v>232</v>
      </c>
      <c r="D323" s="36" t="s">
        <v>33</v>
      </c>
      <c r="E323" s="36" t="s">
        <v>533</v>
      </c>
      <c r="F323" s="37" t="s">
        <v>227</v>
      </c>
      <c r="G323" s="34" t="s">
        <v>33</v>
      </c>
      <c r="H323" s="37" t="s">
        <v>748</v>
      </c>
      <c r="I323" s="35"/>
      <c r="J323" s="35"/>
    </row>
    <row r="324">
      <c r="A324" s="32" t="s">
        <v>749</v>
      </c>
      <c r="B324" s="32" t="s">
        <v>45</v>
      </c>
      <c r="C324" s="36" t="s">
        <v>232</v>
      </c>
      <c r="D324" s="36" t="s">
        <v>33</v>
      </c>
      <c r="E324" s="36" t="s">
        <v>240</v>
      </c>
      <c r="F324" s="37" t="s">
        <v>698</v>
      </c>
      <c r="G324" s="34" t="s">
        <v>33</v>
      </c>
      <c r="H324" s="37" t="s">
        <v>235</v>
      </c>
      <c r="I324" s="35"/>
      <c r="J324" s="35"/>
    </row>
    <row r="325">
      <c r="A325" s="32" t="s">
        <v>750</v>
      </c>
      <c r="B325" s="32" t="s">
        <v>109</v>
      </c>
      <c r="C325" s="36" t="s">
        <v>232</v>
      </c>
      <c r="D325" s="36" t="s">
        <v>33</v>
      </c>
      <c r="E325" s="36" t="s">
        <v>33</v>
      </c>
      <c r="F325" s="37" t="s">
        <v>88</v>
      </c>
      <c r="G325" s="34" t="s">
        <v>33</v>
      </c>
      <c r="H325" s="34" t="s">
        <v>33</v>
      </c>
      <c r="I325" s="35"/>
      <c r="J325" s="35"/>
    </row>
    <row r="326">
      <c r="A326" s="32" t="s">
        <v>751</v>
      </c>
      <c r="B326" s="32" t="s">
        <v>109</v>
      </c>
      <c r="C326" s="36" t="s">
        <v>232</v>
      </c>
      <c r="D326" s="36" t="s">
        <v>33</v>
      </c>
      <c r="E326" s="36" t="s">
        <v>33</v>
      </c>
      <c r="F326" s="37" t="s">
        <v>752</v>
      </c>
      <c r="G326" s="34" t="s">
        <v>33</v>
      </c>
      <c r="H326" s="34" t="s">
        <v>33</v>
      </c>
      <c r="I326" s="35"/>
      <c r="J326" s="35"/>
    </row>
    <row r="327">
      <c r="A327" s="32" t="s">
        <v>753</v>
      </c>
      <c r="B327" s="32" t="s">
        <v>109</v>
      </c>
      <c r="C327" s="36" t="s">
        <v>232</v>
      </c>
      <c r="D327" s="36" t="s">
        <v>128</v>
      </c>
      <c r="E327" s="36" t="s">
        <v>754</v>
      </c>
      <c r="F327" s="37" t="s">
        <v>489</v>
      </c>
      <c r="G327" s="37" t="s">
        <v>755</v>
      </c>
      <c r="H327" s="37" t="s">
        <v>756</v>
      </c>
      <c r="I327" s="35"/>
      <c r="J327" s="35"/>
    </row>
    <row r="328">
      <c r="A328" s="32" t="s">
        <v>757</v>
      </c>
      <c r="B328" s="32" t="s">
        <v>62</v>
      </c>
      <c r="C328" s="36" t="s">
        <v>232</v>
      </c>
      <c r="D328" s="36" t="s">
        <v>399</v>
      </c>
      <c r="E328" s="36" t="s">
        <v>141</v>
      </c>
      <c r="F328" s="37" t="s">
        <v>719</v>
      </c>
      <c r="G328" s="37" t="s">
        <v>720</v>
      </c>
      <c r="H328" s="37" t="s">
        <v>758</v>
      </c>
      <c r="I328" s="35"/>
      <c r="J328" s="35"/>
    </row>
    <row r="329">
      <c r="A329" s="32" t="s">
        <v>759</v>
      </c>
      <c r="B329" s="32" t="s">
        <v>62</v>
      </c>
      <c r="C329" s="36" t="s">
        <v>232</v>
      </c>
      <c r="D329" s="36" t="s">
        <v>187</v>
      </c>
      <c r="E329" s="36" t="s">
        <v>25</v>
      </c>
      <c r="F329" s="37" t="s">
        <v>69</v>
      </c>
      <c r="G329" s="37" t="s">
        <v>760</v>
      </c>
      <c r="H329" s="37" t="s">
        <v>761</v>
      </c>
      <c r="I329" s="35"/>
      <c r="J329" s="35"/>
    </row>
    <row r="330">
      <c r="A330" s="32" t="s">
        <v>762</v>
      </c>
      <c r="B330" s="32" t="s">
        <v>45</v>
      </c>
      <c r="C330" s="36" t="s">
        <v>51</v>
      </c>
      <c r="D330" s="36" t="s">
        <v>680</v>
      </c>
      <c r="E330" s="36" t="s">
        <v>466</v>
      </c>
      <c r="F330" s="37" t="s">
        <v>309</v>
      </c>
      <c r="G330" s="37" t="s">
        <v>585</v>
      </c>
      <c r="H330" s="37" t="s">
        <v>311</v>
      </c>
      <c r="I330" s="35"/>
      <c r="J330" s="35"/>
    </row>
    <row r="331">
      <c r="A331" s="32" t="s">
        <v>763</v>
      </c>
      <c r="B331" s="32" t="s">
        <v>45</v>
      </c>
      <c r="C331" s="36" t="s">
        <v>51</v>
      </c>
      <c r="D331" s="36" t="s">
        <v>33</v>
      </c>
      <c r="E331" s="36" t="s">
        <v>33</v>
      </c>
      <c r="F331" s="37" t="s">
        <v>764</v>
      </c>
      <c r="G331" s="34" t="s">
        <v>33</v>
      </c>
      <c r="H331" s="34" t="s">
        <v>33</v>
      </c>
      <c r="I331" s="35"/>
      <c r="J331" s="35"/>
    </row>
    <row r="332">
      <c r="A332" s="32" t="s">
        <v>765</v>
      </c>
      <c r="B332" s="32" t="s">
        <v>45</v>
      </c>
      <c r="C332" s="36" t="s">
        <v>51</v>
      </c>
      <c r="D332" s="36" t="s">
        <v>33</v>
      </c>
      <c r="E332" s="36" t="s">
        <v>33</v>
      </c>
      <c r="F332" s="37" t="s">
        <v>166</v>
      </c>
      <c r="G332" s="34" t="s">
        <v>33</v>
      </c>
      <c r="H332" s="34" t="s">
        <v>33</v>
      </c>
      <c r="I332" s="35"/>
      <c r="J332" s="35"/>
    </row>
    <row r="333">
      <c r="A333" s="32" t="s">
        <v>766</v>
      </c>
      <c r="B333" s="32" t="s">
        <v>109</v>
      </c>
      <c r="C333" s="36" t="s">
        <v>51</v>
      </c>
      <c r="D333" s="36" t="s">
        <v>399</v>
      </c>
      <c r="E333" s="36" t="s">
        <v>33</v>
      </c>
      <c r="F333" s="37" t="s">
        <v>572</v>
      </c>
      <c r="G333" s="37" t="s">
        <v>573</v>
      </c>
      <c r="H333" s="34" t="s">
        <v>33</v>
      </c>
      <c r="I333" s="35"/>
      <c r="J333" s="35"/>
    </row>
    <row r="334">
      <c r="A334" s="32" t="s">
        <v>767</v>
      </c>
      <c r="B334" s="32" t="s">
        <v>109</v>
      </c>
      <c r="C334" s="36" t="s">
        <v>51</v>
      </c>
      <c r="D334" s="36" t="s">
        <v>33</v>
      </c>
      <c r="E334" s="36" t="s">
        <v>33</v>
      </c>
      <c r="F334" s="37" t="s">
        <v>768</v>
      </c>
      <c r="G334" s="34" t="s">
        <v>33</v>
      </c>
      <c r="H334" s="34" t="s">
        <v>33</v>
      </c>
      <c r="I334" s="35"/>
      <c r="J334" s="35"/>
    </row>
    <row r="335">
      <c r="A335" s="32" t="s">
        <v>769</v>
      </c>
      <c r="B335" s="32" t="s">
        <v>109</v>
      </c>
      <c r="C335" s="36" t="s">
        <v>51</v>
      </c>
      <c r="D335" s="36" t="s">
        <v>33</v>
      </c>
      <c r="E335" s="36" t="s">
        <v>199</v>
      </c>
      <c r="F335" s="37" t="s">
        <v>622</v>
      </c>
      <c r="G335" s="34" t="s">
        <v>33</v>
      </c>
      <c r="H335" s="37" t="s">
        <v>770</v>
      </c>
      <c r="I335" s="35"/>
      <c r="J335" s="35"/>
    </row>
    <row r="336">
      <c r="A336" s="32" t="s">
        <v>771</v>
      </c>
      <c r="B336" s="32" t="s">
        <v>62</v>
      </c>
      <c r="C336" s="36" t="s">
        <v>51</v>
      </c>
      <c r="D336" s="36" t="s">
        <v>450</v>
      </c>
      <c r="E336" s="36" t="s">
        <v>218</v>
      </c>
      <c r="F336" s="37" t="s">
        <v>772</v>
      </c>
      <c r="G336" s="37" t="s">
        <v>773</v>
      </c>
      <c r="H336" s="37" t="s">
        <v>774</v>
      </c>
      <c r="I336" s="35"/>
      <c r="J336" s="35"/>
    </row>
    <row r="337">
      <c r="A337" s="32" t="s">
        <v>775</v>
      </c>
      <c r="B337" s="32" t="s">
        <v>62</v>
      </c>
      <c r="C337" s="36" t="s">
        <v>51</v>
      </c>
      <c r="D337" s="36" t="s">
        <v>255</v>
      </c>
      <c r="E337" s="36" t="s">
        <v>49</v>
      </c>
      <c r="F337" s="37" t="s">
        <v>776</v>
      </c>
      <c r="G337" s="37" t="s">
        <v>755</v>
      </c>
      <c r="H337" s="37" t="s">
        <v>777</v>
      </c>
      <c r="I337" s="35"/>
      <c r="J337" s="35"/>
    </row>
    <row r="338">
      <c r="A338" s="32" t="s">
        <v>778</v>
      </c>
      <c r="B338" s="32" t="s">
        <v>62</v>
      </c>
      <c r="C338" s="36" t="s">
        <v>51</v>
      </c>
      <c r="D338" s="36" t="s">
        <v>114</v>
      </c>
      <c r="E338" s="36" t="s">
        <v>33</v>
      </c>
      <c r="F338" s="37" t="s">
        <v>779</v>
      </c>
      <c r="G338" s="37" t="s">
        <v>678</v>
      </c>
      <c r="H338" s="34" t="s">
        <v>33</v>
      </c>
      <c r="I338" s="35"/>
      <c r="J338" s="35"/>
    </row>
    <row r="339">
      <c r="A339" s="32" t="s">
        <v>780</v>
      </c>
      <c r="B339" s="32" t="s">
        <v>38</v>
      </c>
      <c r="C339" s="36" t="s">
        <v>389</v>
      </c>
      <c r="D339" s="36" t="s">
        <v>476</v>
      </c>
      <c r="E339" s="36" t="s">
        <v>33</v>
      </c>
      <c r="F339" s="37" t="s">
        <v>88</v>
      </c>
      <c r="G339" s="37" t="s">
        <v>89</v>
      </c>
      <c r="H339" s="34" t="s">
        <v>33</v>
      </c>
      <c r="I339" s="35"/>
      <c r="J339" s="35"/>
    </row>
    <row r="340">
      <c r="A340" s="32" t="s">
        <v>781</v>
      </c>
      <c r="B340" s="32" t="s">
        <v>45</v>
      </c>
      <c r="C340" s="36" t="s">
        <v>389</v>
      </c>
      <c r="D340" s="36" t="s">
        <v>419</v>
      </c>
      <c r="E340" s="36" t="s">
        <v>33</v>
      </c>
      <c r="F340" s="37" t="s">
        <v>719</v>
      </c>
      <c r="G340" s="37" t="s">
        <v>720</v>
      </c>
      <c r="H340" s="34" t="s">
        <v>33</v>
      </c>
      <c r="I340" s="35"/>
      <c r="J340" s="35"/>
    </row>
    <row r="341">
      <c r="A341" s="32" t="s">
        <v>782</v>
      </c>
      <c r="B341" s="32" t="s">
        <v>57</v>
      </c>
      <c r="C341" s="36" t="s">
        <v>389</v>
      </c>
      <c r="D341" s="36" t="s">
        <v>528</v>
      </c>
      <c r="E341" s="36" t="s">
        <v>165</v>
      </c>
      <c r="F341" s="37" t="s">
        <v>783</v>
      </c>
      <c r="G341" s="37" t="s">
        <v>504</v>
      </c>
      <c r="H341" s="37" t="s">
        <v>676</v>
      </c>
      <c r="I341" s="35"/>
      <c r="J341" s="35"/>
    </row>
    <row r="342">
      <c r="A342" s="32" t="s">
        <v>784</v>
      </c>
      <c r="B342" s="32" t="s">
        <v>62</v>
      </c>
      <c r="C342" s="36" t="s">
        <v>389</v>
      </c>
      <c r="D342" s="36" t="s">
        <v>53</v>
      </c>
      <c r="E342" s="36" t="s">
        <v>58</v>
      </c>
      <c r="F342" s="37" t="s">
        <v>336</v>
      </c>
      <c r="G342" s="37" t="s">
        <v>700</v>
      </c>
      <c r="H342" s="37" t="s">
        <v>303</v>
      </c>
      <c r="I342" s="35"/>
      <c r="J342" s="35"/>
    </row>
    <row r="343">
      <c r="A343" s="32" t="s">
        <v>785</v>
      </c>
      <c r="B343" s="32" t="s">
        <v>32</v>
      </c>
      <c r="C343" s="36" t="s">
        <v>63</v>
      </c>
      <c r="D343" s="36" t="s">
        <v>33</v>
      </c>
      <c r="E343" s="36" t="s">
        <v>33</v>
      </c>
      <c r="F343" s="37" t="s">
        <v>35</v>
      </c>
      <c r="G343" s="34" t="s">
        <v>33</v>
      </c>
      <c r="H343" s="34" t="s">
        <v>33</v>
      </c>
      <c r="I343" s="35"/>
      <c r="J343" s="35"/>
    </row>
    <row r="344">
      <c r="A344" s="32" t="s">
        <v>786</v>
      </c>
      <c r="B344" s="32" t="s">
        <v>38</v>
      </c>
      <c r="C344" s="36" t="s">
        <v>63</v>
      </c>
      <c r="D344" s="36" t="s">
        <v>128</v>
      </c>
      <c r="E344" s="36" t="s">
        <v>33</v>
      </c>
      <c r="F344" s="37" t="s">
        <v>787</v>
      </c>
      <c r="G344" s="37" t="s">
        <v>76</v>
      </c>
      <c r="H344" s="34" t="s">
        <v>33</v>
      </c>
      <c r="I344" s="35"/>
      <c r="J344" s="35"/>
    </row>
    <row r="345">
      <c r="A345" s="32" t="s">
        <v>788</v>
      </c>
      <c r="B345" s="32" t="s">
        <v>45</v>
      </c>
      <c r="C345" s="36" t="s">
        <v>63</v>
      </c>
      <c r="D345" s="36" t="s">
        <v>49</v>
      </c>
      <c r="E345" s="36" t="s">
        <v>33</v>
      </c>
      <c r="F345" s="37" t="s">
        <v>789</v>
      </c>
      <c r="G345" s="37" t="s">
        <v>790</v>
      </c>
      <c r="H345" s="34" t="s">
        <v>33</v>
      </c>
      <c r="I345" s="35"/>
      <c r="J345" s="35"/>
    </row>
    <row r="346">
      <c r="A346" s="32" t="s">
        <v>791</v>
      </c>
      <c r="B346" s="32" t="s">
        <v>45</v>
      </c>
      <c r="C346" s="36" t="s">
        <v>63</v>
      </c>
      <c r="D346" s="36" t="s">
        <v>141</v>
      </c>
      <c r="E346" s="36" t="s">
        <v>466</v>
      </c>
      <c r="F346" s="37" t="s">
        <v>792</v>
      </c>
      <c r="G346" s="37" t="s">
        <v>793</v>
      </c>
      <c r="H346" s="37" t="s">
        <v>536</v>
      </c>
      <c r="I346" s="35"/>
      <c r="J346" s="35"/>
    </row>
    <row r="347">
      <c r="A347" s="32" t="s">
        <v>794</v>
      </c>
      <c r="B347" s="32" t="s">
        <v>45</v>
      </c>
      <c r="C347" s="36" t="s">
        <v>63</v>
      </c>
      <c r="D347" s="36" t="s">
        <v>33</v>
      </c>
      <c r="E347" s="36" t="s">
        <v>49</v>
      </c>
      <c r="F347" s="37" t="s">
        <v>375</v>
      </c>
      <c r="G347" s="34" t="s">
        <v>33</v>
      </c>
      <c r="H347" s="37" t="s">
        <v>524</v>
      </c>
      <c r="I347" s="35"/>
      <c r="J347" s="35"/>
    </row>
    <row r="348">
      <c r="A348" s="32" t="s">
        <v>795</v>
      </c>
      <c r="B348" s="32" t="s">
        <v>109</v>
      </c>
      <c r="C348" s="36" t="s">
        <v>63</v>
      </c>
      <c r="D348" s="36" t="s">
        <v>515</v>
      </c>
      <c r="E348" s="36" t="s">
        <v>33</v>
      </c>
      <c r="F348" s="37" t="s">
        <v>523</v>
      </c>
      <c r="G348" s="37" t="s">
        <v>490</v>
      </c>
      <c r="H348" s="34" t="s">
        <v>33</v>
      </c>
      <c r="I348" s="35"/>
      <c r="J348" s="35"/>
    </row>
    <row r="349">
      <c r="A349" s="32" t="s">
        <v>796</v>
      </c>
      <c r="B349" s="32" t="s">
        <v>109</v>
      </c>
      <c r="C349" s="36" t="s">
        <v>63</v>
      </c>
      <c r="D349" s="36" t="s">
        <v>119</v>
      </c>
      <c r="E349" s="36" t="s">
        <v>288</v>
      </c>
      <c r="F349" s="37" t="s">
        <v>633</v>
      </c>
      <c r="G349" s="37" t="s">
        <v>634</v>
      </c>
      <c r="H349" s="37" t="s">
        <v>635</v>
      </c>
      <c r="I349" s="35"/>
      <c r="J349" s="35"/>
    </row>
    <row r="350">
      <c r="A350" s="32" t="s">
        <v>797</v>
      </c>
      <c r="B350" s="32" t="s">
        <v>62</v>
      </c>
      <c r="C350" s="36" t="s">
        <v>63</v>
      </c>
      <c r="D350" s="36" t="s">
        <v>33</v>
      </c>
      <c r="E350" s="36" t="s">
        <v>33</v>
      </c>
      <c r="F350" s="37" t="s">
        <v>88</v>
      </c>
      <c r="G350" s="34" t="s">
        <v>33</v>
      </c>
      <c r="H350" s="34" t="s">
        <v>33</v>
      </c>
      <c r="I350" s="35"/>
      <c r="J350" s="35"/>
    </row>
    <row r="351">
      <c r="A351" s="32" t="s">
        <v>798</v>
      </c>
      <c r="B351" s="32" t="s">
        <v>151</v>
      </c>
      <c r="C351" s="36" t="s">
        <v>288</v>
      </c>
      <c r="D351" s="36" t="s">
        <v>799</v>
      </c>
      <c r="E351" s="36" t="s">
        <v>67</v>
      </c>
      <c r="F351" s="37" t="s">
        <v>375</v>
      </c>
      <c r="G351" s="37" t="s">
        <v>521</v>
      </c>
      <c r="H351" s="37" t="s">
        <v>474</v>
      </c>
      <c r="I351" s="35"/>
      <c r="J351" s="35"/>
    </row>
    <row r="352">
      <c r="A352" s="32" t="s">
        <v>800</v>
      </c>
      <c r="B352" s="32" t="s">
        <v>109</v>
      </c>
      <c r="C352" s="36" t="s">
        <v>288</v>
      </c>
      <c r="D352" s="36" t="s">
        <v>33</v>
      </c>
      <c r="E352" s="36" t="s">
        <v>33</v>
      </c>
      <c r="F352" s="37" t="s">
        <v>801</v>
      </c>
      <c r="G352" s="34" t="s">
        <v>33</v>
      </c>
      <c r="H352" s="34" t="s">
        <v>33</v>
      </c>
      <c r="I352" s="35"/>
      <c r="J352" s="35"/>
    </row>
    <row r="353">
      <c r="A353" s="32" t="s">
        <v>802</v>
      </c>
      <c r="B353" s="32" t="s">
        <v>746</v>
      </c>
      <c r="C353" s="36" t="s">
        <v>419</v>
      </c>
      <c r="D353" s="36" t="s">
        <v>33</v>
      </c>
      <c r="E353" s="36" t="s">
        <v>33</v>
      </c>
      <c r="F353" s="37" t="s">
        <v>622</v>
      </c>
      <c r="G353" s="34" t="s">
        <v>33</v>
      </c>
      <c r="H353" s="34" t="s">
        <v>33</v>
      </c>
      <c r="I353" s="35"/>
      <c r="J353" s="35"/>
    </row>
    <row r="354">
      <c r="A354" s="32" t="s">
        <v>803</v>
      </c>
      <c r="B354" s="32" t="s">
        <v>151</v>
      </c>
      <c r="C354" s="36" t="s">
        <v>419</v>
      </c>
      <c r="D354" s="36" t="s">
        <v>33</v>
      </c>
      <c r="E354" s="36" t="s">
        <v>119</v>
      </c>
      <c r="F354" s="37" t="s">
        <v>622</v>
      </c>
      <c r="G354" s="34" t="s">
        <v>33</v>
      </c>
      <c r="H354" s="37" t="s">
        <v>770</v>
      </c>
      <c r="I354" s="35"/>
      <c r="J354" s="35"/>
    </row>
    <row r="355">
      <c r="A355" s="32" t="s">
        <v>804</v>
      </c>
      <c r="B355" s="32" t="s">
        <v>154</v>
      </c>
      <c r="C355" s="36" t="s">
        <v>419</v>
      </c>
      <c r="D355" s="36" t="s">
        <v>33</v>
      </c>
      <c r="E355" s="36" t="s">
        <v>33</v>
      </c>
      <c r="F355" s="37" t="s">
        <v>622</v>
      </c>
      <c r="G355" s="34" t="s">
        <v>33</v>
      </c>
      <c r="H355" s="34" t="s">
        <v>33</v>
      </c>
      <c r="I355" s="35"/>
      <c r="J355" s="35"/>
    </row>
    <row r="356">
      <c r="A356" s="32" t="s">
        <v>805</v>
      </c>
      <c r="B356" s="32" t="s">
        <v>109</v>
      </c>
      <c r="C356" s="36" t="s">
        <v>419</v>
      </c>
      <c r="D356" s="36" t="s">
        <v>178</v>
      </c>
      <c r="E356" s="36" t="s">
        <v>223</v>
      </c>
      <c r="F356" s="37" t="s">
        <v>806</v>
      </c>
      <c r="G356" s="37" t="s">
        <v>807</v>
      </c>
      <c r="H356" s="37" t="s">
        <v>808</v>
      </c>
      <c r="I356" s="35"/>
      <c r="J356" s="35"/>
    </row>
    <row r="357">
      <c r="A357" s="32" t="s">
        <v>809</v>
      </c>
      <c r="B357" s="32" t="s">
        <v>62</v>
      </c>
      <c r="C357" s="36" t="s">
        <v>419</v>
      </c>
      <c r="D357" s="36" t="s">
        <v>105</v>
      </c>
      <c r="E357" s="36" t="s">
        <v>33</v>
      </c>
      <c r="F357" s="37" t="s">
        <v>810</v>
      </c>
      <c r="G357" s="37" t="s">
        <v>811</v>
      </c>
      <c r="H357" s="34" t="s">
        <v>33</v>
      </c>
      <c r="I357" s="35"/>
      <c r="J357" s="35"/>
    </row>
    <row r="358">
      <c r="A358" s="32" t="s">
        <v>812</v>
      </c>
      <c r="B358" s="32" t="s">
        <v>24</v>
      </c>
      <c r="C358" s="36" t="s">
        <v>266</v>
      </c>
      <c r="D358" s="36" t="s">
        <v>91</v>
      </c>
      <c r="E358" s="36" t="s">
        <v>68</v>
      </c>
      <c r="F358" s="37" t="s">
        <v>813</v>
      </c>
      <c r="G358" s="37" t="s">
        <v>504</v>
      </c>
      <c r="H358" s="37" t="s">
        <v>676</v>
      </c>
      <c r="I358" s="35"/>
      <c r="J358" s="35"/>
    </row>
    <row r="359">
      <c r="A359" s="32" t="s">
        <v>814</v>
      </c>
      <c r="B359" s="32" t="s">
        <v>38</v>
      </c>
      <c r="C359" s="36" t="s">
        <v>266</v>
      </c>
      <c r="D359" s="36" t="s">
        <v>165</v>
      </c>
      <c r="E359" s="36" t="s">
        <v>187</v>
      </c>
      <c r="F359" s="37" t="s">
        <v>815</v>
      </c>
      <c r="G359" s="37" t="s">
        <v>424</v>
      </c>
      <c r="H359" s="37" t="s">
        <v>478</v>
      </c>
      <c r="I359" s="35"/>
      <c r="J359" s="35"/>
    </row>
    <row r="360">
      <c r="A360" s="32" t="s">
        <v>816</v>
      </c>
      <c r="B360" s="32" t="s">
        <v>62</v>
      </c>
      <c r="C360" s="36" t="s">
        <v>266</v>
      </c>
      <c r="D360" s="36" t="s">
        <v>119</v>
      </c>
      <c r="E360" s="36" t="s">
        <v>27</v>
      </c>
      <c r="F360" s="37" t="s">
        <v>817</v>
      </c>
      <c r="G360" s="37" t="s">
        <v>818</v>
      </c>
      <c r="H360" s="37" t="s">
        <v>819</v>
      </c>
      <c r="I360" s="35"/>
      <c r="J360" s="35"/>
    </row>
    <row r="361">
      <c r="A361" s="32" t="s">
        <v>820</v>
      </c>
      <c r="B361" s="32" t="s">
        <v>62</v>
      </c>
      <c r="C361" s="36" t="s">
        <v>266</v>
      </c>
      <c r="D361" s="36" t="s">
        <v>122</v>
      </c>
      <c r="E361" s="36" t="s">
        <v>33</v>
      </c>
      <c r="F361" s="37" t="s">
        <v>633</v>
      </c>
      <c r="G361" s="37" t="s">
        <v>634</v>
      </c>
      <c r="H361" s="34" t="s">
        <v>33</v>
      </c>
      <c r="I361" s="35"/>
      <c r="J361" s="35"/>
    </row>
    <row r="362">
      <c r="A362" s="32" t="s">
        <v>821</v>
      </c>
      <c r="B362" s="32" t="s">
        <v>62</v>
      </c>
      <c r="C362" s="36" t="s">
        <v>266</v>
      </c>
      <c r="D362" s="36" t="s">
        <v>33</v>
      </c>
      <c r="E362" s="36" t="s">
        <v>33</v>
      </c>
      <c r="F362" s="37" t="s">
        <v>822</v>
      </c>
      <c r="G362" s="34" t="s">
        <v>33</v>
      </c>
      <c r="H362" s="34" t="s">
        <v>33</v>
      </c>
      <c r="I362" s="35"/>
      <c r="J362" s="35"/>
    </row>
    <row r="363">
      <c r="A363" s="32" t="s">
        <v>823</v>
      </c>
      <c r="B363" s="32" t="s">
        <v>62</v>
      </c>
      <c r="C363" s="36" t="s">
        <v>266</v>
      </c>
      <c r="D363" s="36" t="s">
        <v>33</v>
      </c>
      <c r="E363" s="36" t="s">
        <v>232</v>
      </c>
      <c r="F363" s="37" t="s">
        <v>54</v>
      </c>
      <c r="G363" s="34" t="s">
        <v>33</v>
      </c>
      <c r="H363" s="37" t="s">
        <v>55</v>
      </c>
      <c r="I363" s="35"/>
      <c r="J363" s="35"/>
    </row>
    <row r="364">
      <c r="A364" s="32" t="s">
        <v>824</v>
      </c>
      <c r="B364" s="32" t="s">
        <v>62</v>
      </c>
      <c r="C364" s="36" t="s">
        <v>266</v>
      </c>
      <c r="D364" s="36" t="s">
        <v>33</v>
      </c>
      <c r="E364" s="36" t="s">
        <v>33</v>
      </c>
      <c r="F364" s="37" t="s">
        <v>825</v>
      </c>
      <c r="G364" s="34" t="s">
        <v>33</v>
      </c>
      <c r="H364" s="34" t="s">
        <v>33</v>
      </c>
      <c r="I364" s="35"/>
      <c r="J364" s="35"/>
    </row>
    <row r="365">
      <c r="A365" s="32" t="s">
        <v>826</v>
      </c>
      <c r="B365" s="32" t="s">
        <v>32</v>
      </c>
      <c r="C365" s="36" t="s">
        <v>385</v>
      </c>
      <c r="D365" s="36" t="s">
        <v>399</v>
      </c>
      <c r="E365" s="36" t="s">
        <v>137</v>
      </c>
      <c r="F365" s="37" t="s">
        <v>523</v>
      </c>
      <c r="G365" s="37" t="s">
        <v>490</v>
      </c>
      <c r="H365" s="37" t="s">
        <v>491</v>
      </c>
      <c r="I365" s="35"/>
      <c r="J365" s="35"/>
    </row>
    <row r="366">
      <c r="A366" s="32" t="s">
        <v>827</v>
      </c>
      <c r="B366" s="32" t="s">
        <v>32</v>
      </c>
      <c r="C366" s="36" t="s">
        <v>385</v>
      </c>
      <c r="D366" s="36" t="s">
        <v>25</v>
      </c>
      <c r="E366" s="36" t="s">
        <v>66</v>
      </c>
      <c r="F366" s="37" t="s">
        <v>523</v>
      </c>
      <c r="G366" s="37" t="s">
        <v>490</v>
      </c>
      <c r="H366" s="37" t="s">
        <v>524</v>
      </c>
      <c r="I366" s="35"/>
      <c r="J366" s="35"/>
    </row>
    <row r="367">
      <c r="A367" s="32" t="s">
        <v>828</v>
      </c>
      <c r="B367" s="32" t="s">
        <v>38</v>
      </c>
      <c r="C367" s="36" t="s">
        <v>385</v>
      </c>
      <c r="D367" s="36" t="s">
        <v>33</v>
      </c>
      <c r="E367" s="36" t="s">
        <v>288</v>
      </c>
      <c r="F367" s="37" t="s">
        <v>54</v>
      </c>
      <c r="G367" s="34" t="s">
        <v>33</v>
      </c>
      <c r="H367" s="37" t="s">
        <v>459</v>
      </c>
      <c r="I367" s="35"/>
      <c r="J367" s="35"/>
    </row>
    <row r="368">
      <c r="A368" s="32" t="s">
        <v>829</v>
      </c>
      <c r="B368" s="32" t="s">
        <v>109</v>
      </c>
      <c r="C368" s="36" t="s">
        <v>385</v>
      </c>
      <c r="D368" s="36" t="s">
        <v>266</v>
      </c>
      <c r="E368" s="36" t="s">
        <v>466</v>
      </c>
      <c r="F368" s="37" t="s">
        <v>830</v>
      </c>
      <c r="G368" s="37" t="s">
        <v>831</v>
      </c>
      <c r="H368" s="37" t="s">
        <v>832</v>
      </c>
      <c r="I368" s="35"/>
      <c r="J368" s="35"/>
    </row>
    <row r="369">
      <c r="A369" s="32" t="s">
        <v>833</v>
      </c>
      <c r="B369" s="32" t="s">
        <v>109</v>
      </c>
      <c r="C369" s="36" t="s">
        <v>385</v>
      </c>
      <c r="D369" s="36" t="s">
        <v>33</v>
      </c>
      <c r="E369" s="36" t="s">
        <v>33</v>
      </c>
      <c r="F369" s="37" t="s">
        <v>88</v>
      </c>
      <c r="G369" s="34" t="s">
        <v>33</v>
      </c>
      <c r="H369" s="34" t="s">
        <v>33</v>
      </c>
      <c r="I369" s="35"/>
      <c r="J369" s="35"/>
    </row>
    <row r="370">
      <c r="A370" s="32" t="s">
        <v>834</v>
      </c>
      <c r="B370" s="32" t="s">
        <v>62</v>
      </c>
      <c r="C370" s="36" t="s">
        <v>385</v>
      </c>
      <c r="D370" s="36" t="s">
        <v>67</v>
      </c>
      <c r="E370" s="36" t="s">
        <v>33</v>
      </c>
      <c r="F370" s="37" t="s">
        <v>629</v>
      </c>
      <c r="G370" s="37" t="s">
        <v>835</v>
      </c>
      <c r="H370" s="34" t="s">
        <v>33</v>
      </c>
      <c r="I370" s="35"/>
      <c r="J370" s="35"/>
    </row>
    <row r="371">
      <c r="A371" s="32" t="s">
        <v>836</v>
      </c>
      <c r="B371" s="32" t="s">
        <v>62</v>
      </c>
      <c r="C371" s="36" t="s">
        <v>385</v>
      </c>
      <c r="D371" s="36" t="s">
        <v>365</v>
      </c>
      <c r="E371" s="36" t="s">
        <v>199</v>
      </c>
      <c r="F371" s="37" t="s">
        <v>489</v>
      </c>
      <c r="G371" s="37" t="s">
        <v>755</v>
      </c>
      <c r="H371" s="37" t="s">
        <v>491</v>
      </c>
      <c r="I371" s="35"/>
      <c r="J371" s="35"/>
    </row>
    <row r="372">
      <c r="A372" s="32" t="s">
        <v>837</v>
      </c>
      <c r="B372" s="32" t="s">
        <v>62</v>
      </c>
      <c r="C372" s="36" t="s">
        <v>385</v>
      </c>
      <c r="D372" s="36" t="s">
        <v>95</v>
      </c>
      <c r="E372" s="36" t="s">
        <v>33</v>
      </c>
      <c r="F372" s="37" t="s">
        <v>838</v>
      </c>
      <c r="G372" s="37" t="s">
        <v>839</v>
      </c>
      <c r="H372" s="34" t="s">
        <v>33</v>
      </c>
      <c r="I372" s="35"/>
      <c r="J372" s="35"/>
    </row>
    <row r="373">
      <c r="A373" s="32" t="s">
        <v>840</v>
      </c>
      <c r="B373" s="32" t="s">
        <v>24</v>
      </c>
      <c r="C373" s="36" t="s">
        <v>188</v>
      </c>
      <c r="D373" s="36" t="s">
        <v>369</v>
      </c>
      <c r="E373" s="36" t="s">
        <v>33</v>
      </c>
      <c r="F373" s="37" t="s">
        <v>810</v>
      </c>
      <c r="G373" s="37" t="s">
        <v>841</v>
      </c>
      <c r="H373" s="34" t="s">
        <v>33</v>
      </c>
      <c r="I373" s="35"/>
      <c r="J373" s="35"/>
    </row>
    <row r="374">
      <c r="A374" s="32" t="s">
        <v>842</v>
      </c>
      <c r="B374" s="32" t="s">
        <v>73</v>
      </c>
      <c r="C374" s="36" t="s">
        <v>188</v>
      </c>
      <c r="D374" s="36" t="s">
        <v>33</v>
      </c>
      <c r="E374" s="36" t="s">
        <v>389</v>
      </c>
      <c r="F374" s="37" t="s">
        <v>843</v>
      </c>
      <c r="G374" s="34" t="s">
        <v>33</v>
      </c>
      <c r="H374" s="37" t="s">
        <v>844</v>
      </c>
      <c r="I374" s="35"/>
      <c r="J374" s="35"/>
    </row>
    <row r="375">
      <c r="A375" s="32" t="s">
        <v>845</v>
      </c>
      <c r="B375" s="32" t="s">
        <v>38</v>
      </c>
      <c r="C375" s="36" t="s">
        <v>188</v>
      </c>
      <c r="D375" s="36" t="s">
        <v>187</v>
      </c>
      <c r="E375" s="36" t="s">
        <v>49</v>
      </c>
      <c r="F375" s="37" t="s">
        <v>472</v>
      </c>
      <c r="G375" s="37" t="s">
        <v>234</v>
      </c>
      <c r="H375" s="37" t="s">
        <v>235</v>
      </c>
      <c r="I375" s="35"/>
      <c r="J375" s="35"/>
    </row>
    <row r="376">
      <c r="A376" s="32" t="s">
        <v>846</v>
      </c>
      <c r="B376" s="32" t="s">
        <v>45</v>
      </c>
      <c r="C376" s="36" t="s">
        <v>188</v>
      </c>
      <c r="D376" s="36" t="s">
        <v>322</v>
      </c>
      <c r="E376" s="36" t="s">
        <v>33</v>
      </c>
      <c r="F376" s="37" t="s">
        <v>847</v>
      </c>
      <c r="G376" s="37" t="s">
        <v>848</v>
      </c>
      <c r="H376" s="34" t="s">
        <v>33</v>
      </c>
      <c r="I376" s="35"/>
      <c r="J376" s="35"/>
    </row>
    <row r="377">
      <c r="A377" s="32" t="s">
        <v>849</v>
      </c>
      <c r="B377" s="32" t="s">
        <v>62</v>
      </c>
      <c r="C377" s="36" t="s">
        <v>188</v>
      </c>
      <c r="D377" s="36" t="s">
        <v>58</v>
      </c>
      <c r="E377" s="36" t="s">
        <v>187</v>
      </c>
      <c r="F377" s="37" t="s">
        <v>633</v>
      </c>
      <c r="G377" s="37" t="s">
        <v>634</v>
      </c>
      <c r="H377" s="37" t="s">
        <v>635</v>
      </c>
      <c r="I377" s="35"/>
      <c r="J377" s="35"/>
    </row>
    <row r="378">
      <c r="A378" s="32" t="s">
        <v>850</v>
      </c>
      <c r="B378" s="32" t="s">
        <v>62</v>
      </c>
      <c r="C378" s="36" t="s">
        <v>188</v>
      </c>
      <c r="D378" s="36" t="s">
        <v>851</v>
      </c>
      <c r="E378" s="36" t="s">
        <v>545</v>
      </c>
      <c r="F378" s="37" t="s">
        <v>375</v>
      </c>
      <c r="G378" s="37" t="s">
        <v>521</v>
      </c>
      <c r="H378" s="37" t="s">
        <v>852</v>
      </c>
      <c r="I378" s="35"/>
      <c r="J378" s="35"/>
    </row>
    <row r="379">
      <c r="A379" s="32" t="s">
        <v>853</v>
      </c>
      <c r="B379" s="32" t="s">
        <v>212</v>
      </c>
      <c r="C379" s="36" t="s">
        <v>533</v>
      </c>
      <c r="D379" s="36" t="s">
        <v>854</v>
      </c>
      <c r="E379" s="36" t="s">
        <v>255</v>
      </c>
      <c r="F379" s="37" t="s">
        <v>174</v>
      </c>
      <c r="G379" s="37" t="s">
        <v>175</v>
      </c>
      <c r="H379" s="37" t="s">
        <v>176</v>
      </c>
      <c r="I379" s="35"/>
      <c r="J379" s="35"/>
    </row>
    <row r="380">
      <c r="A380" s="32" t="s">
        <v>855</v>
      </c>
      <c r="B380" s="32" t="s">
        <v>73</v>
      </c>
      <c r="C380" s="36" t="s">
        <v>533</v>
      </c>
      <c r="D380" s="36" t="s">
        <v>33</v>
      </c>
      <c r="E380" s="36" t="s">
        <v>33</v>
      </c>
      <c r="F380" s="37" t="s">
        <v>825</v>
      </c>
      <c r="G380" s="34" t="s">
        <v>33</v>
      </c>
      <c r="H380" s="34" t="s">
        <v>33</v>
      </c>
      <c r="I380" s="35"/>
      <c r="J380" s="35"/>
    </row>
    <row r="381">
      <c r="A381" s="32" t="s">
        <v>856</v>
      </c>
      <c r="B381" s="32" t="s">
        <v>57</v>
      </c>
      <c r="C381" s="36" t="s">
        <v>533</v>
      </c>
      <c r="D381" s="36" t="s">
        <v>165</v>
      </c>
      <c r="E381" s="36" t="s">
        <v>591</v>
      </c>
      <c r="F381" s="37" t="s">
        <v>516</v>
      </c>
      <c r="G381" s="37" t="s">
        <v>517</v>
      </c>
      <c r="H381" s="37" t="s">
        <v>518</v>
      </c>
      <c r="I381" s="35"/>
      <c r="J381" s="35"/>
    </row>
    <row r="382">
      <c r="A382" s="32" t="s">
        <v>857</v>
      </c>
      <c r="B382" s="32" t="s">
        <v>109</v>
      </c>
      <c r="C382" s="36" t="s">
        <v>533</v>
      </c>
      <c r="D382" s="36" t="s">
        <v>87</v>
      </c>
      <c r="E382" s="36" t="s">
        <v>33</v>
      </c>
      <c r="F382" s="37" t="s">
        <v>523</v>
      </c>
      <c r="G382" s="37" t="s">
        <v>521</v>
      </c>
      <c r="H382" s="34" t="s">
        <v>33</v>
      </c>
      <c r="I382" s="35"/>
      <c r="J382" s="35"/>
    </row>
    <row r="383">
      <c r="A383" s="32" t="s">
        <v>858</v>
      </c>
      <c r="B383" s="32" t="s">
        <v>62</v>
      </c>
      <c r="C383" s="36" t="s">
        <v>533</v>
      </c>
      <c r="D383" s="36" t="s">
        <v>33</v>
      </c>
      <c r="E383" s="36" t="s">
        <v>232</v>
      </c>
      <c r="F383" s="37" t="s">
        <v>859</v>
      </c>
      <c r="G383" s="34" t="s">
        <v>33</v>
      </c>
      <c r="H383" s="37" t="s">
        <v>736</v>
      </c>
      <c r="I383" s="35"/>
      <c r="J383" s="35"/>
    </row>
    <row r="384">
      <c r="A384" s="32" t="s">
        <v>860</v>
      </c>
      <c r="B384" s="32" t="s">
        <v>62</v>
      </c>
      <c r="C384" s="36" t="s">
        <v>533</v>
      </c>
      <c r="D384" s="36" t="s">
        <v>33</v>
      </c>
      <c r="E384" s="36" t="s">
        <v>511</v>
      </c>
      <c r="F384" s="37" t="s">
        <v>861</v>
      </c>
      <c r="G384" s="34" t="s">
        <v>33</v>
      </c>
      <c r="H384" s="37" t="s">
        <v>862</v>
      </c>
      <c r="I384" s="35"/>
      <c r="J384" s="35"/>
    </row>
    <row r="385">
      <c r="A385" s="32" t="s">
        <v>863</v>
      </c>
      <c r="B385" s="32" t="s">
        <v>62</v>
      </c>
      <c r="C385" s="36" t="s">
        <v>533</v>
      </c>
      <c r="D385" s="36" t="s">
        <v>33</v>
      </c>
      <c r="E385" s="36" t="s">
        <v>33</v>
      </c>
      <c r="F385" s="37" t="s">
        <v>864</v>
      </c>
      <c r="G385" s="34" t="s">
        <v>33</v>
      </c>
      <c r="H385" s="34" t="s">
        <v>33</v>
      </c>
      <c r="I385" s="35"/>
      <c r="J385" s="35"/>
    </row>
    <row r="386">
      <c r="A386" s="32" t="s">
        <v>865</v>
      </c>
      <c r="B386" s="32" t="s">
        <v>62</v>
      </c>
      <c r="C386" s="36" t="s">
        <v>533</v>
      </c>
      <c r="D386" s="36" t="s">
        <v>33</v>
      </c>
      <c r="E386" s="36" t="s">
        <v>33</v>
      </c>
      <c r="F386" s="37" t="s">
        <v>703</v>
      </c>
      <c r="G386" s="34" t="s">
        <v>33</v>
      </c>
      <c r="H386" s="34" t="s">
        <v>33</v>
      </c>
      <c r="I386" s="35"/>
      <c r="J386" s="35"/>
    </row>
    <row r="387">
      <c r="A387" s="32" t="s">
        <v>866</v>
      </c>
      <c r="B387" s="32" t="s">
        <v>62</v>
      </c>
      <c r="C387" s="36" t="s">
        <v>533</v>
      </c>
      <c r="D387" s="36" t="s">
        <v>33</v>
      </c>
      <c r="E387" s="36" t="s">
        <v>283</v>
      </c>
      <c r="F387" s="37" t="s">
        <v>867</v>
      </c>
      <c r="G387" s="34" t="s">
        <v>33</v>
      </c>
      <c r="H387" s="37" t="s">
        <v>868</v>
      </c>
      <c r="I387" s="35"/>
      <c r="J387" s="35"/>
    </row>
    <row r="388">
      <c r="A388" s="32" t="s">
        <v>869</v>
      </c>
      <c r="B388" s="32" t="s">
        <v>154</v>
      </c>
      <c r="C388" s="36" t="s">
        <v>466</v>
      </c>
      <c r="D388" s="36" t="s">
        <v>127</v>
      </c>
      <c r="E388" s="36" t="s">
        <v>870</v>
      </c>
      <c r="F388" s="37" t="s">
        <v>233</v>
      </c>
      <c r="G388" s="37" t="s">
        <v>234</v>
      </c>
      <c r="H388" s="37" t="s">
        <v>235</v>
      </c>
      <c r="I388" s="35"/>
      <c r="J388" s="35"/>
    </row>
    <row r="389">
      <c r="A389" s="32" t="s">
        <v>871</v>
      </c>
      <c r="B389" s="32" t="s">
        <v>154</v>
      </c>
      <c r="C389" s="36" t="s">
        <v>466</v>
      </c>
      <c r="D389" s="36" t="s">
        <v>46</v>
      </c>
      <c r="E389" s="36" t="s">
        <v>33</v>
      </c>
      <c r="F389" s="37" t="s">
        <v>42</v>
      </c>
      <c r="G389" s="37" t="s">
        <v>43</v>
      </c>
      <c r="H389" s="34" t="s">
        <v>33</v>
      </c>
      <c r="I389" s="35"/>
      <c r="J389" s="35"/>
    </row>
    <row r="390">
      <c r="A390" s="32" t="s">
        <v>872</v>
      </c>
      <c r="B390" s="32" t="s">
        <v>73</v>
      </c>
      <c r="C390" s="36" t="s">
        <v>466</v>
      </c>
      <c r="D390" s="36" t="s">
        <v>33</v>
      </c>
      <c r="E390" s="36" t="s">
        <v>91</v>
      </c>
      <c r="F390" s="37" t="s">
        <v>622</v>
      </c>
      <c r="G390" s="34" t="s">
        <v>33</v>
      </c>
      <c r="H390" s="37" t="s">
        <v>770</v>
      </c>
      <c r="I390" s="35"/>
      <c r="J390" s="35"/>
    </row>
    <row r="391">
      <c r="A391" s="32" t="s">
        <v>873</v>
      </c>
      <c r="B391" s="32" t="s">
        <v>73</v>
      </c>
      <c r="C391" s="36" t="s">
        <v>466</v>
      </c>
      <c r="D391" s="36" t="s">
        <v>33</v>
      </c>
      <c r="E391" s="36" t="s">
        <v>33</v>
      </c>
      <c r="F391" s="37" t="s">
        <v>102</v>
      </c>
      <c r="G391" s="34" t="s">
        <v>33</v>
      </c>
      <c r="H391" s="34" t="s">
        <v>33</v>
      </c>
      <c r="I391" s="35"/>
      <c r="J391" s="35"/>
    </row>
    <row r="392">
      <c r="A392" s="32" t="s">
        <v>874</v>
      </c>
      <c r="B392" s="32" t="s">
        <v>57</v>
      </c>
      <c r="C392" s="36" t="s">
        <v>466</v>
      </c>
      <c r="D392" s="36" t="s">
        <v>33</v>
      </c>
      <c r="E392" s="36" t="s">
        <v>223</v>
      </c>
      <c r="F392" s="37" t="s">
        <v>375</v>
      </c>
      <c r="G392" s="34" t="s">
        <v>33</v>
      </c>
      <c r="H392" s="37" t="s">
        <v>524</v>
      </c>
      <c r="I392" s="35"/>
      <c r="J392" s="35"/>
    </row>
    <row r="393">
      <c r="A393" s="32" t="s">
        <v>875</v>
      </c>
      <c r="B393" s="32" t="s">
        <v>57</v>
      </c>
      <c r="C393" s="36" t="s">
        <v>466</v>
      </c>
      <c r="D393" s="36" t="s">
        <v>457</v>
      </c>
      <c r="E393" s="36" t="s">
        <v>46</v>
      </c>
      <c r="F393" s="37" t="s">
        <v>876</v>
      </c>
      <c r="G393" s="37" t="s">
        <v>877</v>
      </c>
      <c r="H393" s="37" t="s">
        <v>878</v>
      </c>
      <c r="I393" s="35"/>
      <c r="J393" s="35"/>
    </row>
    <row r="394">
      <c r="A394" s="32" t="s">
        <v>879</v>
      </c>
      <c r="B394" s="32" t="s">
        <v>57</v>
      </c>
      <c r="C394" s="36" t="s">
        <v>466</v>
      </c>
      <c r="D394" s="36" t="s">
        <v>365</v>
      </c>
      <c r="E394" s="36" t="s">
        <v>476</v>
      </c>
      <c r="F394" s="37" t="s">
        <v>523</v>
      </c>
      <c r="G394" s="37" t="s">
        <v>755</v>
      </c>
      <c r="H394" s="37" t="s">
        <v>756</v>
      </c>
      <c r="I394" s="35"/>
      <c r="J394" s="35"/>
    </row>
    <row r="395">
      <c r="A395" s="32" t="s">
        <v>880</v>
      </c>
      <c r="B395" s="32" t="s">
        <v>62</v>
      </c>
      <c r="C395" s="36" t="s">
        <v>466</v>
      </c>
      <c r="D395" s="36" t="s">
        <v>419</v>
      </c>
      <c r="E395" s="36" t="s">
        <v>33</v>
      </c>
      <c r="F395" s="37" t="s">
        <v>881</v>
      </c>
      <c r="G395" s="37" t="s">
        <v>882</v>
      </c>
      <c r="H395" s="34" t="s">
        <v>33</v>
      </c>
      <c r="I395" s="35"/>
      <c r="J395" s="35"/>
    </row>
    <row r="396">
      <c r="A396" s="32" t="s">
        <v>883</v>
      </c>
      <c r="B396" s="32" t="s">
        <v>486</v>
      </c>
      <c r="C396" s="36" t="s">
        <v>82</v>
      </c>
      <c r="D396" s="36" t="s">
        <v>33</v>
      </c>
      <c r="E396" s="36" t="s">
        <v>33</v>
      </c>
      <c r="F396" s="37" t="s">
        <v>102</v>
      </c>
      <c r="G396" s="34" t="s">
        <v>33</v>
      </c>
      <c r="H396" s="34" t="s">
        <v>33</v>
      </c>
      <c r="I396" s="35"/>
      <c r="J396" s="35"/>
    </row>
    <row r="397">
      <c r="A397" s="32" t="s">
        <v>884</v>
      </c>
      <c r="B397" s="32" t="s">
        <v>73</v>
      </c>
      <c r="C397" s="36" t="s">
        <v>82</v>
      </c>
      <c r="D397" s="36" t="s">
        <v>33</v>
      </c>
      <c r="E397" s="36" t="s">
        <v>33</v>
      </c>
      <c r="F397" s="37" t="s">
        <v>219</v>
      </c>
      <c r="G397" s="34" t="s">
        <v>33</v>
      </c>
      <c r="H397" s="34" t="s">
        <v>33</v>
      </c>
      <c r="I397" s="35"/>
      <c r="J397" s="35"/>
    </row>
    <row r="398">
      <c r="A398" s="32" t="s">
        <v>885</v>
      </c>
      <c r="B398" s="32" t="s">
        <v>57</v>
      </c>
      <c r="C398" s="36" t="s">
        <v>82</v>
      </c>
      <c r="D398" s="36" t="s">
        <v>399</v>
      </c>
      <c r="E398" s="36" t="s">
        <v>718</v>
      </c>
      <c r="F398" s="37" t="s">
        <v>843</v>
      </c>
      <c r="G398" s="37" t="s">
        <v>886</v>
      </c>
      <c r="H398" s="37" t="s">
        <v>844</v>
      </c>
      <c r="I398" s="35"/>
      <c r="J398" s="35"/>
    </row>
    <row r="399">
      <c r="A399" s="32" t="s">
        <v>887</v>
      </c>
      <c r="B399" s="32" t="s">
        <v>109</v>
      </c>
      <c r="C399" s="36" t="s">
        <v>82</v>
      </c>
      <c r="D399" s="36" t="s">
        <v>254</v>
      </c>
      <c r="E399" s="36" t="s">
        <v>283</v>
      </c>
      <c r="F399" s="37" t="s">
        <v>888</v>
      </c>
      <c r="G399" s="37" t="s">
        <v>889</v>
      </c>
      <c r="H399" s="37" t="s">
        <v>191</v>
      </c>
      <c r="I399" s="35"/>
      <c r="J399" s="35"/>
    </row>
    <row r="400">
      <c r="A400" s="32" t="s">
        <v>890</v>
      </c>
      <c r="B400" s="32" t="s">
        <v>109</v>
      </c>
      <c r="C400" s="36" t="s">
        <v>82</v>
      </c>
      <c r="D400" s="36" t="s">
        <v>33</v>
      </c>
      <c r="E400" s="36" t="s">
        <v>33</v>
      </c>
      <c r="F400" s="37" t="s">
        <v>891</v>
      </c>
      <c r="G400" s="34" t="s">
        <v>33</v>
      </c>
      <c r="H400" s="34" t="s">
        <v>33</v>
      </c>
      <c r="I400" s="35"/>
      <c r="J400" s="35"/>
    </row>
    <row r="401">
      <c r="A401" s="32" t="s">
        <v>892</v>
      </c>
      <c r="B401" s="32" t="s">
        <v>62</v>
      </c>
      <c r="C401" s="36" t="s">
        <v>82</v>
      </c>
      <c r="D401" s="36" t="s">
        <v>68</v>
      </c>
      <c r="E401" s="36" t="s">
        <v>34</v>
      </c>
      <c r="F401" s="37" t="s">
        <v>698</v>
      </c>
      <c r="G401" s="37" t="s">
        <v>234</v>
      </c>
      <c r="H401" s="37" t="s">
        <v>235</v>
      </c>
      <c r="I401" s="35"/>
      <c r="J401" s="35"/>
    </row>
    <row r="402">
      <c r="A402" s="32" t="s">
        <v>893</v>
      </c>
      <c r="B402" s="32" t="s">
        <v>24</v>
      </c>
      <c r="C402" s="36" t="s">
        <v>442</v>
      </c>
      <c r="D402" s="36" t="s">
        <v>122</v>
      </c>
      <c r="E402" s="36" t="s">
        <v>533</v>
      </c>
      <c r="F402" s="37" t="s">
        <v>859</v>
      </c>
      <c r="G402" s="37" t="s">
        <v>70</v>
      </c>
      <c r="H402" s="37" t="s">
        <v>736</v>
      </c>
      <c r="I402" s="35"/>
      <c r="J402" s="35"/>
    </row>
    <row r="403">
      <c r="A403" s="32" t="s">
        <v>894</v>
      </c>
      <c r="B403" s="32" t="s">
        <v>32</v>
      </c>
      <c r="C403" s="36" t="s">
        <v>442</v>
      </c>
      <c r="D403" s="36" t="s">
        <v>173</v>
      </c>
      <c r="E403" s="36" t="s">
        <v>33</v>
      </c>
      <c r="F403" s="37" t="s">
        <v>895</v>
      </c>
      <c r="G403" s="37" t="s">
        <v>614</v>
      </c>
      <c r="H403" s="34" t="s">
        <v>33</v>
      </c>
      <c r="I403" s="35"/>
      <c r="J403" s="35"/>
    </row>
    <row r="404">
      <c r="A404" s="32" t="s">
        <v>896</v>
      </c>
      <c r="B404" s="32" t="s">
        <v>109</v>
      </c>
      <c r="C404" s="36" t="s">
        <v>442</v>
      </c>
      <c r="D404" s="36" t="s">
        <v>34</v>
      </c>
      <c r="E404" s="36" t="s">
        <v>179</v>
      </c>
      <c r="F404" s="37" t="s">
        <v>897</v>
      </c>
      <c r="G404" s="37" t="s">
        <v>898</v>
      </c>
      <c r="H404" s="37" t="s">
        <v>278</v>
      </c>
      <c r="I404" s="35"/>
      <c r="J404" s="35"/>
    </row>
    <row r="405">
      <c r="A405" s="32" t="s">
        <v>899</v>
      </c>
      <c r="B405" s="32" t="s">
        <v>109</v>
      </c>
      <c r="C405" s="36" t="s">
        <v>442</v>
      </c>
      <c r="D405" s="36" t="s">
        <v>91</v>
      </c>
      <c r="E405" s="36" t="s">
        <v>232</v>
      </c>
      <c r="F405" s="37" t="s">
        <v>633</v>
      </c>
      <c r="G405" s="37" t="s">
        <v>634</v>
      </c>
      <c r="H405" s="37" t="s">
        <v>900</v>
      </c>
      <c r="I405" s="35"/>
      <c r="J405" s="35"/>
    </row>
    <row r="406">
      <c r="A406" s="32" t="s">
        <v>901</v>
      </c>
      <c r="B406" s="32" t="s">
        <v>109</v>
      </c>
      <c r="C406" s="36" t="s">
        <v>442</v>
      </c>
      <c r="D406" s="36" t="s">
        <v>902</v>
      </c>
      <c r="E406" s="36" t="s">
        <v>33</v>
      </c>
      <c r="F406" s="37" t="s">
        <v>629</v>
      </c>
      <c r="G406" s="37" t="s">
        <v>481</v>
      </c>
      <c r="H406" s="34" t="s">
        <v>33</v>
      </c>
      <c r="I406" s="35"/>
      <c r="J406" s="35"/>
    </row>
    <row r="407">
      <c r="A407" s="32" t="s">
        <v>903</v>
      </c>
      <c r="B407" s="32" t="s">
        <v>210</v>
      </c>
      <c r="C407" s="36" t="s">
        <v>223</v>
      </c>
      <c r="D407" s="36" t="s">
        <v>33</v>
      </c>
      <c r="E407" s="36" t="s">
        <v>33</v>
      </c>
      <c r="F407" s="37" t="s">
        <v>576</v>
      </c>
      <c r="G407" s="34" t="s">
        <v>33</v>
      </c>
      <c r="H407" s="34" t="s">
        <v>33</v>
      </c>
      <c r="I407" s="35"/>
      <c r="J407" s="35"/>
    </row>
    <row r="408">
      <c r="A408" s="32" t="s">
        <v>904</v>
      </c>
      <c r="B408" s="32" t="s">
        <v>109</v>
      </c>
      <c r="C408" s="36" t="s">
        <v>223</v>
      </c>
      <c r="D408" s="36" t="s">
        <v>53</v>
      </c>
      <c r="E408" s="36" t="s">
        <v>58</v>
      </c>
      <c r="F408" s="37" t="s">
        <v>336</v>
      </c>
      <c r="G408" s="37" t="s">
        <v>700</v>
      </c>
      <c r="H408" s="37" t="s">
        <v>303</v>
      </c>
      <c r="I408" s="35"/>
      <c r="J408" s="35"/>
    </row>
    <row r="409">
      <c r="A409" s="32" t="s">
        <v>905</v>
      </c>
      <c r="B409" s="32" t="s">
        <v>62</v>
      </c>
      <c r="C409" s="36" t="s">
        <v>223</v>
      </c>
      <c r="D409" s="36" t="s">
        <v>127</v>
      </c>
      <c r="E409" s="36" t="s">
        <v>33</v>
      </c>
      <c r="F409" s="37" t="s">
        <v>906</v>
      </c>
      <c r="G409" s="37" t="s">
        <v>907</v>
      </c>
      <c r="H409" s="34" t="s">
        <v>33</v>
      </c>
      <c r="I409" s="35"/>
      <c r="J409" s="35"/>
    </row>
    <row r="410">
      <c r="A410" s="32" t="s">
        <v>908</v>
      </c>
      <c r="B410" s="32" t="s">
        <v>62</v>
      </c>
      <c r="C410" s="36" t="s">
        <v>223</v>
      </c>
      <c r="D410" s="36" t="s">
        <v>58</v>
      </c>
      <c r="E410" s="36" t="s">
        <v>33</v>
      </c>
      <c r="F410" s="37" t="s">
        <v>358</v>
      </c>
      <c r="G410" s="37" t="s">
        <v>220</v>
      </c>
      <c r="H410" s="34" t="s">
        <v>33</v>
      </c>
      <c r="I410" s="35"/>
      <c r="J410" s="35"/>
    </row>
    <row r="411">
      <c r="A411" s="32" t="s">
        <v>909</v>
      </c>
      <c r="B411" s="32" t="s">
        <v>154</v>
      </c>
      <c r="C411" s="36" t="s">
        <v>331</v>
      </c>
      <c r="D411" s="36" t="s">
        <v>371</v>
      </c>
      <c r="E411" s="36" t="s">
        <v>652</v>
      </c>
      <c r="F411" s="37" t="s">
        <v>633</v>
      </c>
      <c r="G411" s="37" t="s">
        <v>634</v>
      </c>
      <c r="H411" s="37" t="s">
        <v>635</v>
      </c>
      <c r="I411" s="35"/>
      <c r="J411" s="35"/>
    </row>
    <row r="412">
      <c r="A412" s="32" t="s">
        <v>910</v>
      </c>
      <c r="B412" s="32" t="s">
        <v>38</v>
      </c>
      <c r="C412" s="36" t="s">
        <v>331</v>
      </c>
      <c r="D412" s="36" t="s">
        <v>33</v>
      </c>
      <c r="E412" s="36" t="s">
        <v>187</v>
      </c>
      <c r="F412" s="37" t="s">
        <v>911</v>
      </c>
      <c r="G412" s="34" t="s">
        <v>33</v>
      </c>
      <c r="H412" s="37" t="s">
        <v>912</v>
      </c>
      <c r="I412" s="35"/>
      <c r="J412" s="35"/>
    </row>
    <row r="413">
      <c r="A413" s="32" t="s">
        <v>913</v>
      </c>
      <c r="B413" s="32" t="s">
        <v>57</v>
      </c>
      <c r="C413" s="36" t="s">
        <v>331</v>
      </c>
      <c r="D413" s="36" t="s">
        <v>466</v>
      </c>
      <c r="E413" s="36" t="s">
        <v>33</v>
      </c>
      <c r="F413" s="37" t="s">
        <v>538</v>
      </c>
      <c r="G413" s="37" t="s">
        <v>539</v>
      </c>
      <c r="H413" s="34" t="s">
        <v>33</v>
      </c>
      <c r="I413" s="35"/>
      <c r="J413" s="35"/>
    </row>
    <row r="414">
      <c r="A414" s="32" t="s">
        <v>914</v>
      </c>
      <c r="B414" s="32" t="s">
        <v>109</v>
      </c>
      <c r="C414" s="36" t="s">
        <v>331</v>
      </c>
      <c r="D414" s="36" t="s">
        <v>591</v>
      </c>
      <c r="E414" s="36" t="s">
        <v>33</v>
      </c>
      <c r="F414" s="37" t="s">
        <v>394</v>
      </c>
      <c r="G414" s="37" t="s">
        <v>915</v>
      </c>
      <c r="H414" s="34" t="s">
        <v>33</v>
      </c>
      <c r="I414" s="35"/>
      <c r="J414" s="35"/>
    </row>
    <row r="415">
      <c r="A415" s="32" t="s">
        <v>916</v>
      </c>
      <c r="B415" s="32" t="s">
        <v>109</v>
      </c>
      <c r="C415" s="36" t="s">
        <v>331</v>
      </c>
      <c r="D415" s="36" t="s">
        <v>288</v>
      </c>
      <c r="E415" s="36" t="s">
        <v>33</v>
      </c>
      <c r="F415" s="37" t="s">
        <v>684</v>
      </c>
      <c r="G415" s="37" t="s">
        <v>708</v>
      </c>
      <c r="H415" s="34" t="s">
        <v>33</v>
      </c>
      <c r="I415" s="35"/>
      <c r="J415" s="35"/>
    </row>
    <row r="416">
      <c r="A416" s="32" t="s">
        <v>917</v>
      </c>
      <c r="B416" s="32" t="s">
        <v>62</v>
      </c>
      <c r="C416" s="36" t="s">
        <v>331</v>
      </c>
      <c r="D416" s="36" t="s">
        <v>240</v>
      </c>
      <c r="E416" s="36" t="s">
        <v>33</v>
      </c>
      <c r="F416" s="37" t="s">
        <v>918</v>
      </c>
      <c r="G416" s="37" t="s">
        <v>919</v>
      </c>
      <c r="H416" s="34" t="s">
        <v>33</v>
      </c>
      <c r="I416" s="35"/>
      <c r="J416" s="35"/>
    </row>
    <row r="417">
      <c r="A417" s="32" t="s">
        <v>920</v>
      </c>
      <c r="B417" s="32" t="s">
        <v>62</v>
      </c>
      <c r="C417" s="36" t="s">
        <v>331</v>
      </c>
      <c r="D417" s="36" t="s">
        <v>74</v>
      </c>
      <c r="E417" s="36" t="s">
        <v>33</v>
      </c>
      <c r="F417" s="37" t="s">
        <v>921</v>
      </c>
      <c r="G417" s="37" t="s">
        <v>773</v>
      </c>
      <c r="H417" s="34" t="s">
        <v>33</v>
      </c>
      <c r="I417" s="35"/>
      <c r="J417" s="35"/>
    </row>
    <row r="418">
      <c r="A418" s="32" t="s">
        <v>922</v>
      </c>
      <c r="B418" s="32" t="s">
        <v>62</v>
      </c>
      <c r="C418" s="36" t="s">
        <v>331</v>
      </c>
      <c r="D418" s="36" t="s">
        <v>33</v>
      </c>
      <c r="E418" s="36" t="s">
        <v>389</v>
      </c>
      <c r="F418" s="37" t="s">
        <v>923</v>
      </c>
      <c r="G418" s="34" t="s">
        <v>33</v>
      </c>
      <c r="H418" s="37" t="s">
        <v>924</v>
      </c>
      <c r="I418" s="35"/>
      <c r="J418" s="35"/>
    </row>
    <row r="419">
      <c r="A419" s="32" t="s">
        <v>925</v>
      </c>
      <c r="B419" s="32" t="s">
        <v>210</v>
      </c>
      <c r="C419" s="36" t="s">
        <v>74</v>
      </c>
      <c r="D419" s="36" t="s">
        <v>511</v>
      </c>
      <c r="E419" s="36" t="s">
        <v>188</v>
      </c>
      <c r="F419" s="37" t="s">
        <v>859</v>
      </c>
      <c r="G419" s="37" t="s">
        <v>70</v>
      </c>
      <c r="H419" s="37" t="s">
        <v>736</v>
      </c>
      <c r="I419" s="35"/>
      <c r="J419" s="35"/>
    </row>
    <row r="420">
      <c r="A420" s="32" t="s">
        <v>926</v>
      </c>
      <c r="B420" s="32" t="s">
        <v>212</v>
      </c>
      <c r="C420" s="36" t="s">
        <v>74</v>
      </c>
      <c r="D420" s="36" t="s">
        <v>128</v>
      </c>
      <c r="E420" s="36" t="s">
        <v>33</v>
      </c>
      <c r="F420" s="37" t="s">
        <v>906</v>
      </c>
      <c r="G420" s="37" t="s">
        <v>907</v>
      </c>
      <c r="H420" s="34" t="s">
        <v>33</v>
      </c>
      <c r="I420" s="35"/>
      <c r="J420" s="35"/>
    </row>
    <row r="421">
      <c r="A421" s="32" t="s">
        <v>927</v>
      </c>
      <c r="B421" s="32" t="s">
        <v>32</v>
      </c>
      <c r="C421" s="36" t="s">
        <v>74</v>
      </c>
      <c r="D421" s="36" t="s">
        <v>34</v>
      </c>
      <c r="E421" s="36" t="s">
        <v>107</v>
      </c>
      <c r="F421" s="37" t="s">
        <v>489</v>
      </c>
      <c r="G421" s="37" t="s">
        <v>755</v>
      </c>
      <c r="H421" s="37" t="s">
        <v>756</v>
      </c>
      <c r="I421" s="35"/>
      <c r="J421" s="35"/>
    </row>
    <row r="422">
      <c r="A422" s="32" t="s">
        <v>928</v>
      </c>
      <c r="B422" s="32" t="s">
        <v>38</v>
      </c>
      <c r="C422" s="36" t="s">
        <v>74</v>
      </c>
      <c r="D422" s="36" t="s">
        <v>157</v>
      </c>
      <c r="E422" s="36" t="s">
        <v>95</v>
      </c>
      <c r="F422" s="37" t="s">
        <v>682</v>
      </c>
      <c r="G422" s="37" t="s">
        <v>504</v>
      </c>
      <c r="H422" s="37" t="s">
        <v>676</v>
      </c>
      <c r="I422" s="35"/>
      <c r="J422" s="35"/>
    </row>
    <row r="423">
      <c r="A423" s="32" t="s">
        <v>929</v>
      </c>
      <c r="B423" s="32" t="s">
        <v>45</v>
      </c>
      <c r="C423" s="36" t="s">
        <v>74</v>
      </c>
      <c r="D423" s="36" t="s">
        <v>33</v>
      </c>
      <c r="E423" s="36" t="s">
        <v>33</v>
      </c>
      <c r="F423" s="37" t="s">
        <v>498</v>
      </c>
      <c r="G423" s="34" t="s">
        <v>33</v>
      </c>
      <c r="H423" s="34" t="s">
        <v>33</v>
      </c>
      <c r="I423" s="35"/>
      <c r="J423" s="35"/>
    </row>
    <row r="424">
      <c r="A424" s="32" t="s">
        <v>930</v>
      </c>
      <c r="B424" s="32" t="s">
        <v>62</v>
      </c>
      <c r="C424" s="36" t="s">
        <v>74</v>
      </c>
      <c r="D424" s="36" t="s">
        <v>165</v>
      </c>
      <c r="E424" s="36" t="s">
        <v>187</v>
      </c>
      <c r="F424" s="37" t="s">
        <v>931</v>
      </c>
      <c r="G424" s="37" t="s">
        <v>70</v>
      </c>
      <c r="H424" s="37" t="s">
        <v>71</v>
      </c>
      <c r="I424" s="35"/>
      <c r="J424" s="35"/>
    </row>
    <row r="425">
      <c r="A425" s="32" t="s">
        <v>932</v>
      </c>
      <c r="B425" s="32" t="s">
        <v>24</v>
      </c>
      <c r="C425" s="36" t="s">
        <v>369</v>
      </c>
      <c r="D425" s="36" t="s">
        <v>240</v>
      </c>
      <c r="E425" s="36" t="s">
        <v>178</v>
      </c>
      <c r="F425" s="37" t="s">
        <v>691</v>
      </c>
      <c r="G425" s="37" t="s">
        <v>692</v>
      </c>
      <c r="H425" s="37" t="s">
        <v>693</v>
      </c>
      <c r="I425" s="35"/>
      <c r="J425" s="35"/>
    </row>
    <row r="426">
      <c r="A426" s="32" t="s">
        <v>933</v>
      </c>
      <c r="B426" s="32" t="s">
        <v>24</v>
      </c>
      <c r="C426" s="36" t="s">
        <v>369</v>
      </c>
      <c r="D426" s="36" t="s">
        <v>33</v>
      </c>
      <c r="E426" s="36" t="s">
        <v>33</v>
      </c>
      <c r="F426" s="37" t="s">
        <v>934</v>
      </c>
      <c r="G426" s="34" t="s">
        <v>33</v>
      </c>
      <c r="H426" s="34" t="s">
        <v>33</v>
      </c>
      <c r="I426" s="35"/>
      <c r="J426" s="35"/>
    </row>
    <row r="427">
      <c r="A427" s="32" t="s">
        <v>935</v>
      </c>
      <c r="B427" s="32" t="s">
        <v>38</v>
      </c>
      <c r="C427" s="36" t="s">
        <v>369</v>
      </c>
      <c r="D427" s="36" t="s">
        <v>399</v>
      </c>
      <c r="E427" s="36" t="s">
        <v>201</v>
      </c>
      <c r="F427" s="37" t="s">
        <v>633</v>
      </c>
      <c r="G427" s="37" t="s">
        <v>634</v>
      </c>
      <c r="H427" s="37" t="s">
        <v>635</v>
      </c>
      <c r="I427" s="35"/>
      <c r="J427" s="35"/>
    </row>
    <row r="428">
      <c r="A428" s="32" t="s">
        <v>936</v>
      </c>
      <c r="B428" s="32" t="s">
        <v>109</v>
      </c>
      <c r="C428" s="36" t="s">
        <v>369</v>
      </c>
      <c r="D428" s="36" t="s">
        <v>33</v>
      </c>
      <c r="E428" s="36" t="s">
        <v>33</v>
      </c>
      <c r="F428" s="37" t="s">
        <v>189</v>
      </c>
      <c r="G428" s="34" t="s">
        <v>33</v>
      </c>
      <c r="H428" s="34" t="s">
        <v>33</v>
      </c>
      <c r="I428" s="35"/>
      <c r="J428" s="35"/>
    </row>
    <row r="429">
      <c r="A429" s="32" t="s">
        <v>937</v>
      </c>
      <c r="B429" s="32" t="s">
        <v>109</v>
      </c>
      <c r="C429" s="36" t="s">
        <v>369</v>
      </c>
      <c r="D429" s="36" t="s">
        <v>33</v>
      </c>
      <c r="E429" s="36" t="s">
        <v>33</v>
      </c>
      <c r="F429" s="37" t="s">
        <v>88</v>
      </c>
      <c r="G429" s="34" t="s">
        <v>33</v>
      </c>
      <c r="H429" s="34" t="s">
        <v>33</v>
      </c>
      <c r="I429" s="35"/>
      <c r="J429" s="35"/>
    </row>
    <row r="430">
      <c r="A430" s="32" t="s">
        <v>938</v>
      </c>
      <c r="B430" s="32" t="s">
        <v>151</v>
      </c>
      <c r="C430" s="36" t="s">
        <v>173</v>
      </c>
      <c r="D430" s="36" t="s">
        <v>33</v>
      </c>
      <c r="E430" s="36" t="s">
        <v>33</v>
      </c>
      <c r="F430" s="37" t="s">
        <v>939</v>
      </c>
      <c r="G430" s="34" t="s">
        <v>33</v>
      </c>
      <c r="H430" s="34" t="s">
        <v>33</v>
      </c>
      <c r="I430" s="35"/>
      <c r="J430" s="35"/>
    </row>
    <row r="431">
      <c r="A431" s="32" t="s">
        <v>940</v>
      </c>
      <c r="B431" s="32" t="s">
        <v>73</v>
      </c>
      <c r="C431" s="36" t="s">
        <v>173</v>
      </c>
      <c r="D431" s="36" t="s">
        <v>165</v>
      </c>
      <c r="E431" s="36" t="s">
        <v>26</v>
      </c>
      <c r="F431" s="37" t="s">
        <v>336</v>
      </c>
      <c r="G431" s="37" t="s">
        <v>700</v>
      </c>
      <c r="H431" s="37" t="s">
        <v>303</v>
      </c>
      <c r="I431" s="35"/>
      <c r="J431" s="35"/>
    </row>
    <row r="432">
      <c r="A432" s="32" t="s">
        <v>941</v>
      </c>
      <c r="B432" s="32" t="s">
        <v>38</v>
      </c>
      <c r="C432" s="36" t="s">
        <v>173</v>
      </c>
      <c r="D432" s="36" t="s">
        <v>33</v>
      </c>
      <c r="E432" s="36" t="s">
        <v>87</v>
      </c>
      <c r="F432" s="37" t="s">
        <v>375</v>
      </c>
      <c r="G432" s="34" t="s">
        <v>33</v>
      </c>
      <c r="H432" s="37" t="s">
        <v>852</v>
      </c>
      <c r="I432" s="35"/>
      <c r="J432" s="35"/>
    </row>
    <row r="433">
      <c r="A433" s="32" t="s">
        <v>942</v>
      </c>
      <c r="B433" s="32" t="s">
        <v>45</v>
      </c>
      <c r="C433" s="36" t="s">
        <v>173</v>
      </c>
      <c r="D433" s="36" t="s">
        <v>156</v>
      </c>
      <c r="E433" s="36" t="s">
        <v>33</v>
      </c>
      <c r="F433" s="37" t="s">
        <v>166</v>
      </c>
      <c r="G433" s="37" t="s">
        <v>943</v>
      </c>
      <c r="H433" s="34" t="s">
        <v>33</v>
      </c>
      <c r="I433" s="35"/>
      <c r="J433" s="35"/>
    </row>
    <row r="434">
      <c r="A434" s="32" t="s">
        <v>944</v>
      </c>
      <c r="B434" s="32" t="s">
        <v>45</v>
      </c>
      <c r="C434" s="36" t="s">
        <v>173</v>
      </c>
      <c r="D434" s="36" t="s">
        <v>49</v>
      </c>
      <c r="E434" s="36" t="s">
        <v>383</v>
      </c>
      <c r="F434" s="37" t="s">
        <v>945</v>
      </c>
      <c r="G434" s="37" t="s">
        <v>886</v>
      </c>
      <c r="H434" s="37" t="s">
        <v>844</v>
      </c>
      <c r="I434" s="35"/>
      <c r="J434" s="35"/>
    </row>
    <row r="435">
      <c r="A435" s="32" t="s">
        <v>946</v>
      </c>
      <c r="B435" s="32" t="s">
        <v>57</v>
      </c>
      <c r="C435" s="36" t="s">
        <v>173</v>
      </c>
      <c r="D435" s="36" t="s">
        <v>371</v>
      </c>
      <c r="E435" s="36" t="s">
        <v>33</v>
      </c>
      <c r="F435" s="37" t="s">
        <v>593</v>
      </c>
      <c r="G435" s="37" t="s">
        <v>947</v>
      </c>
      <c r="H435" s="34" t="s">
        <v>33</v>
      </c>
      <c r="I435" s="35"/>
      <c r="J435" s="35"/>
    </row>
    <row r="436">
      <c r="A436" s="32" t="s">
        <v>948</v>
      </c>
      <c r="B436" s="32" t="s">
        <v>57</v>
      </c>
      <c r="C436" s="36" t="s">
        <v>173</v>
      </c>
      <c r="D436" s="36" t="s">
        <v>33</v>
      </c>
      <c r="E436" s="36" t="s">
        <v>466</v>
      </c>
      <c r="F436" s="37" t="s">
        <v>54</v>
      </c>
      <c r="G436" s="34" t="s">
        <v>33</v>
      </c>
      <c r="H436" s="37" t="s">
        <v>642</v>
      </c>
      <c r="I436" s="35"/>
      <c r="J436" s="35"/>
    </row>
    <row r="437">
      <c r="A437" s="32" t="s">
        <v>949</v>
      </c>
      <c r="B437" s="32" t="s">
        <v>109</v>
      </c>
      <c r="C437" s="36" t="s">
        <v>173</v>
      </c>
      <c r="D437" s="36" t="s">
        <v>127</v>
      </c>
      <c r="E437" s="36" t="s">
        <v>165</v>
      </c>
      <c r="F437" s="37" t="s">
        <v>501</v>
      </c>
      <c r="G437" s="37" t="s">
        <v>400</v>
      </c>
      <c r="H437" s="37" t="s">
        <v>359</v>
      </c>
      <c r="I437" s="35"/>
      <c r="J437" s="35"/>
    </row>
    <row r="438">
      <c r="A438" s="32" t="s">
        <v>950</v>
      </c>
      <c r="B438" s="32" t="s">
        <v>62</v>
      </c>
      <c r="C438" s="36" t="s">
        <v>173</v>
      </c>
      <c r="D438" s="36" t="s">
        <v>33</v>
      </c>
      <c r="E438" s="36" t="s">
        <v>33</v>
      </c>
      <c r="F438" s="37" t="s">
        <v>951</v>
      </c>
      <c r="G438" s="34" t="s">
        <v>33</v>
      </c>
      <c r="H438" s="34" t="s">
        <v>33</v>
      </c>
      <c r="I438" s="35"/>
      <c r="J438" s="35"/>
    </row>
    <row r="439">
      <c r="A439" s="32" t="s">
        <v>952</v>
      </c>
      <c r="B439" s="32" t="s">
        <v>62</v>
      </c>
      <c r="C439" s="36" t="s">
        <v>173</v>
      </c>
      <c r="D439" s="36" t="s">
        <v>165</v>
      </c>
      <c r="E439" s="36" t="s">
        <v>199</v>
      </c>
      <c r="F439" s="37" t="s">
        <v>953</v>
      </c>
      <c r="G439" s="37" t="s">
        <v>454</v>
      </c>
      <c r="H439" s="37" t="s">
        <v>455</v>
      </c>
      <c r="I439" s="35"/>
      <c r="J439" s="35"/>
    </row>
    <row r="440">
      <c r="A440" s="32" t="s">
        <v>954</v>
      </c>
      <c r="B440" s="32" t="s">
        <v>62</v>
      </c>
      <c r="C440" s="36" t="s">
        <v>173</v>
      </c>
      <c r="D440" s="36" t="s">
        <v>419</v>
      </c>
      <c r="E440" s="36" t="s">
        <v>188</v>
      </c>
      <c r="F440" s="37" t="s">
        <v>665</v>
      </c>
      <c r="G440" s="37" t="s">
        <v>955</v>
      </c>
      <c r="H440" s="37" t="s">
        <v>956</v>
      </c>
      <c r="I440" s="35"/>
      <c r="J440" s="35"/>
    </row>
    <row r="441">
      <c r="A441" s="32" t="s">
        <v>957</v>
      </c>
      <c r="B441" s="32" t="s">
        <v>62</v>
      </c>
      <c r="C441" s="36" t="s">
        <v>173</v>
      </c>
      <c r="D441" s="36" t="s">
        <v>385</v>
      </c>
      <c r="E441" s="36" t="s">
        <v>33</v>
      </c>
      <c r="F441" s="37" t="s">
        <v>88</v>
      </c>
      <c r="G441" s="37" t="s">
        <v>958</v>
      </c>
      <c r="H441" s="34" t="s">
        <v>33</v>
      </c>
      <c r="I441" s="35"/>
      <c r="J441" s="35"/>
    </row>
    <row r="442">
      <c r="A442" s="32" t="s">
        <v>959</v>
      </c>
      <c r="B442" s="32" t="s">
        <v>212</v>
      </c>
      <c r="C442" s="36" t="s">
        <v>245</v>
      </c>
      <c r="D442" s="36" t="s">
        <v>33</v>
      </c>
      <c r="E442" s="36" t="s">
        <v>33</v>
      </c>
      <c r="F442" s="37" t="s">
        <v>102</v>
      </c>
      <c r="G442" s="34" t="s">
        <v>33</v>
      </c>
      <c r="H442" s="34" t="s">
        <v>33</v>
      </c>
      <c r="I442" s="35"/>
      <c r="J442" s="35"/>
    </row>
    <row r="443">
      <c r="A443" s="32" t="s">
        <v>960</v>
      </c>
      <c r="B443" s="32" t="s">
        <v>109</v>
      </c>
      <c r="C443" s="36" t="s">
        <v>245</v>
      </c>
      <c r="D443" s="36" t="s">
        <v>33</v>
      </c>
      <c r="E443" s="36" t="s">
        <v>369</v>
      </c>
      <c r="F443" s="37" t="s">
        <v>414</v>
      </c>
      <c r="G443" s="34" t="s">
        <v>33</v>
      </c>
      <c r="H443" s="37" t="s">
        <v>961</v>
      </c>
      <c r="I443" s="35"/>
      <c r="J443" s="35"/>
    </row>
    <row r="444">
      <c r="A444" s="32" t="s">
        <v>962</v>
      </c>
      <c r="B444" s="32" t="s">
        <v>963</v>
      </c>
      <c r="C444" s="36" t="s">
        <v>854</v>
      </c>
      <c r="D444" s="36" t="s">
        <v>223</v>
      </c>
      <c r="E444" s="36" t="s">
        <v>33</v>
      </c>
      <c r="F444" s="37" t="s">
        <v>629</v>
      </c>
      <c r="G444" s="37" t="s">
        <v>835</v>
      </c>
      <c r="H444" s="34" t="s">
        <v>33</v>
      </c>
      <c r="I444" s="35"/>
      <c r="J444" s="35"/>
    </row>
    <row r="445">
      <c r="A445" s="32" t="s">
        <v>964</v>
      </c>
      <c r="B445" s="32" t="s">
        <v>73</v>
      </c>
      <c r="C445" s="36" t="s">
        <v>854</v>
      </c>
      <c r="D445" s="36" t="s">
        <v>33</v>
      </c>
      <c r="E445" s="36" t="s">
        <v>33</v>
      </c>
      <c r="F445" s="37" t="s">
        <v>629</v>
      </c>
      <c r="G445" s="34" t="s">
        <v>33</v>
      </c>
      <c r="H445" s="34" t="s">
        <v>33</v>
      </c>
      <c r="I445" s="35"/>
      <c r="J445" s="35"/>
    </row>
    <row r="446">
      <c r="A446" s="32" t="s">
        <v>965</v>
      </c>
      <c r="B446" s="32" t="s">
        <v>109</v>
      </c>
      <c r="C446" s="36" t="s">
        <v>854</v>
      </c>
      <c r="D446" s="36" t="s">
        <v>33</v>
      </c>
      <c r="E446" s="36" t="s">
        <v>33</v>
      </c>
      <c r="F446" s="37" t="s">
        <v>951</v>
      </c>
      <c r="G446" s="34" t="s">
        <v>33</v>
      </c>
      <c r="H446" s="34" t="s">
        <v>33</v>
      </c>
      <c r="I446" s="35"/>
      <c r="J446" s="35"/>
    </row>
    <row r="447">
      <c r="A447" s="32" t="s">
        <v>966</v>
      </c>
      <c r="B447" s="32" t="s">
        <v>109</v>
      </c>
      <c r="C447" s="36" t="s">
        <v>854</v>
      </c>
      <c r="D447" s="36" t="s">
        <v>187</v>
      </c>
      <c r="E447" s="36" t="s">
        <v>371</v>
      </c>
      <c r="F447" s="37" t="s">
        <v>489</v>
      </c>
      <c r="G447" s="37" t="s">
        <v>755</v>
      </c>
      <c r="H447" s="37" t="s">
        <v>756</v>
      </c>
      <c r="I447" s="35"/>
      <c r="J447" s="35"/>
    </row>
    <row r="448">
      <c r="A448" s="32" t="s">
        <v>967</v>
      </c>
      <c r="B448" s="32" t="s">
        <v>62</v>
      </c>
      <c r="C448" s="36" t="s">
        <v>854</v>
      </c>
      <c r="D448" s="36" t="s">
        <v>107</v>
      </c>
      <c r="E448" s="36" t="s">
        <v>902</v>
      </c>
      <c r="F448" s="37" t="s">
        <v>394</v>
      </c>
      <c r="G448" s="37" t="s">
        <v>968</v>
      </c>
      <c r="H448" s="37" t="s">
        <v>969</v>
      </c>
      <c r="I448" s="35"/>
      <c r="J448" s="35"/>
    </row>
    <row r="449">
      <c r="A449" s="32" t="s">
        <v>970</v>
      </c>
      <c r="B449" s="32" t="s">
        <v>62</v>
      </c>
      <c r="C449" s="36" t="s">
        <v>854</v>
      </c>
      <c r="D449" s="36" t="s">
        <v>33</v>
      </c>
      <c r="E449" s="36" t="s">
        <v>119</v>
      </c>
      <c r="F449" s="37" t="s">
        <v>394</v>
      </c>
      <c r="G449" s="34" t="s">
        <v>33</v>
      </c>
      <c r="H449" s="37" t="s">
        <v>395</v>
      </c>
      <c r="I449" s="35"/>
      <c r="J449" s="35"/>
    </row>
    <row r="450">
      <c r="A450" s="32" t="s">
        <v>971</v>
      </c>
      <c r="B450" s="32" t="s">
        <v>62</v>
      </c>
      <c r="C450" s="36" t="s">
        <v>854</v>
      </c>
      <c r="D450" s="36" t="s">
        <v>51</v>
      </c>
      <c r="E450" s="36" t="s">
        <v>113</v>
      </c>
      <c r="F450" s="37" t="s">
        <v>523</v>
      </c>
      <c r="G450" s="37" t="s">
        <v>490</v>
      </c>
      <c r="H450" s="37" t="s">
        <v>524</v>
      </c>
      <c r="I450" s="35"/>
      <c r="J450" s="35"/>
    </row>
    <row r="451">
      <c r="A451" s="32" t="s">
        <v>972</v>
      </c>
      <c r="B451" s="32" t="s">
        <v>154</v>
      </c>
      <c r="C451" s="36" t="s">
        <v>371</v>
      </c>
      <c r="D451" s="36" t="s">
        <v>331</v>
      </c>
      <c r="E451" s="36" t="s">
        <v>385</v>
      </c>
      <c r="F451" s="37" t="s">
        <v>918</v>
      </c>
      <c r="G451" s="37" t="s">
        <v>973</v>
      </c>
      <c r="H451" s="37" t="s">
        <v>974</v>
      </c>
      <c r="I451" s="35"/>
      <c r="J451" s="35"/>
    </row>
    <row r="452">
      <c r="A452" s="32" t="s">
        <v>975</v>
      </c>
      <c r="B452" s="32" t="s">
        <v>154</v>
      </c>
      <c r="C452" s="36" t="s">
        <v>371</v>
      </c>
      <c r="D452" s="36" t="s">
        <v>902</v>
      </c>
      <c r="E452" s="36" t="s">
        <v>33</v>
      </c>
      <c r="F452" s="37" t="s">
        <v>102</v>
      </c>
      <c r="G452" s="37" t="s">
        <v>976</v>
      </c>
      <c r="H452" s="34" t="s">
        <v>33</v>
      </c>
      <c r="I452" s="35"/>
      <c r="J452" s="35"/>
    </row>
    <row r="453">
      <c r="A453" s="32" t="s">
        <v>977</v>
      </c>
      <c r="B453" s="32" t="s">
        <v>38</v>
      </c>
      <c r="C453" s="36" t="s">
        <v>371</v>
      </c>
      <c r="D453" s="36" t="s">
        <v>49</v>
      </c>
      <c r="E453" s="36" t="s">
        <v>754</v>
      </c>
      <c r="F453" s="37" t="s">
        <v>918</v>
      </c>
      <c r="G453" s="37" t="s">
        <v>919</v>
      </c>
      <c r="H453" s="37" t="s">
        <v>974</v>
      </c>
      <c r="I453" s="35"/>
      <c r="J453" s="35"/>
    </row>
    <row r="454">
      <c r="A454" s="32" t="s">
        <v>978</v>
      </c>
      <c r="B454" s="32" t="s">
        <v>45</v>
      </c>
      <c r="C454" s="36" t="s">
        <v>371</v>
      </c>
      <c r="D454" s="36" t="s">
        <v>399</v>
      </c>
      <c r="E454" s="36" t="s">
        <v>156</v>
      </c>
      <c r="F454" s="37" t="s">
        <v>843</v>
      </c>
      <c r="G454" s="37" t="s">
        <v>886</v>
      </c>
      <c r="H454" s="37" t="s">
        <v>844</v>
      </c>
      <c r="I454" s="35"/>
      <c r="J454" s="35"/>
    </row>
    <row r="455">
      <c r="A455" s="32" t="s">
        <v>979</v>
      </c>
      <c r="B455" s="32" t="s">
        <v>109</v>
      </c>
      <c r="C455" s="36" t="s">
        <v>371</v>
      </c>
      <c r="D455" s="36" t="s">
        <v>232</v>
      </c>
      <c r="E455" s="36" t="s">
        <v>146</v>
      </c>
      <c r="F455" s="37" t="s">
        <v>633</v>
      </c>
      <c r="G455" s="37" t="s">
        <v>634</v>
      </c>
      <c r="H455" s="37" t="s">
        <v>980</v>
      </c>
      <c r="I455" s="35"/>
      <c r="J455" s="35"/>
    </row>
    <row r="456">
      <c r="A456" s="32" t="s">
        <v>981</v>
      </c>
      <c r="B456" s="32" t="s">
        <v>109</v>
      </c>
      <c r="C456" s="36" t="s">
        <v>371</v>
      </c>
      <c r="D456" s="36" t="s">
        <v>178</v>
      </c>
      <c r="E456" s="36" t="s">
        <v>680</v>
      </c>
      <c r="F456" s="37" t="s">
        <v>806</v>
      </c>
      <c r="G456" s="37" t="s">
        <v>807</v>
      </c>
      <c r="H456" s="37" t="s">
        <v>808</v>
      </c>
      <c r="I456" s="35"/>
      <c r="J456" s="35"/>
    </row>
    <row r="457">
      <c r="A457" s="32" t="s">
        <v>982</v>
      </c>
      <c r="B457" s="32" t="s">
        <v>109</v>
      </c>
      <c r="C457" s="36" t="s">
        <v>371</v>
      </c>
      <c r="D457" s="36" t="s">
        <v>33</v>
      </c>
      <c r="E457" s="36" t="s">
        <v>33</v>
      </c>
      <c r="F457" s="37" t="s">
        <v>88</v>
      </c>
      <c r="G457" s="34" t="s">
        <v>33</v>
      </c>
      <c r="H457" s="34" t="s">
        <v>33</v>
      </c>
      <c r="I457" s="35"/>
      <c r="J457" s="35"/>
    </row>
    <row r="458">
      <c r="A458" s="32" t="s">
        <v>983</v>
      </c>
      <c r="B458" s="32" t="s">
        <v>62</v>
      </c>
      <c r="C458" s="36" t="s">
        <v>371</v>
      </c>
      <c r="D458" s="36" t="s">
        <v>645</v>
      </c>
      <c r="E458" s="36" t="s">
        <v>33</v>
      </c>
      <c r="F458" s="37" t="s">
        <v>102</v>
      </c>
      <c r="G458" s="37" t="s">
        <v>976</v>
      </c>
      <c r="H458" s="34" t="s">
        <v>33</v>
      </c>
      <c r="I458" s="35"/>
      <c r="J458" s="35"/>
    </row>
    <row r="459">
      <c r="A459" s="32" t="s">
        <v>984</v>
      </c>
      <c r="B459" s="32" t="s">
        <v>210</v>
      </c>
      <c r="C459" s="36" t="s">
        <v>156</v>
      </c>
      <c r="D459" s="36" t="s">
        <v>66</v>
      </c>
      <c r="E459" s="36" t="s">
        <v>122</v>
      </c>
      <c r="F459" s="37" t="s">
        <v>985</v>
      </c>
      <c r="G459" s="37" t="s">
        <v>634</v>
      </c>
      <c r="H459" s="37" t="s">
        <v>635</v>
      </c>
      <c r="I459" s="35"/>
      <c r="J459" s="35"/>
    </row>
    <row r="460">
      <c r="A460" s="32" t="s">
        <v>986</v>
      </c>
      <c r="B460" s="32" t="s">
        <v>24</v>
      </c>
      <c r="C460" s="36" t="s">
        <v>156</v>
      </c>
      <c r="D460" s="36" t="s">
        <v>58</v>
      </c>
      <c r="E460" s="36" t="s">
        <v>127</v>
      </c>
      <c r="F460" s="37" t="s">
        <v>633</v>
      </c>
      <c r="G460" s="37" t="s">
        <v>634</v>
      </c>
      <c r="H460" s="37" t="s">
        <v>635</v>
      </c>
      <c r="I460" s="35"/>
      <c r="J460" s="35"/>
    </row>
    <row r="461">
      <c r="A461" s="32" t="s">
        <v>987</v>
      </c>
      <c r="B461" s="32" t="s">
        <v>32</v>
      </c>
      <c r="C461" s="36" t="s">
        <v>156</v>
      </c>
      <c r="D461" s="36" t="s">
        <v>81</v>
      </c>
      <c r="E461" s="36" t="s">
        <v>33</v>
      </c>
      <c r="F461" s="37" t="s">
        <v>629</v>
      </c>
      <c r="G461" s="37" t="s">
        <v>481</v>
      </c>
      <c r="H461" s="34" t="s">
        <v>33</v>
      </c>
      <c r="I461" s="35"/>
      <c r="J461" s="35"/>
    </row>
    <row r="462">
      <c r="A462" s="32" t="s">
        <v>988</v>
      </c>
      <c r="B462" s="32" t="s">
        <v>38</v>
      </c>
      <c r="C462" s="36" t="s">
        <v>156</v>
      </c>
      <c r="D462" s="36" t="s">
        <v>33</v>
      </c>
      <c r="E462" s="36" t="s">
        <v>127</v>
      </c>
      <c r="F462" s="37" t="s">
        <v>336</v>
      </c>
      <c r="G462" s="34" t="s">
        <v>33</v>
      </c>
      <c r="H462" s="37" t="s">
        <v>303</v>
      </c>
      <c r="I462" s="35"/>
      <c r="J462" s="35"/>
    </row>
    <row r="463">
      <c r="A463" s="32" t="s">
        <v>989</v>
      </c>
      <c r="B463" s="32" t="s">
        <v>45</v>
      </c>
      <c r="C463" s="36" t="s">
        <v>156</v>
      </c>
      <c r="D463" s="36" t="s">
        <v>511</v>
      </c>
      <c r="E463" s="36" t="s">
        <v>63</v>
      </c>
      <c r="F463" s="37" t="s">
        <v>414</v>
      </c>
      <c r="G463" s="37" t="s">
        <v>990</v>
      </c>
      <c r="H463" s="37" t="s">
        <v>961</v>
      </c>
      <c r="I463" s="35"/>
      <c r="J463" s="35"/>
    </row>
    <row r="464">
      <c r="A464" s="32" t="s">
        <v>991</v>
      </c>
      <c r="B464" s="32" t="s">
        <v>45</v>
      </c>
      <c r="C464" s="36" t="s">
        <v>156</v>
      </c>
      <c r="D464" s="36" t="s">
        <v>81</v>
      </c>
      <c r="E464" s="36" t="s">
        <v>226</v>
      </c>
      <c r="F464" s="37" t="s">
        <v>394</v>
      </c>
      <c r="G464" s="37" t="s">
        <v>915</v>
      </c>
      <c r="H464" s="37" t="s">
        <v>395</v>
      </c>
      <c r="I464" s="35"/>
      <c r="J464" s="35"/>
    </row>
    <row r="465">
      <c r="A465" s="32" t="s">
        <v>992</v>
      </c>
      <c r="B465" s="32" t="s">
        <v>57</v>
      </c>
      <c r="C465" s="36" t="s">
        <v>156</v>
      </c>
      <c r="D465" s="36" t="s">
        <v>33</v>
      </c>
      <c r="E465" s="36" t="s">
        <v>476</v>
      </c>
      <c r="F465" s="37" t="s">
        <v>88</v>
      </c>
      <c r="G465" s="34" t="s">
        <v>33</v>
      </c>
      <c r="H465" s="37" t="s">
        <v>993</v>
      </c>
      <c r="I465" s="35"/>
      <c r="J465" s="35"/>
    </row>
    <row r="466">
      <c r="A466" s="32" t="s">
        <v>994</v>
      </c>
      <c r="B466" s="32" t="s">
        <v>57</v>
      </c>
      <c r="C466" s="36" t="s">
        <v>156</v>
      </c>
      <c r="D466" s="36" t="s">
        <v>466</v>
      </c>
      <c r="E466" s="36" t="s">
        <v>528</v>
      </c>
      <c r="F466" s="37" t="s">
        <v>88</v>
      </c>
      <c r="G466" s="37" t="s">
        <v>995</v>
      </c>
      <c r="H466" s="37" t="s">
        <v>359</v>
      </c>
      <c r="I466" s="35"/>
      <c r="J466" s="35"/>
    </row>
    <row r="467">
      <c r="A467" s="32" t="s">
        <v>996</v>
      </c>
      <c r="B467" s="32" t="s">
        <v>109</v>
      </c>
      <c r="C467" s="36" t="s">
        <v>156</v>
      </c>
      <c r="D467" s="36" t="s">
        <v>255</v>
      </c>
      <c r="E467" s="36" t="s">
        <v>157</v>
      </c>
      <c r="F467" s="37" t="s">
        <v>501</v>
      </c>
      <c r="G467" s="37" t="s">
        <v>614</v>
      </c>
      <c r="H467" s="37" t="s">
        <v>359</v>
      </c>
      <c r="I467" s="35"/>
      <c r="J467" s="35"/>
    </row>
    <row r="468">
      <c r="A468" s="32" t="s">
        <v>997</v>
      </c>
      <c r="B468" s="32" t="s">
        <v>62</v>
      </c>
      <c r="C468" s="36" t="s">
        <v>156</v>
      </c>
      <c r="D468" s="36" t="s">
        <v>283</v>
      </c>
      <c r="E468" s="36" t="s">
        <v>33</v>
      </c>
      <c r="F468" s="37" t="s">
        <v>998</v>
      </c>
      <c r="G468" s="37" t="s">
        <v>999</v>
      </c>
      <c r="H468" s="34" t="s">
        <v>33</v>
      </c>
      <c r="I468" s="35"/>
      <c r="J468" s="35"/>
    </row>
    <row r="469">
      <c r="A469" s="32" t="s">
        <v>1000</v>
      </c>
      <c r="B469" s="32" t="s">
        <v>62</v>
      </c>
      <c r="C469" s="36" t="s">
        <v>156</v>
      </c>
      <c r="D469" s="36" t="s">
        <v>33</v>
      </c>
      <c r="E469" s="36" t="s">
        <v>33</v>
      </c>
      <c r="F469" s="37" t="s">
        <v>1001</v>
      </c>
      <c r="G469" s="34" t="s">
        <v>33</v>
      </c>
      <c r="H469" s="34" t="s">
        <v>33</v>
      </c>
      <c r="I469" s="35"/>
      <c r="J469" s="35"/>
    </row>
    <row r="470">
      <c r="A470" s="32" t="s">
        <v>1002</v>
      </c>
      <c r="B470" s="32" t="s">
        <v>62</v>
      </c>
      <c r="C470" s="36" t="s">
        <v>156</v>
      </c>
      <c r="D470" s="36" t="s">
        <v>33</v>
      </c>
      <c r="E470" s="36" t="s">
        <v>67</v>
      </c>
      <c r="F470" s="37" t="s">
        <v>54</v>
      </c>
      <c r="G470" s="34" t="s">
        <v>33</v>
      </c>
      <c r="H470" s="37" t="s">
        <v>642</v>
      </c>
      <c r="I470" s="35"/>
      <c r="J470" s="35"/>
    </row>
    <row r="471">
      <c r="A471" s="32" t="s">
        <v>1003</v>
      </c>
      <c r="B471" s="32" t="s">
        <v>151</v>
      </c>
      <c r="C471" s="36" t="s">
        <v>515</v>
      </c>
      <c r="D471" s="36" t="s">
        <v>33</v>
      </c>
      <c r="E471" s="36" t="s">
        <v>33</v>
      </c>
      <c r="F471" s="37" t="s">
        <v>1004</v>
      </c>
      <c r="G471" s="34" t="s">
        <v>33</v>
      </c>
      <c r="H471" s="34" t="s">
        <v>33</v>
      </c>
      <c r="I471" s="35"/>
      <c r="J471" s="35"/>
    </row>
    <row r="472">
      <c r="A472" s="32" t="s">
        <v>1005</v>
      </c>
      <c r="B472" s="32" t="s">
        <v>154</v>
      </c>
      <c r="C472" s="36" t="s">
        <v>515</v>
      </c>
      <c r="D472" s="36" t="s">
        <v>331</v>
      </c>
      <c r="E472" s="36" t="s">
        <v>33</v>
      </c>
      <c r="F472" s="37" t="s">
        <v>830</v>
      </c>
      <c r="G472" s="37" t="s">
        <v>831</v>
      </c>
      <c r="H472" s="34" t="s">
        <v>33</v>
      </c>
      <c r="I472" s="35"/>
      <c r="J472" s="35"/>
    </row>
    <row r="473">
      <c r="A473" s="32" t="s">
        <v>1006</v>
      </c>
      <c r="B473" s="32" t="s">
        <v>45</v>
      </c>
      <c r="C473" s="36" t="s">
        <v>515</v>
      </c>
      <c r="D473" s="36" t="s">
        <v>33</v>
      </c>
      <c r="E473" s="36" t="s">
        <v>389</v>
      </c>
      <c r="F473" s="37" t="s">
        <v>1007</v>
      </c>
      <c r="G473" s="34" t="s">
        <v>33</v>
      </c>
      <c r="H473" s="37" t="s">
        <v>1008</v>
      </c>
      <c r="I473" s="35"/>
      <c r="J473" s="35"/>
    </row>
    <row r="474">
      <c r="A474" s="32" t="s">
        <v>1009</v>
      </c>
      <c r="B474" s="32" t="s">
        <v>57</v>
      </c>
      <c r="C474" s="36" t="s">
        <v>515</v>
      </c>
      <c r="D474" s="36" t="s">
        <v>33</v>
      </c>
      <c r="E474" s="36" t="s">
        <v>645</v>
      </c>
      <c r="F474" s="37" t="s">
        <v>1010</v>
      </c>
      <c r="G474" s="34" t="s">
        <v>33</v>
      </c>
      <c r="H474" s="37" t="s">
        <v>1011</v>
      </c>
      <c r="I474" s="35"/>
      <c r="J474" s="35"/>
    </row>
    <row r="475">
      <c r="A475" s="32" t="s">
        <v>1012</v>
      </c>
      <c r="B475" s="32" t="s">
        <v>109</v>
      </c>
      <c r="C475" s="36" t="s">
        <v>515</v>
      </c>
      <c r="D475" s="36" t="s">
        <v>33</v>
      </c>
      <c r="E475" s="36" t="s">
        <v>33</v>
      </c>
      <c r="F475" s="37" t="s">
        <v>817</v>
      </c>
      <c r="G475" s="34" t="s">
        <v>33</v>
      </c>
      <c r="H475" s="34" t="s">
        <v>33</v>
      </c>
      <c r="I475" s="35"/>
      <c r="J475" s="35"/>
    </row>
    <row r="476">
      <c r="A476" s="32" t="s">
        <v>1013</v>
      </c>
      <c r="B476" s="32" t="s">
        <v>62</v>
      </c>
      <c r="C476" s="36" t="s">
        <v>515</v>
      </c>
      <c r="D476" s="36" t="s">
        <v>33</v>
      </c>
      <c r="E476" s="36" t="s">
        <v>680</v>
      </c>
      <c r="F476" s="37" t="s">
        <v>1014</v>
      </c>
      <c r="G476" s="34" t="s">
        <v>33</v>
      </c>
      <c r="H476" s="37" t="s">
        <v>1015</v>
      </c>
      <c r="I476" s="35"/>
      <c r="J476" s="35"/>
    </row>
    <row r="477">
      <c r="A477" s="32" t="s">
        <v>1016</v>
      </c>
      <c r="B477" s="32" t="s">
        <v>486</v>
      </c>
      <c r="C477" s="36" t="s">
        <v>680</v>
      </c>
      <c r="D477" s="36" t="s">
        <v>33</v>
      </c>
      <c r="E477" s="36" t="s">
        <v>53</v>
      </c>
      <c r="F477" s="37" t="s">
        <v>375</v>
      </c>
      <c r="G477" s="34" t="s">
        <v>33</v>
      </c>
      <c r="H477" s="37" t="s">
        <v>852</v>
      </c>
      <c r="I477" s="35"/>
      <c r="J477" s="35"/>
    </row>
    <row r="478">
      <c r="A478" s="32" t="s">
        <v>1017</v>
      </c>
      <c r="B478" s="32" t="s">
        <v>212</v>
      </c>
      <c r="C478" s="36" t="s">
        <v>680</v>
      </c>
      <c r="D478" s="36" t="s">
        <v>223</v>
      </c>
      <c r="E478" s="36" t="s">
        <v>33</v>
      </c>
      <c r="F478" s="37" t="s">
        <v>134</v>
      </c>
      <c r="G478" s="37" t="s">
        <v>135</v>
      </c>
      <c r="H478" s="34" t="s">
        <v>33</v>
      </c>
      <c r="I478" s="35"/>
      <c r="J478" s="35"/>
    </row>
    <row r="479">
      <c r="A479" s="32" t="s">
        <v>1018</v>
      </c>
      <c r="B479" s="32" t="s">
        <v>212</v>
      </c>
      <c r="C479" s="36" t="s">
        <v>680</v>
      </c>
      <c r="D479" s="36" t="s">
        <v>201</v>
      </c>
      <c r="E479" s="36" t="s">
        <v>156</v>
      </c>
      <c r="F479" s="37" t="s">
        <v>1019</v>
      </c>
      <c r="G479" s="37" t="s">
        <v>1020</v>
      </c>
      <c r="H479" s="37" t="s">
        <v>974</v>
      </c>
      <c r="I479" s="35"/>
      <c r="J479" s="35"/>
    </row>
    <row r="480">
      <c r="A480" s="32" t="s">
        <v>1021</v>
      </c>
      <c r="B480" s="32" t="s">
        <v>38</v>
      </c>
      <c r="C480" s="36" t="s">
        <v>680</v>
      </c>
      <c r="D480" s="36" t="s">
        <v>33</v>
      </c>
      <c r="E480" s="36" t="s">
        <v>33</v>
      </c>
      <c r="F480" s="37" t="s">
        <v>166</v>
      </c>
      <c r="G480" s="34" t="s">
        <v>33</v>
      </c>
      <c r="H480" s="34" t="s">
        <v>33</v>
      </c>
      <c r="I480" s="35"/>
      <c r="J480" s="35"/>
    </row>
    <row r="481">
      <c r="A481" s="32" t="s">
        <v>1022</v>
      </c>
      <c r="B481" s="32" t="s">
        <v>62</v>
      </c>
      <c r="C481" s="36" t="s">
        <v>680</v>
      </c>
      <c r="D481" s="36" t="s">
        <v>33</v>
      </c>
      <c r="E481" s="36" t="s">
        <v>33</v>
      </c>
      <c r="F481" s="37" t="s">
        <v>906</v>
      </c>
      <c r="G481" s="34" t="s">
        <v>33</v>
      </c>
      <c r="H481" s="34" t="s">
        <v>33</v>
      </c>
      <c r="I481" s="35"/>
      <c r="J481" s="35"/>
    </row>
    <row r="482">
      <c r="A482" s="32" t="s">
        <v>1023</v>
      </c>
      <c r="B482" s="32" t="s">
        <v>62</v>
      </c>
      <c r="C482" s="36" t="s">
        <v>680</v>
      </c>
      <c r="D482" s="36" t="s">
        <v>33</v>
      </c>
      <c r="E482" s="36" t="s">
        <v>466</v>
      </c>
      <c r="F482" s="37" t="s">
        <v>1024</v>
      </c>
      <c r="G482" s="34" t="s">
        <v>33</v>
      </c>
      <c r="H482" s="37" t="s">
        <v>1025</v>
      </c>
      <c r="I482" s="35"/>
      <c r="J482" s="35"/>
    </row>
    <row r="483">
      <c r="A483" s="32" t="s">
        <v>1026</v>
      </c>
      <c r="B483" s="32" t="s">
        <v>62</v>
      </c>
      <c r="C483" s="36" t="s">
        <v>680</v>
      </c>
      <c r="D483" s="36" t="s">
        <v>33</v>
      </c>
      <c r="E483" s="36" t="s">
        <v>33</v>
      </c>
      <c r="F483" s="37" t="s">
        <v>1027</v>
      </c>
      <c r="G483" s="34" t="s">
        <v>33</v>
      </c>
      <c r="H483" s="34" t="s">
        <v>33</v>
      </c>
      <c r="I483" s="35"/>
      <c r="J483" s="35"/>
    </row>
    <row r="484">
      <c r="A484" s="32" t="s">
        <v>1028</v>
      </c>
      <c r="B484" s="32" t="s">
        <v>62</v>
      </c>
      <c r="C484" s="36" t="s">
        <v>680</v>
      </c>
      <c r="D484" s="36" t="s">
        <v>33</v>
      </c>
      <c r="E484" s="36" t="s">
        <v>450</v>
      </c>
      <c r="F484" s="37" t="s">
        <v>414</v>
      </c>
      <c r="G484" s="34" t="s">
        <v>33</v>
      </c>
      <c r="H484" s="37" t="s">
        <v>961</v>
      </c>
      <c r="I484" s="35"/>
      <c r="J484" s="35"/>
    </row>
    <row r="485">
      <c r="A485" s="32" t="s">
        <v>1029</v>
      </c>
      <c r="B485" s="32" t="s">
        <v>486</v>
      </c>
      <c r="C485" s="36" t="s">
        <v>101</v>
      </c>
      <c r="D485" s="36" t="s">
        <v>157</v>
      </c>
      <c r="E485" s="36" t="s">
        <v>680</v>
      </c>
      <c r="F485" s="37" t="s">
        <v>489</v>
      </c>
      <c r="G485" s="37" t="s">
        <v>490</v>
      </c>
      <c r="H485" s="37" t="s">
        <v>777</v>
      </c>
      <c r="I485" s="35"/>
      <c r="J485" s="35"/>
    </row>
    <row r="486">
      <c r="A486" s="32" t="s">
        <v>1030</v>
      </c>
      <c r="B486" s="32" t="s">
        <v>212</v>
      </c>
      <c r="C486" s="36" t="s">
        <v>101</v>
      </c>
      <c r="D486" s="36" t="s">
        <v>119</v>
      </c>
      <c r="E486" s="36" t="s">
        <v>870</v>
      </c>
      <c r="F486" s="37" t="s">
        <v>843</v>
      </c>
      <c r="G486" s="37" t="s">
        <v>886</v>
      </c>
      <c r="H486" s="37" t="s">
        <v>1031</v>
      </c>
      <c r="I486" s="35"/>
      <c r="J486" s="35"/>
    </row>
    <row r="487">
      <c r="A487" s="32" t="s">
        <v>1032</v>
      </c>
      <c r="B487" s="32" t="s">
        <v>212</v>
      </c>
      <c r="C487" s="36" t="s">
        <v>101</v>
      </c>
      <c r="D487" s="36" t="s">
        <v>33</v>
      </c>
      <c r="E487" s="36" t="s">
        <v>33</v>
      </c>
      <c r="F487" s="37" t="s">
        <v>713</v>
      </c>
      <c r="G487" s="34" t="s">
        <v>33</v>
      </c>
      <c r="H487" s="34" t="s">
        <v>33</v>
      </c>
      <c r="I487" s="35"/>
      <c r="J487" s="35"/>
    </row>
    <row r="488">
      <c r="A488" s="32" t="s">
        <v>1033</v>
      </c>
      <c r="B488" s="32" t="s">
        <v>24</v>
      </c>
      <c r="C488" s="36" t="s">
        <v>101</v>
      </c>
      <c r="D488" s="36" t="s">
        <v>33</v>
      </c>
      <c r="E488" s="36" t="s">
        <v>122</v>
      </c>
      <c r="F488" s="37" t="s">
        <v>1034</v>
      </c>
      <c r="G488" s="34" t="s">
        <v>33</v>
      </c>
      <c r="H488" s="37" t="s">
        <v>1035</v>
      </c>
      <c r="I488" s="35"/>
      <c r="J488" s="35"/>
    </row>
    <row r="489">
      <c r="A489" s="32" t="s">
        <v>1036</v>
      </c>
      <c r="B489" s="32" t="s">
        <v>45</v>
      </c>
      <c r="C489" s="36" t="s">
        <v>101</v>
      </c>
      <c r="D489" s="36" t="s">
        <v>266</v>
      </c>
      <c r="E489" s="36" t="s">
        <v>33</v>
      </c>
      <c r="F489" s="37" t="s">
        <v>1037</v>
      </c>
      <c r="G489" s="37" t="s">
        <v>1038</v>
      </c>
      <c r="H489" s="34" t="s">
        <v>33</v>
      </c>
      <c r="I489" s="35"/>
      <c r="J489" s="35"/>
    </row>
    <row r="490">
      <c r="A490" s="32" t="s">
        <v>1039</v>
      </c>
      <c r="B490" s="32" t="s">
        <v>57</v>
      </c>
      <c r="C490" s="36" t="s">
        <v>101</v>
      </c>
      <c r="D490" s="36" t="s">
        <v>1040</v>
      </c>
      <c r="E490" s="36" t="s">
        <v>33</v>
      </c>
      <c r="F490" s="37" t="s">
        <v>1037</v>
      </c>
      <c r="G490" s="37" t="s">
        <v>1041</v>
      </c>
      <c r="H490" s="34" t="s">
        <v>33</v>
      </c>
      <c r="I490" s="35"/>
      <c r="J490" s="35"/>
    </row>
    <row r="491">
      <c r="A491" s="32" t="s">
        <v>1042</v>
      </c>
      <c r="B491" s="32" t="s">
        <v>109</v>
      </c>
      <c r="C491" s="36" t="s">
        <v>101</v>
      </c>
      <c r="D491" s="36" t="s">
        <v>33</v>
      </c>
      <c r="E491" s="36" t="s">
        <v>33</v>
      </c>
      <c r="F491" s="37" t="s">
        <v>1043</v>
      </c>
      <c r="G491" s="34" t="s">
        <v>33</v>
      </c>
      <c r="H491" s="34" t="s">
        <v>33</v>
      </c>
      <c r="I491" s="35"/>
      <c r="J491" s="35"/>
    </row>
    <row r="492">
      <c r="A492" s="32" t="s">
        <v>1044</v>
      </c>
      <c r="B492" s="32" t="s">
        <v>62</v>
      </c>
      <c r="C492" s="36" t="s">
        <v>101</v>
      </c>
      <c r="D492" s="36" t="s">
        <v>33</v>
      </c>
      <c r="E492" s="36" t="s">
        <v>33</v>
      </c>
      <c r="F492" s="37" t="s">
        <v>1045</v>
      </c>
      <c r="G492" s="34" t="s">
        <v>33</v>
      </c>
      <c r="H492" s="34" t="s">
        <v>33</v>
      </c>
      <c r="I492" s="35"/>
      <c r="J492" s="35"/>
    </row>
    <row r="493">
      <c r="A493" s="32" t="s">
        <v>1046</v>
      </c>
      <c r="B493" s="32" t="s">
        <v>1047</v>
      </c>
      <c r="C493" s="36" t="s">
        <v>450</v>
      </c>
      <c r="D493" s="36" t="s">
        <v>288</v>
      </c>
      <c r="E493" s="36" t="s">
        <v>33</v>
      </c>
      <c r="F493" s="37" t="s">
        <v>888</v>
      </c>
      <c r="G493" s="37" t="s">
        <v>1048</v>
      </c>
      <c r="H493" s="34" t="s">
        <v>33</v>
      </c>
      <c r="I493" s="35"/>
      <c r="J493" s="35"/>
    </row>
    <row r="494">
      <c r="A494" s="32" t="s">
        <v>1049</v>
      </c>
      <c r="B494" s="32" t="s">
        <v>151</v>
      </c>
      <c r="C494" s="36" t="s">
        <v>450</v>
      </c>
      <c r="D494" s="36" t="s">
        <v>178</v>
      </c>
      <c r="E494" s="36" t="s">
        <v>26</v>
      </c>
      <c r="F494" s="37" t="s">
        <v>1050</v>
      </c>
      <c r="G494" s="37" t="s">
        <v>1051</v>
      </c>
      <c r="H494" s="37" t="s">
        <v>560</v>
      </c>
      <c r="I494" s="35"/>
      <c r="J494" s="35"/>
    </row>
    <row r="495">
      <c r="A495" s="32" t="s">
        <v>1052</v>
      </c>
      <c r="B495" s="32" t="s">
        <v>24</v>
      </c>
      <c r="C495" s="36" t="s">
        <v>450</v>
      </c>
      <c r="D495" s="36" t="s">
        <v>33</v>
      </c>
      <c r="E495" s="36" t="s">
        <v>33</v>
      </c>
      <c r="F495" s="37" t="s">
        <v>227</v>
      </c>
      <c r="G495" s="34" t="s">
        <v>33</v>
      </c>
      <c r="H495" s="34" t="s">
        <v>33</v>
      </c>
      <c r="I495" s="35"/>
      <c r="J495" s="35"/>
    </row>
    <row r="496">
      <c r="A496" s="32" t="s">
        <v>1053</v>
      </c>
      <c r="B496" s="32" t="s">
        <v>154</v>
      </c>
      <c r="C496" s="36" t="s">
        <v>450</v>
      </c>
      <c r="D496" s="36" t="s">
        <v>385</v>
      </c>
      <c r="E496" s="36" t="s">
        <v>754</v>
      </c>
      <c r="F496" s="37" t="s">
        <v>102</v>
      </c>
      <c r="G496" s="37" t="s">
        <v>1054</v>
      </c>
      <c r="H496" s="37" t="s">
        <v>103</v>
      </c>
      <c r="I496" s="35"/>
      <c r="J496" s="35"/>
    </row>
    <row r="497">
      <c r="A497" s="32" t="s">
        <v>1055</v>
      </c>
      <c r="B497" s="32" t="s">
        <v>73</v>
      </c>
      <c r="C497" s="36" t="s">
        <v>450</v>
      </c>
      <c r="D497" s="36" t="s">
        <v>33</v>
      </c>
      <c r="E497" s="36" t="s">
        <v>187</v>
      </c>
      <c r="F497" s="37" t="s">
        <v>102</v>
      </c>
      <c r="G497" s="34" t="s">
        <v>33</v>
      </c>
      <c r="H497" s="37" t="s">
        <v>455</v>
      </c>
      <c r="I497" s="35"/>
      <c r="J497" s="35"/>
    </row>
    <row r="498">
      <c r="A498" s="32" t="s">
        <v>1056</v>
      </c>
      <c r="B498" s="32" t="s">
        <v>57</v>
      </c>
      <c r="C498" s="36" t="s">
        <v>450</v>
      </c>
      <c r="D498" s="36" t="s">
        <v>33</v>
      </c>
      <c r="E498" s="36" t="s">
        <v>91</v>
      </c>
      <c r="F498" s="37" t="s">
        <v>633</v>
      </c>
      <c r="G498" s="34" t="s">
        <v>33</v>
      </c>
      <c r="H498" s="37" t="s">
        <v>635</v>
      </c>
      <c r="I498" s="35"/>
      <c r="J498" s="35"/>
    </row>
    <row r="499">
      <c r="A499" s="32" t="s">
        <v>1057</v>
      </c>
      <c r="B499" s="32" t="s">
        <v>62</v>
      </c>
      <c r="C499" s="36" t="s">
        <v>450</v>
      </c>
      <c r="D499" s="36" t="s">
        <v>51</v>
      </c>
      <c r="E499" s="36" t="s">
        <v>33</v>
      </c>
      <c r="F499" s="37" t="s">
        <v>28</v>
      </c>
      <c r="G499" s="37" t="s">
        <v>551</v>
      </c>
      <c r="H499" s="34" t="s">
        <v>33</v>
      </c>
      <c r="I499" s="35"/>
      <c r="J499" s="35"/>
    </row>
    <row r="500">
      <c r="A500" s="32" t="s">
        <v>1058</v>
      </c>
      <c r="B500" s="32" t="s">
        <v>38</v>
      </c>
      <c r="C500" s="36" t="s">
        <v>81</v>
      </c>
      <c r="D500" s="36" t="s">
        <v>33</v>
      </c>
      <c r="E500" s="36" t="s">
        <v>107</v>
      </c>
      <c r="F500" s="37" t="s">
        <v>1059</v>
      </c>
      <c r="G500" s="34" t="s">
        <v>33</v>
      </c>
      <c r="H500" s="37" t="s">
        <v>1060</v>
      </c>
      <c r="I500" s="35"/>
      <c r="J500" s="35"/>
    </row>
    <row r="501">
      <c r="A501" s="32" t="s">
        <v>1061</v>
      </c>
      <c r="B501" s="32" t="s">
        <v>57</v>
      </c>
      <c r="C501" s="36" t="s">
        <v>81</v>
      </c>
      <c r="D501" s="36" t="s">
        <v>87</v>
      </c>
      <c r="E501" s="36" t="s">
        <v>33</v>
      </c>
      <c r="F501" s="37" t="s">
        <v>554</v>
      </c>
      <c r="G501" s="37" t="s">
        <v>1062</v>
      </c>
      <c r="H501" s="34" t="s">
        <v>33</v>
      </c>
      <c r="I501" s="35"/>
      <c r="J501" s="35"/>
    </row>
    <row r="502">
      <c r="A502" s="32" t="s">
        <v>1063</v>
      </c>
      <c r="B502" s="32" t="s">
        <v>109</v>
      </c>
      <c r="C502" s="36" t="s">
        <v>81</v>
      </c>
      <c r="D502" s="36" t="s">
        <v>41</v>
      </c>
      <c r="E502" s="36" t="s">
        <v>49</v>
      </c>
      <c r="F502" s="37" t="s">
        <v>207</v>
      </c>
      <c r="G502" s="37" t="s">
        <v>1064</v>
      </c>
      <c r="H502" s="37" t="s">
        <v>570</v>
      </c>
      <c r="I502" s="35"/>
      <c r="J502" s="35"/>
    </row>
    <row r="503">
      <c r="A503" s="32" t="s">
        <v>1065</v>
      </c>
      <c r="B503" s="32" t="s">
        <v>109</v>
      </c>
      <c r="C503" s="36" t="s">
        <v>81</v>
      </c>
      <c r="D503" s="36" t="s">
        <v>49</v>
      </c>
      <c r="E503" s="36" t="s">
        <v>26</v>
      </c>
      <c r="F503" s="37" t="s">
        <v>489</v>
      </c>
      <c r="G503" s="37" t="s">
        <v>755</v>
      </c>
      <c r="H503" s="37" t="s">
        <v>524</v>
      </c>
      <c r="I503" s="35"/>
      <c r="J503" s="35"/>
    </row>
    <row r="504">
      <c r="A504" s="32" t="s">
        <v>1066</v>
      </c>
      <c r="B504" s="32" t="s">
        <v>109</v>
      </c>
      <c r="C504" s="36" t="s">
        <v>81</v>
      </c>
      <c r="D504" s="36" t="s">
        <v>33</v>
      </c>
      <c r="E504" s="36" t="s">
        <v>152</v>
      </c>
      <c r="F504" s="37" t="s">
        <v>375</v>
      </c>
      <c r="G504" s="34" t="s">
        <v>33</v>
      </c>
      <c r="H504" s="37" t="s">
        <v>474</v>
      </c>
      <c r="I504" s="35"/>
      <c r="J504" s="35"/>
    </row>
    <row r="505">
      <c r="A505" s="32" t="s">
        <v>1067</v>
      </c>
      <c r="B505" s="32" t="s">
        <v>24</v>
      </c>
      <c r="C505" s="36" t="s">
        <v>1068</v>
      </c>
      <c r="D505" s="36" t="s">
        <v>528</v>
      </c>
      <c r="E505" s="36" t="s">
        <v>173</v>
      </c>
      <c r="F505" s="37" t="s">
        <v>328</v>
      </c>
      <c r="G505" s="37" t="s">
        <v>1069</v>
      </c>
      <c r="H505" s="37" t="s">
        <v>367</v>
      </c>
      <c r="I505" s="35"/>
      <c r="J505" s="35"/>
    </row>
    <row r="506">
      <c r="A506" s="32" t="s">
        <v>1070</v>
      </c>
      <c r="B506" s="32" t="s">
        <v>57</v>
      </c>
      <c r="C506" s="36" t="s">
        <v>1068</v>
      </c>
      <c r="D506" s="36" t="s">
        <v>288</v>
      </c>
      <c r="E506" s="36" t="s">
        <v>245</v>
      </c>
      <c r="F506" s="37" t="s">
        <v>1071</v>
      </c>
      <c r="G506" s="37" t="s">
        <v>1072</v>
      </c>
      <c r="H506" s="37" t="s">
        <v>1073</v>
      </c>
      <c r="I506" s="35"/>
      <c r="J506" s="35"/>
    </row>
    <row r="507">
      <c r="A507" s="32" t="s">
        <v>1074</v>
      </c>
      <c r="B507" s="32" t="s">
        <v>109</v>
      </c>
      <c r="C507" s="36" t="s">
        <v>1068</v>
      </c>
      <c r="D507" s="36" t="s">
        <v>67</v>
      </c>
      <c r="E507" s="36" t="s">
        <v>105</v>
      </c>
      <c r="F507" s="37" t="s">
        <v>1075</v>
      </c>
      <c r="G507" s="37" t="s">
        <v>454</v>
      </c>
      <c r="H507" s="37" t="s">
        <v>455</v>
      </c>
      <c r="I507" s="35"/>
      <c r="J507" s="35"/>
    </row>
    <row r="508">
      <c r="A508" s="32" t="s">
        <v>1076</v>
      </c>
      <c r="B508" s="32" t="s">
        <v>65</v>
      </c>
      <c r="C508" s="36" t="s">
        <v>27</v>
      </c>
      <c r="D508" s="36" t="s">
        <v>66</v>
      </c>
      <c r="E508" s="36" t="s">
        <v>128</v>
      </c>
      <c r="F508" s="37" t="s">
        <v>633</v>
      </c>
      <c r="G508" s="37" t="s">
        <v>634</v>
      </c>
      <c r="H508" s="37" t="s">
        <v>635</v>
      </c>
      <c r="I508" s="35"/>
      <c r="J508" s="35"/>
    </row>
    <row r="509">
      <c r="A509" s="32" t="s">
        <v>1077</v>
      </c>
      <c r="B509" s="32" t="s">
        <v>151</v>
      </c>
      <c r="C509" s="36" t="s">
        <v>27</v>
      </c>
      <c r="D509" s="36" t="s">
        <v>232</v>
      </c>
      <c r="E509" s="36" t="s">
        <v>33</v>
      </c>
      <c r="F509" s="37" t="s">
        <v>843</v>
      </c>
      <c r="G509" s="37" t="s">
        <v>886</v>
      </c>
      <c r="H509" s="34" t="s">
        <v>33</v>
      </c>
      <c r="I509" s="35"/>
      <c r="J509" s="35"/>
    </row>
    <row r="510">
      <c r="A510" s="32" t="s">
        <v>1078</v>
      </c>
      <c r="B510" s="32" t="s">
        <v>32</v>
      </c>
      <c r="C510" s="36" t="s">
        <v>27</v>
      </c>
      <c r="D510" s="36" t="s">
        <v>33</v>
      </c>
      <c r="E510" s="36" t="s">
        <v>511</v>
      </c>
      <c r="F510" s="37" t="s">
        <v>1059</v>
      </c>
      <c r="G510" s="34" t="s">
        <v>33</v>
      </c>
      <c r="H510" s="37" t="s">
        <v>1060</v>
      </c>
      <c r="I510" s="35"/>
      <c r="J510" s="35"/>
    </row>
    <row r="511">
      <c r="A511" s="32" t="s">
        <v>1079</v>
      </c>
      <c r="B511" s="32" t="s">
        <v>38</v>
      </c>
      <c r="C511" s="36" t="s">
        <v>27</v>
      </c>
      <c r="D511" s="36" t="s">
        <v>419</v>
      </c>
      <c r="E511" s="36" t="s">
        <v>146</v>
      </c>
      <c r="F511" s="37" t="s">
        <v>1014</v>
      </c>
      <c r="G511" s="37" t="s">
        <v>400</v>
      </c>
      <c r="H511" s="37" t="s">
        <v>1080</v>
      </c>
      <c r="I511" s="35"/>
      <c r="J511" s="35"/>
    </row>
    <row r="512">
      <c r="A512" s="32" t="s">
        <v>1081</v>
      </c>
      <c r="B512" s="32" t="s">
        <v>57</v>
      </c>
      <c r="C512" s="36" t="s">
        <v>27</v>
      </c>
      <c r="D512" s="36" t="s">
        <v>33</v>
      </c>
      <c r="E512" s="36" t="s">
        <v>33</v>
      </c>
      <c r="F512" s="37" t="s">
        <v>713</v>
      </c>
      <c r="G512" s="34" t="s">
        <v>33</v>
      </c>
      <c r="H512" s="34" t="s">
        <v>33</v>
      </c>
      <c r="I512" s="35"/>
      <c r="J512" s="35"/>
    </row>
    <row r="513">
      <c r="A513" s="32" t="s">
        <v>1082</v>
      </c>
      <c r="B513" s="32" t="s">
        <v>57</v>
      </c>
      <c r="C513" s="36" t="s">
        <v>27</v>
      </c>
      <c r="D513" s="36" t="s">
        <v>33</v>
      </c>
      <c r="E513" s="36" t="s">
        <v>476</v>
      </c>
      <c r="F513" s="37" t="s">
        <v>1083</v>
      </c>
      <c r="G513" s="34" t="s">
        <v>33</v>
      </c>
      <c r="H513" s="37" t="s">
        <v>1084</v>
      </c>
      <c r="I513" s="35"/>
      <c r="J513" s="35"/>
    </row>
    <row r="514">
      <c r="A514" s="32" t="s">
        <v>1085</v>
      </c>
      <c r="B514" s="32" t="s">
        <v>109</v>
      </c>
      <c r="C514" s="36" t="s">
        <v>27</v>
      </c>
      <c r="D514" s="36" t="s">
        <v>33</v>
      </c>
      <c r="E514" s="36" t="s">
        <v>187</v>
      </c>
      <c r="F514" s="37" t="s">
        <v>1086</v>
      </c>
      <c r="G514" s="34" t="s">
        <v>33</v>
      </c>
      <c r="H514" s="37" t="s">
        <v>303</v>
      </c>
      <c r="I514" s="35"/>
      <c r="J514" s="35"/>
    </row>
    <row r="515">
      <c r="A515" s="32" t="s">
        <v>1087</v>
      </c>
      <c r="B515" s="32" t="s">
        <v>73</v>
      </c>
      <c r="C515" s="36" t="s">
        <v>140</v>
      </c>
      <c r="D515" s="36" t="s">
        <v>33</v>
      </c>
      <c r="E515" s="36" t="s">
        <v>188</v>
      </c>
      <c r="F515" s="37" t="s">
        <v>1007</v>
      </c>
      <c r="G515" s="34" t="s">
        <v>33</v>
      </c>
      <c r="H515" s="37" t="s">
        <v>1008</v>
      </c>
      <c r="I515" s="35"/>
      <c r="J515" s="35"/>
    </row>
    <row r="516">
      <c r="A516" s="32" t="s">
        <v>1088</v>
      </c>
      <c r="B516" s="32" t="s">
        <v>38</v>
      </c>
      <c r="C516" s="36" t="s">
        <v>140</v>
      </c>
      <c r="D516" s="36" t="s">
        <v>385</v>
      </c>
      <c r="E516" s="36" t="s">
        <v>33</v>
      </c>
      <c r="F516" s="37" t="s">
        <v>684</v>
      </c>
      <c r="G516" s="37" t="s">
        <v>708</v>
      </c>
      <c r="H516" s="34" t="s">
        <v>33</v>
      </c>
      <c r="I516" s="35"/>
      <c r="J516" s="35"/>
    </row>
    <row r="517">
      <c r="A517" s="32" t="s">
        <v>1089</v>
      </c>
      <c r="B517" s="32" t="s">
        <v>38</v>
      </c>
      <c r="C517" s="36" t="s">
        <v>140</v>
      </c>
      <c r="D517" s="36" t="s">
        <v>33</v>
      </c>
      <c r="E517" s="36" t="s">
        <v>33</v>
      </c>
      <c r="F517" s="37" t="s">
        <v>625</v>
      </c>
      <c r="G517" s="34" t="s">
        <v>33</v>
      </c>
      <c r="H517" s="34" t="s">
        <v>33</v>
      </c>
      <c r="I517" s="35"/>
      <c r="J517" s="35"/>
    </row>
    <row r="518">
      <c r="A518" s="32" t="s">
        <v>1090</v>
      </c>
      <c r="B518" s="32" t="s">
        <v>57</v>
      </c>
      <c r="C518" s="36" t="s">
        <v>140</v>
      </c>
      <c r="D518" s="36" t="s">
        <v>128</v>
      </c>
      <c r="E518" s="36" t="s">
        <v>33</v>
      </c>
      <c r="F518" s="37" t="s">
        <v>414</v>
      </c>
      <c r="G518" s="37" t="s">
        <v>1091</v>
      </c>
      <c r="H518" s="34" t="s">
        <v>33</v>
      </c>
      <c r="I518" s="35"/>
      <c r="J518" s="35"/>
    </row>
    <row r="519">
      <c r="A519" s="32" t="s">
        <v>1092</v>
      </c>
      <c r="B519" s="32" t="s">
        <v>24</v>
      </c>
      <c r="C519" s="36" t="s">
        <v>137</v>
      </c>
      <c r="D519" s="36" t="s">
        <v>442</v>
      </c>
      <c r="E519" s="36" t="s">
        <v>266</v>
      </c>
      <c r="F519" s="37" t="s">
        <v>394</v>
      </c>
      <c r="G519" s="37" t="s">
        <v>915</v>
      </c>
      <c r="H519" s="37" t="s">
        <v>395</v>
      </c>
      <c r="I519" s="35"/>
      <c r="J519" s="35"/>
    </row>
    <row r="520">
      <c r="A520" s="32" t="s">
        <v>1093</v>
      </c>
      <c r="B520" s="32" t="s">
        <v>38</v>
      </c>
      <c r="C520" s="36" t="s">
        <v>137</v>
      </c>
      <c r="D520" s="36" t="s">
        <v>33</v>
      </c>
      <c r="E520" s="36" t="s">
        <v>33</v>
      </c>
      <c r="F520" s="37" t="s">
        <v>189</v>
      </c>
      <c r="G520" s="34" t="s">
        <v>33</v>
      </c>
      <c r="H520" s="34" t="s">
        <v>33</v>
      </c>
      <c r="I520" s="35"/>
      <c r="J520" s="35"/>
    </row>
    <row r="521">
      <c r="A521" s="32" t="s">
        <v>1094</v>
      </c>
      <c r="B521" s="32" t="s">
        <v>38</v>
      </c>
      <c r="C521" s="36" t="s">
        <v>137</v>
      </c>
      <c r="D521" s="36" t="s">
        <v>26</v>
      </c>
      <c r="E521" s="36" t="s">
        <v>156</v>
      </c>
      <c r="F521" s="37" t="s">
        <v>501</v>
      </c>
      <c r="G521" s="37" t="s">
        <v>400</v>
      </c>
      <c r="H521" s="37" t="s">
        <v>359</v>
      </c>
      <c r="I521" s="35"/>
      <c r="J521" s="35"/>
    </row>
    <row r="522">
      <c r="A522" s="32" t="s">
        <v>1095</v>
      </c>
      <c r="B522" s="32" t="s">
        <v>57</v>
      </c>
      <c r="C522" s="36" t="s">
        <v>137</v>
      </c>
      <c r="D522" s="36" t="s">
        <v>33</v>
      </c>
      <c r="E522" s="36" t="s">
        <v>53</v>
      </c>
      <c r="F522" s="37" t="s">
        <v>414</v>
      </c>
      <c r="G522" s="34" t="s">
        <v>33</v>
      </c>
      <c r="H522" s="37" t="s">
        <v>1096</v>
      </c>
      <c r="I522" s="35"/>
      <c r="J522" s="35"/>
    </row>
    <row r="523">
      <c r="A523" s="32" t="s">
        <v>1097</v>
      </c>
      <c r="B523" s="32" t="s">
        <v>32</v>
      </c>
      <c r="C523" s="36" t="s">
        <v>254</v>
      </c>
      <c r="D523" s="36" t="s">
        <v>33</v>
      </c>
      <c r="E523" s="36" t="s">
        <v>854</v>
      </c>
      <c r="F523" s="37" t="s">
        <v>92</v>
      </c>
      <c r="G523" s="34" t="s">
        <v>33</v>
      </c>
      <c r="H523" s="37" t="s">
        <v>969</v>
      </c>
      <c r="I523" s="35"/>
      <c r="J523" s="35"/>
    </row>
    <row r="524">
      <c r="A524" s="32" t="s">
        <v>1098</v>
      </c>
      <c r="B524" s="32" t="s">
        <v>38</v>
      </c>
      <c r="C524" s="36" t="s">
        <v>254</v>
      </c>
      <c r="D524" s="36" t="s">
        <v>33</v>
      </c>
      <c r="E524" s="36" t="s">
        <v>33</v>
      </c>
      <c r="F524" s="37" t="s">
        <v>1099</v>
      </c>
      <c r="G524" s="34" t="s">
        <v>33</v>
      </c>
      <c r="H524" s="34" t="s">
        <v>33</v>
      </c>
      <c r="I524" s="35"/>
      <c r="J524" s="35"/>
    </row>
    <row r="525">
      <c r="A525" s="32" t="s">
        <v>1100</v>
      </c>
      <c r="B525" s="32" t="s">
        <v>38</v>
      </c>
      <c r="C525" s="36" t="s">
        <v>254</v>
      </c>
      <c r="D525" s="36" t="s">
        <v>25</v>
      </c>
      <c r="E525" s="36" t="s">
        <v>178</v>
      </c>
      <c r="F525" s="37" t="s">
        <v>985</v>
      </c>
      <c r="G525" s="37" t="s">
        <v>634</v>
      </c>
      <c r="H525" s="37" t="s">
        <v>635</v>
      </c>
      <c r="I525" s="35"/>
      <c r="J525" s="35"/>
    </row>
    <row r="526">
      <c r="A526" s="32" t="s">
        <v>1101</v>
      </c>
      <c r="B526" s="32" t="s">
        <v>45</v>
      </c>
      <c r="C526" s="36" t="s">
        <v>254</v>
      </c>
      <c r="D526" s="36" t="s">
        <v>113</v>
      </c>
      <c r="E526" s="36" t="s">
        <v>476</v>
      </c>
      <c r="F526" s="37" t="s">
        <v>1102</v>
      </c>
      <c r="G526" s="37" t="s">
        <v>1103</v>
      </c>
      <c r="H526" s="37" t="s">
        <v>1104</v>
      </c>
      <c r="I526" s="35"/>
      <c r="J526" s="35"/>
    </row>
    <row r="527">
      <c r="A527" s="32" t="s">
        <v>1105</v>
      </c>
      <c r="B527" s="32" t="s">
        <v>45</v>
      </c>
      <c r="C527" s="36" t="s">
        <v>254</v>
      </c>
      <c r="D527" s="36" t="s">
        <v>33</v>
      </c>
      <c r="E527" s="36" t="s">
        <v>371</v>
      </c>
      <c r="F527" s="37" t="s">
        <v>921</v>
      </c>
      <c r="G527" s="34" t="s">
        <v>33</v>
      </c>
      <c r="H527" s="37" t="s">
        <v>1106</v>
      </c>
      <c r="I527" s="35"/>
      <c r="J527" s="35"/>
    </row>
    <row r="528">
      <c r="A528" s="32" t="s">
        <v>1107</v>
      </c>
      <c r="B528" s="32" t="s">
        <v>57</v>
      </c>
      <c r="C528" s="36" t="s">
        <v>254</v>
      </c>
      <c r="D528" s="36" t="s">
        <v>27</v>
      </c>
      <c r="E528" s="36" t="s">
        <v>33</v>
      </c>
      <c r="F528" s="37" t="s">
        <v>162</v>
      </c>
      <c r="G528" s="37" t="s">
        <v>318</v>
      </c>
      <c r="H528" s="34" t="s">
        <v>33</v>
      </c>
      <c r="I528" s="35"/>
      <c r="J528" s="35"/>
    </row>
    <row r="529">
      <c r="A529" s="32" t="s">
        <v>1108</v>
      </c>
      <c r="B529" s="32" t="s">
        <v>65</v>
      </c>
      <c r="C529" s="36" t="s">
        <v>226</v>
      </c>
      <c r="D529" s="36" t="s">
        <v>533</v>
      </c>
      <c r="E529" s="36" t="s">
        <v>33</v>
      </c>
      <c r="F529" s="37" t="s">
        <v>215</v>
      </c>
      <c r="G529" s="37" t="s">
        <v>811</v>
      </c>
      <c r="H529" s="34" t="s">
        <v>33</v>
      </c>
      <c r="I529" s="35"/>
      <c r="J529" s="35"/>
    </row>
    <row r="530">
      <c r="A530" s="32" t="s">
        <v>1109</v>
      </c>
      <c r="B530" s="32" t="s">
        <v>32</v>
      </c>
      <c r="C530" s="36" t="s">
        <v>226</v>
      </c>
      <c r="D530" s="36" t="s">
        <v>377</v>
      </c>
      <c r="E530" s="36" t="s">
        <v>33</v>
      </c>
      <c r="F530" s="37" t="s">
        <v>1034</v>
      </c>
      <c r="G530" s="37" t="s">
        <v>1110</v>
      </c>
      <c r="H530" s="34" t="s">
        <v>33</v>
      </c>
      <c r="I530" s="35"/>
      <c r="J530" s="35"/>
    </row>
    <row r="531">
      <c r="A531" s="32" t="s">
        <v>1111</v>
      </c>
      <c r="B531" s="32" t="s">
        <v>32</v>
      </c>
      <c r="C531" s="36" t="s">
        <v>226</v>
      </c>
      <c r="D531" s="36" t="s">
        <v>33</v>
      </c>
      <c r="E531" s="36" t="s">
        <v>178</v>
      </c>
      <c r="F531" s="37" t="s">
        <v>1112</v>
      </c>
      <c r="G531" s="34" t="s">
        <v>33</v>
      </c>
      <c r="H531" s="37" t="s">
        <v>1113</v>
      </c>
      <c r="I531" s="35"/>
      <c r="J531" s="35"/>
    </row>
    <row r="532">
      <c r="A532" s="32" t="s">
        <v>1114</v>
      </c>
      <c r="B532" s="32" t="s">
        <v>45</v>
      </c>
      <c r="C532" s="36" t="s">
        <v>226</v>
      </c>
      <c r="D532" s="36" t="s">
        <v>201</v>
      </c>
      <c r="E532" s="36" t="s">
        <v>128</v>
      </c>
      <c r="F532" s="37" t="s">
        <v>1115</v>
      </c>
      <c r="G532" s="37" t="s">
        <v>1116</v>
      </c>
      <c r="H532" s="37" t="s">
        <v>455</v>
      </c>
      <c r="I532" s="35"/>
      <c r="J532" s="35"/>
    </row>
    <row r="533">
      <c r="A533" s="32" t="s">
        <v>1117</v>
      </c>
      <c r="B533" s="32" t="s">
        <v>57</v>
      </c>
      <c r="C533" s="36" t="s">
        <v>226</v>
      </c>
      <c r="D533" s="36" t="s">
        <v>33</v>
      </c>
      <c r="E533" s="36" t="s">
        <v>33</v>
      </c>
      <c r="F533" s="37" t="s">
        <v>1118</v>
      </c>
      <c r="G533" s="34" t="s">
        <v>33</v>
      </c>
      <c r="H533" s="34" t="s">
        <v>33</v>
      </c>
      <c r="I533" s="35"/>
      <c r="J533" s="35"/>
    </row>
    <row r="534">
      <c r="A534" s="32" t="s">
        <v>1119</v>
      </c>
      <c r="B534" s="32" t="s">
        <v>57</v>
      </c>
      <c r="C534" s="36" t="s">
        <v>226</v>
      </c>
      <c r="D534" s="36" t="s">
        <v>33</v>
      </c>
      <c r="E534" s="36" t="s">
        <v>645</v>
      </c>
      <c r="F534" s="37" t="s">
        <v>394</v>
      </c>
      <c r="G534" s="34" t="s">
        <v>33</v>
      </c>
      <c r="H534" s="37" t="s">
        <v>395</v>
      </c>
      <c r="I534" s="35"/>
      <c r="J534" s="35"/>
    </row>
    <row r="535">
      <c r="A535" s="32" t="s">
        <v>1120</v>
      </c>
      <c r="B535" s="32" t="s">
        <v>746</v>
      </c>
      <c r="C535" s="36" t="s">
        <v>41</v>
      </c>
      <c r="D535" s="36" t="s">
        <v>33</v>
      </c>
      <c r="E535" s="36" t="s">
        <v>902</v>
      </c>
      <c r="F535" s="37" t="s">
        <v>414</v>
      </c>
      <c r="G535" s="34" t="s">
        <v>33</v>
      </c>
      <c r="H535" s="37" t="s">
        <v>1121</v>
      </c>
      <c r="I535" s="35"/>
      <c r="J535" s="35"/>
    </row>
    <row r="536">
      <c r="A536" s="32" t="s">
        <v>1122</v>
      </c>
      <c r="B536" s="32" t="s">
        <v>210</v>
      </c>
      <c r="C536" s="36" t="s">
        <v>41</v>
      </c>
      <c r="D536" s="36" t="s">
        <v>199</v>
      </c>
      <c r="E536" s="36" t="s">
        <v>34</v>
      </c>
      <c r="F536" s="37" t="s">
        <v>1123</v>
      </c>
      <c r="G536" s="37" t="s">
        <v>175</v>
      </c>
      <c r="H536" s="37" t="s">
        <v>176</v>
      </c>
      <c r="I536" s="35"/>
      <c r="J536" s="35"/>
    </row>
    <row r="537">
      <c r="A537" s="32" t="s">
        <v>1124</v>
      </c>
      <c r="B537" s="32" t="s">
        <v>73</v>
      </c>
      <c r="C537" s="36" t="s">
        <v>41</v>
      </c>
      <c r="D537" s="36" t="s">
        <v>140</v>
      </c>
      <c r="E537" s="36" t="s">
        <v>53</v>
      </c>
      <c r="F537" s="37" t="s">
        <v>489</v>
      </c>
      <c r="G537" s="37" t="s">
        <v>521</v>
      </c>
      <c r="H537" s="37" t="s">
        <v>756</v>
      </c>
      <c r="I537" s="35"/>
      <c r="J537" s="35"/>
    </row>
    <row r="538">
      <c r="A538" s="32" t="s">
        <v>1125</v>
      </c>
      <c r="B538" s="32" t="s">
        <v>73</v>
      </c>
      <c r="C538" s="36" t="s">
        <v>41</v>
      </c>
      <c r="D538" s="36" t="s">
        <v>389</v>
      </c>
      <c r="E538" s="36" t="s">
        <v>33</v>
      </c>
      <c r="F538" s="37" t="s">
        <v>684</v>
      </c>
      <c r="G538" s="37" t="s">
        <v>685</v>
      </c>
      <c r="H538" s="34" t="s">
        <v>33</v>
      </c>
      <c r="I538" s="35"/>
      <c r="J538" s="35"/>
    </row>
    <row r="539">
      <c r="A539" s="32" t="s">
        <v>1126</v>
      </c>
      <c r="B539" s="32" t="s">
        <v>32</v>
      </c>
      <c r="C539" s="36" t="s">
        <v>41</v>
      </c>
      <c r="D539" s="36" t="s">
        <v>33</v>
      </c>
      <c r="E539" s="36" t="s">
        <v>533</v>
      </c>
      <c r="F539" s="37" t="s">
        <v>273</v>
      </c>
      <c r="G539" s="34" t="s">
        <v>33</v>
      </c>
      <c r="H539" s="37" t="s">
        <v>1127</v>
      </c>
      <c r="I539" s="35"/>
      <c r="J539" s="35"/>
    </row>
    <row r="540">
      <c r="A540" s="32" t="s">
        <v>1128</v>
      </c>
      <c r="B540" s="32" t="s">
        <v>38</v>
      </c>
      <c r="C540" s="36" t="s">
        <v>41</v>
      </c>
      <c r="D540" s="36" t="s">
        <v>533</v>
      </c>
      <c r="E540" s="36" t="s">
        <v>34</v>
      </c>
      <c r="F540" s="37" t="s">
        <v>640</v>
      </c>
      <c r="G540" s="37" t="s">
        <v>175</v>
      </c>
      <c r="H540" s="37" t="s">
        <v>176</v>
      </c>
      <c r="I540" s="35"/>
      <c r="J540" s="35"/>
    </row>
    <row r="541">
      <c r="A541" s="32" t="s">
        <v>1129</v>
      </c>
      <c r="B541" s="32" t="s">
        <v>45</v>
      </c>
      <c r="C541" s="36" t="s">
        <v>41</v>
      </c>
      <c r="D541" s="36" t="s">
        <v>33</v>
      </c>
      <c r="E541" s="36" t="s">
        <v>33</v>
      </c>
      <c r="F541" s="37" t="s">
        <v>170</v>
      </c>
      <c r="G541" s="34" t="s">
        <v>33</v>
      </c>
      <c r="H541" s="34" t="s">
        <v>33</v>
      </c>
      <c r="I541" s="35"/>
      <c r="J541" s="35"/>
    </row>
    <row r="542">
      <c r="A542" s="32" t="s">
        <v>1130</v>
      </c>
      <c r="B542" s="32" t="s">
        <v>57</v>
      </c>
      <c r="C542" s="36" t="s">
        <v>41</v>
      </c>
      <c r="D542" s="36" t="s">
        <v>33</v>
      </c>
      <c r="E542" s="36" t="s">
        <v>33</v>
      </c>
      <c r="F542" s="37" t="s">
        <v>215</v>
      </c>
      <c r="G542" s="34" t="s">
        <v>33</v>
      </c>
      <c r="H542" s="34" t="s">
        <v>33</v>
      </c>
      <c r="I542" s="35"/>
      <c r="J542" s="35"/>
    </row>
    <row r="543">
      <c r="A543" s="32" t="s">
        <v>1131</v>
      </c>
      <c r="B543" s="32" t="s">
        <v>57</v>
      </c>
      <c r="C543" s="36" t="s">
        <v>41</v>
      </c>
      <c r="D543" s="36" t="s">
        <v>165</v>
      </c>
      <c r="E543" s="36" t="s">
        <v>34</v>
      </c>
      <c r="F543" s="37" t="s">
        <v>1123</v>
      </c>
      <c r="G543" s="37" t="s">
        <v>175</v>
      </c>
      <c r="H543" s="37" t="s">
        <v>176</v>
      </c>
      <c r="I543" s="35"/>
      <c r="J543" s="35"/>
    </row>
    <row r="544">
      <c r="A544" s="32" t="s">
        <v>1132</v>
      </c>
      <c r="B544" s="32" t="s">
        <v>62</v>
      </c>
      <c r="C544" s="36" t="s">
        <v>41</v>
      </c>
      <c r="D544" s="36" t="s">
        <v>33</v>
      </c>
      <c r="E544" s="36" t="s">
        <v>1068</v>
      </c>
      <c r="F544" s="37" t="s">
        <v>1037</v>
      </c>
      <c r="G544" s="34" t="s">
        <v>33</v>
      </c>
      <c r="H544" s="37" t="s">
        <v>1133</v>
      </c>
      <c r="I544" s="35"/>
      <c r="J544" s="35"/>
    </row>
    <row r="545">
      <c r="A545" s="32" t="s">
        <v>1134</v>
      </c>
      <c r="B545" s="32" t="s">
        <v>62</v>
      </c>
      <c r="C545" s="36" t="s">
        <v>41</v>
      </c>
      <c r="D545" s="36" t="s">
        <v>33</v>
      </c>
      <c r="E545" s="36" t="s">
        <v>33</v>
      </c>
      <c r="F545" s="37" t="s">
        <v>998</v>
      </c>
      <c r="G545" s="34" t="s">
        <v>33</v>
      </c>
      <c r="H545" s="34" t="s">
        <v>33</v>
      </c>
      <c r="I545" s="35"/>
      <c r="J545" s="35"/>
    </row>
    <row r="546">
      <c r="A546" s="32" t="s">
        <v>1135</v>
      </c>
      <c r="B546" s="32" t="s">
        <v>151</v>
      </c>
      <c r="C546" s="36" t="s">
        <v>902</v>
      </c>
      <c r="D546" s="36" t="s">
        <v>33</v>
      </c>
      <c r="E546" s="36" t="s">
        <v>33</v>
      </c>
      <c r="F546" s="37" t="s">
        <v>713</v>
      </c>
      <c r="G546" s="34" t="s">
        <v>33</v>
      </c>
      <c r="H546" s="34" t="s">
        <v>33</v>
      </c>
      <c r="I546" s="35"/>
      <c r="J546" s="35"/>
    </row>
    <row r="547">
      <c r="A547" s="32" t="s">
        <v>1136</v>
      </c>
      <c r="B547" s="32" t="s">
        <v>45</v>
      </c>
      <c r="C547" s="36" t="s">
        <v>902</v>
      </c>
      <c r="D547" s="36" t="s">
        <v>33</v>
      </c>
      <c r="E547" s="36" t="s">
        <v>33</v>
      </c>
      <c r="F547" s="37" t="s">
        <v>88</v>
      </c>
      <c r="G547" s="34" t="s">
        <v>33</v>
      </c>
      <c r="H547" s="34" t="s">
        <v>33</v>
      </c>
      <c r="I547" s="35"/>
      <c r="J547" s="35"/>
    </row>
    <row r="548">
      <c r="A548" s="32" t="s">
        <v>1137</v>
      </c>
      <c r="B548" s="32" t="s">
        <v>109</v>
      </c>
      <c r="C548" s="36" t="s">
        <v>902</v>
      </c>
      <c r="D548" s="36" t="s">
        <v>33</v>
      </c>
      <c r="E548" s="36" t="s">
        <v>58</v>
      </c>
      <c r="F548" s="37" t="s">
        <v>1138</v>
      </c>
      <c r="G548" s="34" t="s">
        <v>33</v>
      </c>
      <c r="H548" s="37" t="s">
        <v>1139</v>
      </c>
      <c r="I548" s="35"/>
      <c r="J548" s="35"/>
    </row>
    <row r="549">
      <c r="A549" s="32" t="s">
        <v>1140</v>
      </c>
      <c r="B549" s="32" t="s">
        <v>109</v>
      </c>
      <c r="C549" s="36" t="s">
        <v>902</v>
      </c>
      <c r="D549" s="36" t="s">
        <v>51</v>
      </c>
      <c r="E549" s="36" t="s">
        <v>33</v>
      </c>
      <c r="F549" s="37" t="s">
        <v>215</v>
      </c>
      <c r="G549" s="37" t="s">
        <v>216</v>
      </c>
      <c r="H549" s="34" t="s">
        <v>33</v>
      </c>
      <c r="I549" s="35"/>
      <c r="J549" s="35"/>
    </row>
    <row r="550">
      <c r="A550" s="32" t="s">
        <v>1141</v>
      </c>
      <c r="B550" s="32" t="s">
        <v>109</v>
      </c>
      <c r="C550" s="36" t="s">
        <v>902</v>
      </c>
      <c r="D550" s="36" t="s">
        <v>199</v>
      </c>
      <c r="E550" s="36" t="s">
        <v>33</v>
      </c>
      <c r="F550" s="37" t="s">
        <v>572</v>
      </c>
      <c r="G550" s="37" t="s">
        <v>1142</v>
      </c>
      <c r="H550" s="34" t="s">
        <v>33</v>
      </c>
      <c r="I550" s="35"/>
      <c r="J550" s="35"/>
    </row>
    <row r="551">
      <c r="A551" s="32" t="s">
        <v>1143</v>
      </c>
      <c r="B551" s="32" t="s">
        <v>24</v>
      </c>
      <c r="C551" s="36" t="s">
        <v>377</v>
      </c>
      <c r="D551" s="36" t="s">
        <v>365</v>
      </c>
      <c r="E551" s="36" t="s">
        <v>131</v>
      </c>
      <c r="F551" s="37" t="s">
        <v>423</v>
      </c>
      <c r="G551" s="37" t="s">
        <v>898</v>
      </c>
      <c r="H551" s="37" t="s">
        <v>278</v>
      </c>
      <c r="I551" s="35"/>
      <c r="J551" s="35"/>
    </row>
    <row r="552">
      <c r="A552" s="32" t="s">
        <v>1144</v>
      </c>
      <c r="B552" s="32" t="s">
        <v>24</v>
      </c>
      <c r="C552" s="36" t="s">
        <v>377</v>
      </c>
      <c r="D552" s="36" t="s">
        <v>119</v>
      </c>
      <c r="E552" s="36" t="s">
        <v>232</v>
      </c>
      <c r="F552" s="37" t="s">
        <v>633</v>
      </c>
      <c r="G552" s="37" t="s">
        <v>634</v>
      </c>
      <c r="H552" s="37" t="s">
        <v>635</v>
      </c>
      <c r="I552" s="35"/>
      <c r="J552" s="35"/>
    </row>
    <row r="553">
      <c r="A553" s="32" t="s">
        <v>1145</v>
      </c>
      <c r="B553" s="32" t="s">
        <v>45</v>
      </c>
      <c r="C553" s="36" t="s">
        <v>377</v>
      </c>
      <c r="D553" s="36" t="s">
        <v>33</v>
      </c>
      <c r="E553" s="36" t="s">
        <v>33</v>
      </c>
      <c r="F553" s="37" t="s">
        <v>1146</v>
      </c>
      <c r="G553" s="34" t="s">
        <v>33</v>
      </c>
      <c r="H553" s="34" t="s">
        <v>33</v>
      </c>
      <c r="I553" s="35"/>
      <c r="J553" s="35"/>
    </row>
    <row r="554">
      <c r="A554" s="32" t="s">
        <v>1147</v>
      </c>
      <c r="B554" s="32" t="s">
        <v>38</v>
      </c>
      <c r="C554" s="36" t="s">
        <v>179</v>
      </c>
      <c r="D554" s="36" t="s">
        <v>26</v>
      </c>
      <c r="E554" s="36" t="s">
        <v>105</v>
      </c>
      <c r="F554" s="37" t="s">
        <v>501</v>
      </c>
      <c r="G554" s="37" t="s">
        <v>614</v>
      </c>
      <c r="H554" s="37" t="s">
        <v>359</v>
      </c>
      <c r="I554" s="35"/>
      <c r="J554" s="35"/>
    </row>
    <row r="555">
      <c r="A555" s="32" t="s">
        <v>1148</v>
      </c>
      <c r="B555" s="32" t="s">
        <v>45</v>
      </c>
      <c r="C555" s="36" t="s">
        <v>179</v>
      </c>
      <c r="D555" s="36" t="s">
        <v>122</v>
      </c>
      <c r="E555" s="36" t="s">
        <v>95</v>
      </c>
      <c r="F555" s="37" t="s">
        <v>953</v>
      </c>
      <c r="G555" s="37" t="s">
        <v>454</v>
      </c>
      <c r="H555" s="37" t="s">
        <v>455</v>
      </c>
      <c r="I555" s="35"/>
      <c r="J555" s="35"/>
    </row>
    <row r="556">
      <c r="A556" s="32" t="s">
        <v>1149</v>
      </c>
      <c r="B556" s="32" t="s">
        <v>62</v>
      </c>
      <c r="C556" s="36" t="s">
        <v>179</v>
      </c>
      <c r="D556" s="36" t="s">
        <v>33</v>
      </c>
      <c r="E556" s="36" t="s">
        <v>33</v>
      </c>
      <c r="F556" s="37" t="s">
        <v>861</v>
      </c>
      <c r="G556" s="34" t="s">
        <v>33</v>
      </c>
      <c r="H556" s="34" t="s">
        <v>33</v>
      </c>
      <c r="I556" s="35"/>
      <c r="J556" s="35"/>
    </row>
    <row r="557">
      <c r="A557" s="32" t="s">
        <v>1150</v>
      </c>
      <c r="B557" s="32" t="s">
        <v>151</v>
      </c>
      <c r="C557" s="36" t="s">
        <v>528</v>
      </c>
      <c r="D557" s="36" t="s">
        <v>33</v>
      </c>
      <c r="E557" s="36" t="s">
        <v>137</v>
      </c>
      <c r="F557" s="37" t="s">
        <v>825</v>
      </c>
      <c r="G557" s="34" t="s">
        <v>33</v>
      </c>
      <c r="H557" s="37" t="s">
        <v>1151</v>
      </c>
      <c r="I557" s="35"/>
      <c r="J557" s="35"/>
    </row>
    <row r="558">
      <c r="A558" s="32" t="s">
        <v>1152</v>
      </c>
      <c r="B558" s="32" t="s">
        <v>38</v>
      </c>
      <c r="C558" s="36" t="s">
        <v>528</v>
      </c>
      <c r="D558" s="36" t="s">
        <v>33</v>
      </c>
      <c r="E558" s="36" t="s">
        <v>33</v>
      </c>
      <c r="F558" s="37" t="s">
        <v>1153</v>
      </c>
      <c r="G558" s="34" t="s">
        <v>33</v>
      </c>
      <c r="H558" s="34" t="s">
        <v>33</v>
      </c>
      <c r="I558" s="35"/>
      <c r="J558" s="35"/>
    </row>
    <row r="559">
      <c r="A559" s="32" t="s">
        <v>1154</v>
      </c>
      <c r="B559" s="32" t="s">
        <v>57</v>
      </c>
      <c r="C559" s="36" t="s">
        <v>528</v>
      </c>
      <c r="D559" s="36" t="s">
        <v>34</v>
      </c>
      <c r="E559" s="36" t="s">
        <v>58</v>
      </c>
      <c r="F559" s="37" t="s">
        <v>1155</v>
      </c>
      <c r="G559" s="37" t="s">
        <v>760</v>
      </c>
      <c r="H559" s="37" t="s">
        <v>761</v>
      </c>
      <c r="I559" s="35"/>
      <c r="J559" s="35"/>
    </row>
    <row r="560">
      <c r="A560" s="32" t="s">
        <v>1156</v>
      </c>
      <c r="B560" s="32" t="s">
        <v>32</v>
      </c>
      <c r="C560" s="36" t="s">
        <v>652</v>
      </c>
      <c r="D560" s="36" t="s">
        <v>399</v>
      </c>
      <c r="E560" s="36" t="s">
        <v>146</v>
      </c>
      <c r="F560" s="37" t="s">
        <v>633</v>
      </c>
      <c r="G560" s="37" t="s">
        <v>634</v>
      </c>
      <c r="H560" s="37" t="s">
        <v>635</v>
      </c>
      <c r="I560" s="35"/>
      <c r="J560" s="35"/>
    </row>
    <row r="561">
      <c r="A561" s="32" t="s">
        <v>1157</v>
      </c>
      <c r="B561" s="32" t="s">
        <v>45</v>
      </c>
      <c r="C561" s="36" t="s">
        <v>652</v>
      </c>
      <c r="D561" s="36" t="s">
        <v>33</v>
      </c>
      <c r="E561" s="36" t="s">
        <v>178</v>
      </c>
      <c r="F561" s="37" t="s">
        <v>911</v>
      </c>
      <c r="G561" s="34" t="s">
        <v>33</v>
      </c>
      <c r="H561" s="37" t="s">
        <v>912</v>
      </c>
      <c r="I561" s="35"/>
      <c r="J561" s="35"/>
    </row>
    <row r="562">
      <c r="A562" s="32" t="s">
        <v>1158</v>
      </c>
      <c r="B562" s="32" t="s">
        <v>57</v>
      </c>
      <c r="C562" s="36" t="s">
        <v>652</v>
      </c>
      <c r="D562" s="36" t="s">
        <v>1040</v>
      </c>
      <c r="E562" s="36" t="s">
        <v>33</v>
      </c>
      <c r="F562" s="37" t="s">
        <v>189</v>
      </c>
      <c r="G562" s="37" t="s">
        <v>1159</v>
      </c>
      <c r="H562" s="34" t="s">
        <v>33</v>
      </c>
      <c r="I562" s="35"/>
      <c r="J562" s="35"/>
    </row>
    <row r="563">
      <c r="A563" s="32" t="s">
        <v>1160</v>
      </c>
      <c r="B563" s="32" t="s">
        <v>73</v>
      </c>
      <c r="C563" s="36" t="s">
        <v>283</v>
      </c>
      <c r="D563" s="36" t="s">
        <v>371</v>
      </c>
      <c r="E563" s="36" t="s">
        <v>33</v>
      </c>
      <c r="F563" s="37" t="s">
        <v>684</v>
      </c>
      <c r="G563" s="37" t="s">
        <v>1161</v>
      </c>
      <c r="H563" s="34" t="s">
        <v>33</v>
      </c>
      <c r="I563" s="35"/>
      <c r="J563" s="35"/>
    </row>
    <row r="564">
      <c r="A564" s="32" t="s">
        <v>1162</v>
      </c>
      <c r="B564" s="32" t="s">
        <v>38</v>
      </c>
      <c r="C564" s="36" t="s">
        <v>283</v>
      </c>
      <c r="D564" s="36" t="s">
        <v>33</v>
      </c>
      <c r="E564" s="36" t="s">
        <v>26</v>
      </c>
      <c r="F564" s="37" t="s">
        <v>576</v>
      </c>
      <c r="G564" s="34" t="s">
        <v>33</v>
      </c>
      <c r="H564" s="37" t="s">
        <v>1127</v>
      </c>
      <c r="I564" s="35"/>
      <c r="J564" s="35"/>
    </row>
    <row r="565">
      <c r="A565" s="32" t="s">
        <v>1163</v>
      </c>
      <c r="B565" s="32" t="s">
        <v>45</v>
      </c>
      <c r="C565" s="36" t="s">
        <v>545</v>
      </c>
      <c r="D565" s="36" t="s">
        <v>33</v>
      </c>
      <c r="E565" s="36" t="s">
        <v>127</v>
      </c>
      <c r="F565" s="37" t="s">
        <v>1086</v>
      </c>
      <c r="G565" s="34" t="s">
        <v>33</v>
      </c>
      <c r="H565" s="37" t="s">
        <v>303</v>
      </c>
      <c r="I565" s="35"/>
      <c r="J565" s="35"/>
    </row>
    <row r="566">
      <c r="A566" s="32" t="s">
        <v>1164</v>
      </c>
      <c r="B566" s="32" t="s">
        <v>109</v>
      </c>
      <c r="C566" s="36" t="s">
        <v>545</v>
      </c>
      <c r="D566" s="36" t="s">
        <v>67</v>
      </c>
      <c r="E566" s="36" t="s">
        <v>82</v>
      </c>
      <c r="F566" s="37" t="s">
        <v>1165</v>
      </c>
      <c r="G566" s="37" t="s">
        <v>241</v>
      </c>
      <c r="H566" s="37" t="s">
        <v>278</v>
      </c>
      <c r="I566" s="35"/>
      <c r="J566" s="35"/>
    </row>
    <row r="567">
      <c r="A567" s="32" t="s">
        <v>1166</v>
      </c>
      <c r="B567" s="32" t="s">
        <v>62</v>
      </c>
      <c r="C567" s="36" t="s">
        <v>545</v>
      </c>
      <c r="D567" s="36" t="s">
        <v>854</v>
      </c>
      <c r="E567" s="36" t="s">
        <v>187</v>
      </c>
      <c r="F567" s="37" t="s">
        <v>640</v>
      </c>
      <c r="G567" s="37" t="s">
        <v>175</v>
      </c>
      <c r="H567" s="37" t="s">
        <v>176</v>
      </c>
      <c r="I567" s="35"/>
      <c r="J567" s="35"/>
    </row>
    <row r="568">
      <c r="A568" s="32" t="s">
        <v>1167</v>
      </c>
      <c r="B568" s="32" t="s">
        <v>32</v>
      </c>
      <c r="C568" s="36" t="s">
        <v>218</v>
      </c>
      <c r="D568" s="36" t="s">
        <v>87</v>
      </c>
      <c r="E568" s="36" t="s">
        <v>33</v>
      </c>
      <c r="F568" s="37" t="s">
        <v>629</v>
      </c>
      <c r="G568" s="37" t="s">
        <v>481</v>
      </c>
      <c r="H568" s="34" t="s">
        <v>33</v>
      </c>
      <c r="I568" s="35"/>
      <c r="J568" s="35"/>
    </row>
    <row r="569">
      <c r="A569" s="32" t="s">
        <v>1168</v>
      </c>
      <c r="B569" s="32" t="s">
        <v>109</v>
      </c>
      <c r="C569" s="36" t="s">
        <v>218</v>
      </c>
      <c r="D569" s="36" t="s">
        <v>302</v>
      </c>
      <c r="E569" s="36" t="s">
        <v>33</v>
      </c>
      <c r="F569" s="37" t="s">
        <v>1169</v>
      </c>
      <c r="G569" s="37" t="s">
        <v>877</v>
      </c>
      <c r="H569" s="34" t="s">
        <v>33</v>
      </c>
      <c r="I569" s="35"/>
      <c r="J569" s="35"/>
    </row>
    <row r="570">
      <c r="A570" s="32" t="s">
        <v>1170</v>
      </c>
      <c r="B570" s="32" t="s">
        <v>62</v>
      </c>
      <c r="C570" s="36" t="s">
        <v>218</v>
      </c>
      <c r="D570" s="36" t="s">
        <v>58</v>
      </c>
      <c r="E570" s="36" t="s">
        <v>399</v>
      </c>
      <c r="F570" s="37" t="s">
        <v>629</v>
      </c>
      <c r="G570" s="37" t="s">
        <v>835</v>
      </c>
      <c r="H570" s="37" t="s">
        <v>1171</v>
      </c>
      <c r="I570" s="35"/>
      <c r="J570" s="35"/>
    </row>
    <row r="571">
      <c r="A571" s="32" t="s">
        <v>1172</v>
      </c>
      <c r="B571" s="32" t="s">
        <v>24</v>
      </c>
      <c r="C571" s="36" t="s">
        <v>87</v>
      </c>
      <c r="D571" s="36" t="s">
        <v>33</v>
      </c>
      <c r="E571" s="36" t="s">
        <v>119</v>
      </c>
      <c r="F571" s="37" t="s">
        <v>825</v>
      </c>
      <c r="G571" s="34" t="s">
        <v>33</v>
      </c>
      <c r="H571" s="37" t="s">
        <v>1173</v>
      </c>
      <c r="I571" s="35"/>
      <c r="J571" s="35"/>
    </row>
    <row r="572">
      <c r="A572" s="32" t="s">
        <v>1174</v>
      </c>
      <c r="B572" s="32" t="s">
        <v>154</v>
      </c>
      <c r="C572" s="36" t="s">
        <v>87</v>
      </c>
      <c r="D572" s="36" t="s">
        <v>389</v>
      </c>
      <c r="E572" s="36" t="s">
        <v>645</v>
      </c>
      <c r="F572" s="37" t="s">
        <v>843</v>
      </c>
      <c r="G572" s="37" t="s">
        <v>1175</v>
      </c>
      <c r="H572" s="37" t="s">
        <v>1176</v>
      </c>
      <c r="I572" s="35"/>
      <c r="J572" s="35"/>
    </row>
    <row r="573">
      <c r="A573" s="32" t="s">
        <v>1177</v>
      </c>
      <c r="B573" s="32" t="s">
        <v>62</v>
      </c>
      <c r="C573" s="36" t="s">
        <v>87</v>
      </c>
      <c r="D573" s="36" t="s">
        <v>33</v>
      </c>
      <c r="E573" s="36" t="s">
        <v>33</v>
      </c>
      <c r="F573" s="37" t="s">
        <v>1178</v>
      </c>
      <c r="G573" s="34" t="s">
        <v>33</v>
      </c>
      <c r="H573" s="34" t="s">
        <v>33</v>
      </c>
      <c r="I573" s="35"/>
      <c r="J573" s="35"/>
    </row>
    <row r="574">
      <c r="A574" s="32" t="s">
        <v>1179</v>
      </c>
      <c r="B574" s="32" t="s">
        <v>24</v>
      </c>
      <c r="C574" s="36" t="s">
        <v>457</v>
      </c>
      <c r="D574" s="36" t="s">
        <v>288</v>
      </c>
      <c r="E574" s="36" t="s">
        <v>33</v>
      </c>
      <c r="F574" s="37" t="s">
        <v>847</v>
      </c>
      <c r="G574" s="37" t="s">
        <v>848</v>
      </c>
      <c r="H574" s="34" t="s">
        <v>33</v>
      </c>
      <c r="I574" s="35"/>
      <c r="J574" s="35"/>
    </row>
    <row r="575">
      <c r="A575" s="32" t="s">
        <v>1180</v>
      </c>
      <c r="B575" s="32" t="s">
        <v>38</v>
      </c>
      <c r="C575" s="36" t="s">
        <v>457</v>
      </c>
      <c r="D575" s="36" t="s">
        <v>1068</v>
      </c>
      <c r="E575" s="36" t="s">
        <v>51</v>
      </c>
      <c r="F575" s="37" t="s">
        <v>489</v>
      </c>
      <c r="G575" s="37" t="s">
        <v>755</v>
      </c>
      <c r="H575" s="37" t="s">
        <v>756</v>
      </c>
      <c r="I575" s="35"/>
      <c r="J575" s="35"/>
    </row>
    <row r="576">
      <c r="A576" s="32" t="s">
        <v>1181</v>
      </c>
      <c r="B576" s="32" t="s">
        <v>62</v>
      </c>
      <c r="C576" s="36" t="s">
        <v>457</v>
      </c>
      <c r="D576" s="36" t="s">
        <v>201</v>
      </c>
      <c r="E576" s="36" t="s">
        <v>33</v>
      </c>
      <c r="F576" s="37" t="s">
        <v>69</v>
      </c>
      <c r="G576" s="37" t="s">
        <v>70</v>
      </c>
      <c r="H576" s="34" t="s">
        <v>33</v>
      </c>
      <c r="I576" s="35"/>
      <c r="J576" s="35"/>
    </row>
    <row r="577">
      <c r="A577" s="32" t="s">
        <v>1182</v>
      </c>
      <c r="B577" s="32" t="s">
        <v>62</v>
      </c>
      <c r="C577" s="36" t="s">
        <v>457</v>
      </c>
      <c r="D577" s="36" t="s">
        <v>67</v>
      </c>
      <c r="E577" s="36" t="s">
        <v>33</v>
      </c>
      <c r="F577" s="37" t="s">
        <v>1014</v>
      </c>
      <c r="G577" s="37" t="s">
        <v>1183</v>
      </c>
      <c r="H577" s="34" t="s">
        <v>33</v>
      </c>
      <c r="I577" s="35"/>
      <c r="J577" s="35"/>
    </row>
    <row r="578">
      <c r="A578" s="32" t="s">
        <v>1184</v>
      </c>
      <c r="B578" s="32" t="s">
        <v>210</v>
      </c>
      <c r="C578" s="36" t="s">
        <v>718</v>
      </c>
      <c r="D578" s="36" t="s">
        <v>533</v>
      </c>
      <c r="E578" s="36" t="s">
        <v>33</v>
      </c>
      <c r="F578" s="37" t="s">
        <v>810</v>
      </c>
      <c r="G578" s="37" t="s">
        <v>1185</v>
      </c>
      <c r="H578" s="34" t="s">
        <v>33</v>
      </c>
      <c r="I578" s="35"/>
      <c r="J578" s="35"/>
    </row>
    <row r="579">
      <c r="A579" s="32" t="s">
        <v>1186</v>
      </c>
      <c r="B579" s="32" t="s">
        <v>73</v>
      </c>
      <c r="C579" s="36" t="s">
        <v>718</v>
      </c>
      <c r="D579" s="36" t="s">
        <v>141</v>
      </c>
      <c r="E579" s="36" t="s">
        <v>33</v>
      </c>
      <c r="F579" s="37" t="s">
        <v>825</v>
      </c>
      <c r="G579" s="37" t="s">
        <v>400</v>
      </c>
      <c r="H579" s="34" t="s">
        <v>33</v>
      </c>
      <c r="I579" s="35"/>
      <c r="J579" s="35"/>
    </row>
    <row r="580">
      <c r="A580" s="32" t="s">
        <v>1187</v>
      </c>
      <c r="B580" s="32" t="s">
        <v>32</v>
      </c>
      <c r="C580" s="36" t="s">
        <v>718</v>
      </c>
      <c r="D580" s="36" t="s">
        <v>232</v>
      </c>
      <c r="E580" s="36" t="s">
        <v>165</v>
      </c>
      <c r="F580" s="37" t="s">
        <v>1188</v>
      </c>
      <c r="G580" s="37" t="s">
        <v>281</v>
      </c>
      <c r="H580" s="37" t="s">
        <v>1189</v>
      </c>
      <c r="I580" s="35"/>
      <c r="J580" s="35"/>
    </row>
    <row r="581">
      <c r="A581" s="32" t="s">
        <v>1190</v>
      </c>
      <c r="B581" s="32" t="s">
        <v>38</v>
      </c>
      <c r="C581" s="36" t="s">
        <v>718</v>
      </c>
      <c r="D581" s="36" t="s">
        <v>127</v>
      </c>
      <c r="E581" s="36" t="s">
        <v>33</v>
      </c>
      <c r="F581" s="37" t="s">
        <v>309</v>
      </c>
      <c r="G581" s="37" t="s">
        <v>1191</v>
      </c>
      <c r="H581" s="34" t="s">
        <v>33</v>
      </c>
      <c r="I581" s="35"/>
      <c r="J581" s="35"/>
    </row>
    <row r="582">
      <c r="A582" s="32" t="s">
        <v>1192</v>
      </c>
      <c r="B582" s="32" t="s">
        <v>45</v>
      </c>
      <c r="C582" s="36" t="s">
        <v>718</v>
      </c>
      <c r="D582" s="36" t="s">
        <v>188</v>
      </c>
      <c r="E582" s="36" t="s">
        <v>66</v>
      </c>
      <c r="F582" s="37" t="s">
        <v>1115</v>
      </c>
      <c r="G582" s="37" t="s">
        <v>454</v>
      </c>
      <c r="H582" s="37" t="s">
        <v>455</v>
      </c>
      <c r="I582" s="35"/>
      <c r="J582" s="35"/>
    </row>
    <row r="583">
      <c r="A583" s="32" t="s">
        <v>1193</v>
      </c>
      <c r="B583" s="32" t="s">
        <v>109</v>
      </c>
      <c r="C583" s="36" t="s">
        <v>718</v>
      </c>
      <c r="D583" s="36" t="s">
        <v>240</v>
      </c>
      <c r="E583" s="36" t="s">
        <v>33</v>
      </c>
      <c r="F583" s="37" t="s">
        <v>633</v>
      </c>
      <c r="G583" s="37" t="s">
        <v>634</v>
      </c>
      <c r="H583" s="34" t="s">
        <v>33</v>
      </c>
      <c r="I583" s="35"/>
      <c r="J583" s="35"/>
    </row>
    <row r="584">
      <c r="A584" s="32" t="s">
        <v>1194</v>
      </c>
      <c r="B584" s="32" t="s">
        <v>62</v>
      </c>
      <c r="C584" s="36" t="s">
        <v>718</v>
      </c>
      <c r="D584" s="36" t="s">
        <v>25</v>
      </c>
      <c r="E584" s="36" t="s">
        <v>105</v>
      </c>
      <c r="F584" s="37" t="s">
        <v>523</v>
      </c>
      <c r="G584" s="37" t="s">
        <v>490</v>
      </c>
      <c r="H584" s="37" t="s">
        <v>524</v>
      </c>
      <c r="I584" s="35"/>
      <c r="J584" s="35"/>
    </row>
    <row r="585">
      <c r="A585" s="32" t="s">
        <v>1195</v>
      </c>
      <c r="B585" s="32" t="s">
        <v>62</v>
      </c>
      <c r="C585" s="36" t="s">
        <v>383</v>
      </c>
      <c r="D585" s="36" t="s">
        <v>33</v>
      </c>
      <c r="E585" s="36" t="s">
        <v>33</v>
      </c>
      <c r="F585" s="37" t="s">
        <v>1086</v>
      </c>
      <c r="G585" s="34" t="s">
        <v>33</v>
      </c>
      <c r="H585" s="34" t="s">
        <v>33</v>
      </c>
      <c r="I585" s="35"/>
      <c r="J585" s="35"/>
    </row>
    <row r="586">
      <c r="A586" s="32" t="s">
        <v>1196</v>
      </c>
      <c r="B586" s="32" t="s">
        <v>73</v>
      </c>
      <c r="C586" s="36" t="s">
        <v>1040</v>
      </c>
      <c r="D586" s="36" t="s">
        <v>25</v>
      </c>
      <c r="E586" s="36" t="s">
        <v>33</v>
      </c>
      <c r="F586" s="37" t="s">
        <v>1197</v>
      </c>
      <c r="G586" s="37" t="s">
        <v>1198</v>
      </c>
      <c r="H586" s="34" t="s">
        <v>33</v>
      </c>
      <c r="I586" s="35"/>
      <c r="J586" s="35"/>
    </row>
    <row r="587">
      <c r="A587" s="32" t="s">
        <v>1199</v>
      </c>
      <c r="B587" s="32" t="s">
        <v>32</v>
      </c>
      <c r="C587" s="36" t="s">
        <v>1040</v>
      </c>
      <c r="D587" s="36" t="s">
        <v>33</v>
      </c>
      <c r="E587" s="36" t="s">
        <v>33</v>
      </c>
      <c r="F587" s="37" t="s">
        <v>1200</v>
      </c>
      <c r="G587" s="34" t="s">
        <v>33</v>
      </c>
      <c r="H587" s="34" t="s">
        <v>33</v>
      </c>
      <c r="I587" s="35"/>
      <c r="J587" s="35"/>
    </row>
    <row r="588">
      <c r="A588" s="32" t="s">
        <v>1201</v>
      </c>
      <c r="B588" s="32" t="s">
        <v>109</v>
      </c>
      <c r="C588" s="36" t="s">
        <v>1040</v>
      </c>
      <c r="D588" s="36" t="s">
        <v>156</v>
      </c>
      <c r="E588" s="36" t="s">
        <v>131</v>
      </c>
      <c r="F588" s="37" t="s">
        <v>640</v>
      </c>
      <c r="G588" s="37" t="s">
        <v>175</v>
      </c>
      <c r="H588" s="37" t="s">
        <v>1202</v>
      </c>
      <c r="I588" s="35"/>
      <c r="J588" s="35"/>
    </row>
    <row r="589">
      <c r="A589" s="32" t="s">
        <v>1203</v>
      </c>
      <c r="B589" s="32" t="s">
        <v>73</v>
      </c>
      <c r="C589" s="36" t="s">
        <v>754</v>
      </c>
      <c r="D589" s="36" t="s">
        <v>114</v>
      </c>
      <c r="E589" s="36" t="s">
        <v>152</v>
      </c>
      <c r="F589" s="37" t="s">
        <v>665</v>
      </c>
      <c r="G589" s="37" t="s">
        <v>614</v>
      </c>
      <c r="H589" s="37" t="s">
        <v>359</v>
      </c>
      <c r="I589" s="35"/>
      <c r="J589" s="35"/>
    </row>
    <row r="590">
      <c r="A590" s="32" t="s">
        <v>1204</v>
      </c>
      <c r="B590" s="32" t="s">
        <v>38</v>
      </c>
      <c r="C590" s="36" t="s">
        <v>754</v>
      </c>
      <c r="D590" s="36" t="s">
        <v>302</v>
      </c>
      <c r="E590" s="36" t="s">
        <v>33</v>
      </c>
      <c r="F590" s="37" t="s">
        <v>1205</v>
      </c>
      <c r="G590" s="37" t="s">
        <v>1206</v>
      </c>
      <c r="H590" s="34" t="s">
        <v>33</v>
      </c>
      <c r="I590" s="35"/>
      <c r="J590" s="35"/>
    </row>
    <row r="591">
      <c r="A591" s="32" t="s">
        <v>1207</v>
      </c>
      <c r="B591" s="32" t="s">
        <v>45</v>
      </c>
      <c r="C591" s="36" t="s">
        <v>754</v>
      </c>
      <c r="D591" s="36" t="s">
        <v>105</v>
      </c>
      <c r="E591" s="36" t="s">
        <v>718</v>
      </c>
      <c r="F591" s="37" t="s">
        <v>1208</v>
      </c>
      <c r="G591" s="37" t="s">
        <v>1209</v>
      </c>
      <c r="H591" s="37" t="s">
        <v>455</v>
      </c>
      <c r="I591" s="35"/>
      <c r="J591" s="35"/>
    </row>
    <row r="592">
      <c r="A592" s="32" t="s">
        <v>1210</v>
      </c>
      <c r="B592" s="32" t="s">
        <v>45</v>
      </c>
      <c r="C592" s="36" t="s">
        <v>754</v>
      </c>
      <c r="D592" s="36" t="s">
        <v>385</v>
      </c>
      <c r="E592" s="36" t="s">
        <v>33</v>
      </c>
      <c r="F592" s="37" t="s">
        <v>1004</v>
      </c>
      <c r="G592" s="37" t="s">
        <v>1211</v>
      </c>
      <c r="H592" s="34" t="s">
        <v>33</v>
      </c>
      <c r="I592" s="35"/>
      <c r="J592" s="35"/>
    </row>
    <row r="593">
      <c r="A593" s="32" t="s">
        <v>1212</v>
      </c>
      <c r="B593" s="32" t="s">
        <v>45</v>
      </c>
      <c r="C593" s="36" t="s">
        <v>754</v>
      </c>
      <c r="D593" s="36" t="s">
        <v>33</v>
      </c>
      <c r="E593" s="36" t="s">
        <v>33</v>
      </c>
      <c r="F593" s="37" t="s">
        <v>825</v>
      </c>
      <c r="G593" s="34" t="s">
        <v>33</v>
      </c>
      <c r="H593" s="34" t="s">
        <v>33</v>
      </c>
      <c r="I593" s="35"/>
      <c r="J593" s="35"/>
    </row>
    <row r="594">
      <c r="A594" s="32" t="s">
        <v>1213</v>
      </c>
      <c r="B594" s="32" t="s">
        <v>45</v>
      </c>
      <c r="C594" s="36" t="s">
        <v>754</v>
      </c>
      <c r="D594" s="36" t="s">
        <v>322</v>
      </c>
      <c r="E594" s="36" t="s">
        <v>152</v>
      </c>
      <c r="F594" s="37" t="s">
        <v>1075</v>
      </c>
      <c r="G594" s="37" t="s">
        <v>1116</v>
      </c>
      <c r="H594" s="37" t="s">
        <v>455</v>
      </c>
      <c r="I594" s="35"/>
      <c r="J594" s="35"/>
    </row>
    <row r="595">
      <c r="A595" s="32" t="s">
        <v>1214</v>
      </c>
      <c r="B595" s="32" t="s">
        <v>57</v>
      </c>
      <c r="C595" s="36" t="s">
        <v>754</v>
      </c>
      <c r="D595" s="36" t="s">
        <v>33</v>
      </c>
      <c r="E595" s="36" t="s">
        <v>1215</v>
      </c>
      <c r="F595" s="37" t="s">
        <v>703</v>
      </c>
      <c r="G595" s="34" t="s">
        <v>33</v>
      </c>
      <c r="H595" s="37" t="s">
        <v>1025</v>
      </c>
      <c r="I595" s="35"/>
      <c r="J595" s="35"/>
    </row>
    <row r="596">
      <c r="A596" s="32" t="s">
        <v>1216</v>
      </c>
      <c r="B596" s="32" t="s">
        <v>1217</v>
      </c>
      <c r="C596" s="36" t="s">
        <v>107</v>
      </c>
      <c r="D596" s="36" t="s">
        <v>851</v>
      </c>
      <c r="E596" s="36" t="s">
        <v>33</v>
      </c>
      <c r="F596" s="37" t="s">
        <v>1218</v>
      </c>
      <c r="G596" s="37" t="s">
        <v>1219</v>
      </c>
      <c r="H596" s="34" t="s">
        <v>33</v>
      </c>
      <c r="I596" s="35"/>
      <c r="J596" s="35"/>
    </row>
    <row r="597">
      <c r="A597" s="32" t="s">
        <v>1220</v>
      </c>
      <c r="B597" s="32" t="s">
        <v>212</v>
      </c>
      <c r="C597" s="36" t="s">
        <v>107</v>
      </c>
      <c r="D597" s="36" t="s">
        <v>33</v>
      </c>
      <c r="E597" s="36" t="s">
        <v>201</v>
      </c>
      <c r="F597" s="37" t="s">
        <v>622</v>
      </c>
      <c r="G597" s="34" t="s">
        <v>33</v>
      </c>
      <c r="H597" s="37" t="s">
        <v>770</v>
      </c>
      <c r="I597" s="35"/>
      <c r="J597" s="35"/>
    </row>
    <row r="598">
      <c r="A598" s="32" t="s">
        <v>1221</v>
      </c>
      <c r="B598" s="32" t="s">
        <v>57</v>
      </c>
      <c r="C598" s="36" t="s">
        <v>107</v>
      </c>
      <c r="D598" s="36" t="s">
        <v>179</v>
      </c>
      <c r="E598" s="36" t="s">
        <v>718</v>
      </c>
      <c r="F598" s="37" t="s">
        <v>1222</v>
      </c>
      <c r="G598" s="37" t="s">
        <v>1223</v>
      </c>
      <c r="H598" s="37" t="s">
        <v>1224</v>
      </c>
      <c r="I598" s="35"/>
      <c r="J598" s="35"/>
    </row>
    <row r="599">
      <c r="A599" s="32" t="s">
        <v>1225</v>
      </c>
      <c r="B599" s="32" t="s">
        <v>1047</v>
      </c>
      <c r="C599" s="36" t="s">
        <v>141</v>
      </c>
      <c r="D599" s="36" t="s">
        <v>466</v>
      </c>
      <c r="E599" s="36" t="s">
        <v>33</v>
      </c>
      <c r="F599" s="37" t="s">
        <v>529</v>
      </c>
      <c r="G599" s="37" t="s">
        <v>43</v>
      </c>
      <c r="H599" s="34" t="s">
        <v>33</v>
      </c>
      <c r="I599" s="35"/>
      <c r="J599" s="35"/>
    </row>
    <row r="600">
      <c r="A600" s="32" t="s">
        <v>1226</v>
      </c>
      <c r="B600" s="32" t="s">
        <v>109</v>
      </c>
      <c r="C600" s="36" t="s">
        <v>141</v>
      </c>
      <c r="D600" s="36" t="s">
        <v>33</v>
      </c>
      <c r="E600" s="36" t="s">
        <v>33</v>
      </c>
      <c r="F600" s="37" t="s">
        <v>1227</v>
      </c>
      <c r="G600" s="34" t="s">
        <v>33</v>
      </c>
      <c r="H600" s="34" t="s">
        <v>33</v>
      </c>
      <c r="I600" s="35"/>
      <c r="J600" s="35"/>
    </row>
    <row r="601">
      <c r="A601" s="32" t="s">
        <v>1228</v>
      </c>
      <c r="B601" s="32" t="s">
        <v>62</v>
      </c>
      <c r="C601" s="36" t="s">
        <v>141</v>
      </c>
      <c r="D601" s="36" t="s">
        <v>67</v>
      </c>
      <c r="E601" s="36" t="s">
        <v>33</v>
      </c>
      <c r="F601" s="37" t="s">
        <v>921</v>
      </c>
      <c r="G601" s="37" t="s">
        <v>1229</v>
      </c>
      <c r="H601" s="34" t="s">
        <v>33</v>
      </c>
      <c r="I601" s="35"/>
      <c r="J601" s="35"/>
    </row>
    <row r="602">
      <c r="A602" s="32" t="s">
        <v>1230</v>
      </c>
      <c r="B602" s="32" t="s">
        <v>62</v>
      </c>
      <c r="C602" s="36" t="s">
        <v>141</v>
      </c>
      <c r="D602" s="36" t="s">
        <v>365</v>
      </c>
      <c r="E602" s="36" t="s">
        <v>179</v>
      </c>
      <c r="F602" s="37" t="s">
        <v>1231</v>
      </c>
      <c r="G602" s="37" t="s">
        <v>818</v>
      </c>
      <c r="H602" s="37" t="s">
        <v>819</v>
      </c>
      <c r="I602" s="35"/>
      <c r="J602" s="35"/>
    </row>
    <row r="603">
      <c r="A603" s="32" t="s">
        <v>1232</v>
      </c>
      <c r="B603" s="32" t="s">
        <v>154</v>
      </c>
      <c r="C603" s="36" t="s">
        <v>599</v>
      </c>
      <c r="D603" s="36" t="s">
        <v>146</v>
      </c>
      <c r="E603" s="36" t="s">
        <v>33</v>
      </c>
      <c r="F603" s="37" t="s">
        <v>825</v>
      </c>
      <c r="G603" s="37" t="s">
        <v>1233</v>
      </c>
      <c r="H603" s="34" t="s">
        <v>33</v>
      </c>
      <c r="I603" s="35"/>
      <c r="J603" s="35"/>
    </row>
    <row r="604">
      <c r="A604" s="32" t="s">
        <v>1234</v>
      </c>
      <c r="B604" s="32" t="s">
        <v>38</v>
      </c>
      <c r="C604" s="36" t="s">
        <v>599</v>
      </c>
      <c r="D604" s="36" t="s">
        <v>799</v>
      </c>
      <c r="E604" s="36" t="s">
        <v>33</v>
      </c>
      <c r="F604" s="37" t="s">
        <v>1235</v>
      </c>
      <c r="G604" s="37" t="s">
        <v>1236</v>
      </c>
      <c r="H604" s="34" t="s">
        <v>33</v>
      </c>
      <c r="I604" s="35"/>
      <c r="J604" s="35"/>
    </row>
    <row r="605">
      <c r="A605" s="32" t="s">
        <v>1237</v>
      </c>
      <c r="B605" s="32" t="s">
        <v>73</v>
      </c>
      <c r="C605" s="36" t="s">
        <v>96</v>
      </c>
      <c r="D605" s="36" t="s">
        <v>49</v>
      </c>
      <c r="E605" s="36" t="s">
        <v>33</v>
      </c>
      <c r="F605" s="37" t="s">
        <v>825</v>
      </c>
      <c r="G605" s="37" t="s">
        <v>1233</v>
      </c>
      <c r="H605" s="34" t="s">
        <v>33</v>
      </c>
      <c r="I605" s="35"/>
      <c r="J605" s="35"/>
    </row>
    <row r="606">
      <c r="A606" s="32" t="s">
        <v>1238</v>
      </c>
      <c r="B606" s="32" t="s">
        <v>38</v>
      </c>
      <c r="C606" s="36" t="s">
        <v>96</v>
      </c>
      <c r="D606" s="36" t="s">
        <v>266</v>
      </c>
      <c r="E606" s="36" t="s">
        <v>33</v>
      </c>
      <c r="F606" s="37" t="s">
        <v>825</v>
      </c>
      <c r="G606" s="37" t="s">
        <v>1233</v>
      </c>
      <c r="H606" s="34" t="s">
        <v>33</v>
      </c>
      <c r="I606" s="35"/>
      <c r="J606" s="35"/>
    </row>
    <row r="607">
      <c r="A607" s="32" t="s">
        <v>1239</v>
      </c>
      <c r="B607" s="32" t="s">
        <v>24</v>
      </c>
      <c r="C607" s="36" t="s">
        <v>1240</v>
      </c>
      <c r="D607" s="36" t="s">
        <v>67</v>
      </c>
      <c r="E607" s="36" t="s">
        <v>140</v>
      </c>
      <c r="F607" s="37" t="s">
        <v>489</v>
      </c>
      <c r="G607" s="37" t="s">
        <v>755</v>
      </c>
      <c r="H607" s="37" t="s">
        <v>491</v>
      </c>
      <c r="I607" s="35"/>
      <c r="J607" s="35"/>
    </row>
    <row r="608">
      <c r="A608" s="32" t="s">
        <v>1241</v>
      </c>
      <c r="B608" s="32" t="s">
        <v>24</v>
      </c>
      <c r="C608" s="36" t="s">
        <v>1240</v>
      </c>
      <c r="D608" s="36" t="s">
        <v>1040</v>
      </c>
      <c r="E608" s="36" t="s">
        <v>33</v>
      </c>
      <c r="F608" s="37" t="s">
        <v>1242</v>
      </c>
      <c r="G608" s="37" t="s">
        <v>1243</v>
      </c>
      <c r="H608" s="34" t="s">
        <v>33</v>
      </c>
      <c r="I608" s="35"/>
      <c r="J608" s="35"/>
    </row>
    <row r="609">
      <c r="A609" s="32" t="s">
        <v>1244</v>
      </c>
      <c r="B609" s="32" t="s">
        <v>45</v>
      </c>
      <c r="C609" s="36" t="s">
        <v>1240</v>
      </c>
      <c r="D609" s="36" t="s">
        <v>105</v>
      </c>
      <c r="E609" s="36" t="s">
        <v>33</v>
      </c>
      <c r="F609" s="37" t="s">
        <v>779</v>
      </c>
      <c r="G609" s="37" t="s">
        <v>678</v>
      </c>
      <c r="H609" s="34" t="s">
        <v>33</v>
      </c>
      <c r="I609" s="35"/>
      <c r="J609" s="35"/>
    </row>
    <row r="610">
      <c r="A610" s="32" t="s">
        <v>1245</v>
      </c>
      <c r="B610" s="32" t="s">
        <v>1246</v>
      </c>
      <c r="C610" s="36" t="s">
        <v>1215</v>
      </c>
      <c r="D610" s="36" t="s">
        <v>1240</v>
      </c>
      <c r="E610" s="36" t="s">
        <v>369</v>
      </c>
      <c r="F610" s="37" t="s">
        <v>394</v>
      </c>
      <c r="G610" s="37" t="s">
        <v>968</v>
      </c>
      <c r="H610" s="37" t="s">
        <v>395</v>
      </c>
      <c r="I610" s="35"/>
      <c r="J610" s="35"/>
    </row>
    <row r="611">
      <c r="A611" s="32" t="s">
        <v>1247</v>
      </c>
      <c r="B611" s="32" t="s">
        <v>32</v>
      </c>
      <c r="C611" s="36" t="s">
        <v>1215</v>
      </c>
      <c r="D611" s="36" t="s">
        <v>33</v>
      </c>
      <c r="E611" s="36" t="s">
        <v>49</v>
      </c>
      <c r="F611" s="37" t="s">
        <v>1086</v>
      </c>
      <c r="G611" s="34" t="s">
        <v>33</v>
      </c>
      <c r="H611" s="37" t="s">
        <v>303</v>
      </c>
      <c r="I611" s="35"/>
      <c r="J611" s="35"/>
    </row>
    <row r="612">
      <c r="A612" s="32" t="s">
        <v>1248</v>
      </c>
      <c r="B612" s="32" t="s">
        <v>45</v>
      </c>
      <c r="C612" s="36" t="s">
        <v>302</v>
      </c>
      <c r="D612" s="36" t="s">
        <v>33</v>
      </c>
      <c r="E612" s="36" t="s">
        <v>33</v>
      </c>
      <c r="F612" s="37" t="s">
        <v>215</v>
      </c>
      <c r="G612" s="34" t="s">
        <v>33</v>
      </c>
      <c r="H612" s="34" t="s">
        <v>33</v>
      </c>
      <c r="I612" s="35"/>
      <c r="J612" s="35"/>
    </row>
    <row r="613">
      <c r="A613" s="32" t="s">
        <v>1249</v>
      </c>
      <c r="B613" s="32" t="s">
        <v>45</v>
      </c>
      <c r="C613" s="36" t="s">
        <v>302</v>
      </c>
      <c r="D613" s="36" t="s">
        <v>33</v>
      </c>
      <c r="E613" s="36" t="s">
        <v>33</v>
      </c>
      <c r="F613" s="37" t="s">
        <v>88</v>
      </c>
      <c r="G613" s="34" t="s">
        <v>33</v>
      </c>
      <c r="H613" s="34" t="s">
        <v>33</v>
      </c>
      <c r="I613" s="35"/>
      <c r="J613" s="35"/>
    </row>
    <row r="614">
      <c r="A614" s="32" t="s">
        <v>1250</v>
      </c>
      <c r="B614" s="32" t="s">
        <v>57</v>
      </c>
      <c r="C614" s="36" t="s">
        <v>302</v>
      </c>
      <c r="D614" s="36" t="s">
        <v>33</v>
      </c>
      <c r="E614" s="36" t="s">
        <v>33</v>
      </c>
      <c r="F614" s="37" t="s">
        <v>1251</v>
      </c>
      <c r="G614" s="34" t="s">
        <v>33</v>
      </c>
      <c r="H614" s="34" t="s">
        <v>33</v>
      </c>
      <c r="I614" s="35"/>
      <c r="J614" s="35"/>
    </row>
    <row r="615">
      <c r="A615" s="32" t="s">
        <v>1252</v>
      </c>
      <c r="B615" s="32" t="s">
        <v>109</v>
      </c>
      <c r="C615" s="36" t="s">
        <v>302</v>
      </c>
      <c r="D615" s="36" t="s">
        <v>81</v>
      </c>
      <c r="E615" s="36" t="s">
        <v>33</v>
      </c>
      <c r="F615" s="37" t="s">
        <v>698</v>
      </c>
      <c r="G615" s="37" t="s">
        <v>47</v>
      </c>
      <c r="H615" s="34" t="s">
        <v>33</v>
      </c>
      <c r="I615" s="35"/>
      <c r="J615" s="35"/>
    </row>
    <row r="616">
      <c r="A616" s="32" t="s">
        <v>1253</v>
      </c>
      <c r="B616" s="32" t="s">
        <v>62</v>
      </c>
      <c r="C616" s="36" t="s">
        <v>302</v>
      </c>
      <c r="D616" s="36" t="s">
        <v>33</v>
      </c>
      <c r="E616" s="36" t="s">
        <v>33</v>
      </c>
      <c r="F616" s="37" t="s">
        <v>787</v>
      </c>
      <c r="G616" s="34" t="s">
        <v>33</v>
      </c>
      <c r="H616" s="34" t="s">
        <v>33</v>
      </c>
      <c r="I616" s="35"/>
      <c r="J616" s="35"/>
    </row>
    <row r="617">
      <c r="A617" s="32" t="s">
        <v>1254</v>
      </c>
      <c r="B617" s="32" t="s">
        <v>212</v>
      </c>
      <c r="C617" s="36" t="s">
        <v>284</v>
      </c>
      <c r="D617" s="36" t="s">
        <v>187</v>
      </c>
      <c r="E617" s="36" t="s">
        <v>33</v>
      </c>
      <c r="F617" s="37" t="s">
        <v>69</v>
      </c>
      <c r="G617" s="37" t="s">
        <v>70</v>
      </c>
      <c r="H617" s="34" t="s">
        <v>33</v>
      </c>
      <c r="I617" s="35"/>
      <c r="J617" s="35"/>
    </row>
    <row r="618">
      <c r="A618" s="32" t="s">
        <v>1255</v>
      </c>
      <c r="B618" s="32" t="s">
        <v>109</v>
      </c>
      <c r="C618" s="36" t="s">
        <v>284</v>
      </c>
      <c r="D618" s="36" t="s">
        <v>371</v>
      </c>
      <c r="E618" s="36" t="s">
        <v>66</v>
      </c>
      <c r="F618" s="37" t="s">
        <v>1115</v>
      </c>
      <c r="G618" s="37" t="s">
        <v>454</v>
      </c>
      <c r="H618" s="37" t="s">
        <v>455</v>
      </c>
      <c r="I618" s="35"/>
      <c r="J618" s="35"/>
    </row>
    <row r="619">
      <c r="A619" s="32" t="s">
        <v>1256</v>
      </c>
      <c r="B619" s="32" t="s">
        <v>109</v>
      </c>
      <c r="C619" s="36" t="s">
        <v>851</v>
      </c>
      <c r="D619" s="36" t="s">
        <v>33</v>
      </c>
      <c r="E619" s="36" t="s">
        <v>33</v>
      </c>
      <c r="F619" s="37" t="s">
        <v>934</v>
      </c>
      <c r="G619" s="34" t="s">
        <v>33</v>
      </c>
      <c r="H619" s="34" t="s">
        <v>33</v>
      </c>
      <c r="I619" s="35"/>
      <c r="J619" s="35"/>
    </row>
    <row r="620">
      <c r="A620" s="32" t="s">
        <v>1257</v>
      </c>
      <c r="B620" s="32" t="s">
        <v>62</v>
      </c>
      <c r="C620" s="36" t="s">
        <v>851</v>
      </c>
      <c r="D620" s="36" t="s">
        <v>33</v>
      </c>
      <c r="E620" s="36" t="s">
        <v>41</v>
      </c>
      <c r="F620" s="37" t="s">
        <v>54</v>
      </c>
      <c r="G620" s="34" t="s">
        <v>33</v>
      </c>
      <c r="H620" s="37" t="s">
        <v>1258</v>
      </c>
      <c r="I620" s="35"/>
      <c r="J620" s="35"/>
    </row>
    <row r="621">
      <c r="A621" s="32" t="s">
        <v>1259</v>
      </c>
      <c r="B621" s="32" t="s">
        <v>62</v>
      </c>
      <c r="C621" s="36" t="s">
        <v>870</v>
      </c>
      <c r="D621" s="36" t="s">
        <v>33</v>
      </c>
      <c r="E621" s="36" t="s">
        <v>33</v>
      </c>
      <c r="F621" s="37" t="s">
        <v>462</v>
      </c>
      <c r="G621" s="34" t="s">
        <v>33</v>
      </c>
      <c r="H621" s="34" t="s">
        <v>33</v>
      </c>
      <c r="I621" s="35"/>
      <c r="J621" s="35"/>
    </row>
    <row r="622">
      <c r="A622" s="32" t="s">
        <v>1260</v>
      </c>
      <c r="B622" s="32" t="s">
        <v>62</v>
      </c>
      <c r="C622" s="36" t="s">
        <v>476</v>
      </c>
      <c r="D622" s="36" t="s">
        <v>399</v>
      </c>
      <c r="E622" s="36" t="s">
        <v>156</v>
      </c>
      <c r="F622" s="37" t="s">
        <v>1261</v>
      </c>
      <c r="G622" s="37" t="s">
        <v>1262</v>
      </c>
      <c r="H622" s="37" t="s">
        <v>1263</v>
      </c>
      <c r="I622" s="35"/>
      <c r="J622" s="35"/>
    </row>
    <row r="623">
      <c r="A623" s="32" t="s">
        <v>1264</v>
      </c>
      <c r="B623" s="32" t="s">
        <v>57</v>
      </c>
      <c r="C623" s="36" t="s">
        <v>591</v>
      </c>
      <c r="D623" s="36" t="s">
        <v>122</v>
      </c>
      <c r="E623" s="36" t="s">
        <v>255</v>
      </c>
      <c r="F623" s="37" t="s">
        <v>1115</v>
      </c>
      <c r="G623" s="37" t="s">
        <v>454</v>
      </c>
      <c r="H623" s="37" t="s">
        <v>455</v>
      </c>
      <c r="I623" s="35"/>
      <c r="J623" s="35"/>
    </row>
    <row r="624">
      <c r="A624" s="32" t="s">
        <v>1265</v>
      </c>
      <c r="B624" s="32" t="s">
        <v>73</v>
      </c>
      <c r="C624" s="36" t="s">
        <v>131</v>
      </c>
      <c r="D624" s="36" t="s">
        <v>33</v>
      </c>
      <c r="E624" s="36" t="s">
        <v>33</v>
      </c>
      <c r="F624" s="37" t="s">
        <v>215</v>
      </c>
      <c r="G624" s="34" t="s">
        <v>33</v>
      </c>
      <c r="H624" s="34" t="s">
        <v>33</v>
      </c>
      <c r="I624" s="35"/>
      <c r="J624" s="35"/>
    </row>
    <row r="625">
      <c r="A625" s="32" t="s">
        <v>1266</v>
      </c>
      <c r="B625" s="32" t="s">
        <v>38</v>
      </c>
      <c r="C625" s="36" t="s">
        <v>131</v>
      </c>
      <c r="D625" s="36" t="s">
        <v>33</v>
      </c>
      <c r="E625" s="36" t="s">
        <v>33</v>
      </c>
      <c r="F625" s="37" t="s">
        <v>622</v>
      </c>
      <c r="G625" s="34" t="s">
        <v>33</v>
      </c>
      <c r="H625" s="34" t="s">
        <v>33</v>
      </c>
      <c r="I625" s="35"/>
      <c r="J625" s="35"/>
    </row>
    <row r="626">
      <c r="A626" s="32" t="s">
        <v>1267</v>
      </c>
      <c r="B626" s="32" t="s">
        <v>57</v>
      </c>
      <c r="C626" s="36" t="s">
        <v>131</v>
      </c>
      <c r="D626" s="36" t="s">
        <v>33</v>
      </c>
      <c r="E626" s="36" t="s">
        <v>33</v>
      </c>
      <c r="F626" s="37" t="s">
        <v>1268</v>
      </c>
      <c r="G626" s="34" t="s">
        <v>33</v>
      </c>
      <c r="H626" s="34" t="s">
        <v>33</v>
      </c>
      <c r="I626" s="35"/>
      <c r="J626" s="35"/>
    </row>
    <row r="627">
      <c r="A627" s="32" t="s">
        <v>1269</v>
      </c>
      <c r="B627" s="32" t="s">
        <v>45</v>
      </c>
      <c r="C627" s="36" t="s">
        <v>799</v>
      </c>
      <c r="D627" s="36" t="s">
        <v>442</v>
      </c>
      <c r="E627" s="36" t="s">
        <v>173</v>
      </c>
      <c r="F627" s="37" t="s">
        <v>768</v>
      </c>
      <c r="G627" s="37" t="s">
        <v>1270</v>
      </c>
      <c r="H627" s="37" t="s">
        <v>1271</v>
      </c>
      <c r="I627" s="35"/>
      <c r="J627" s="35"/>
    </row>
    <row r="628">
      <c r="A628" s="32" t="s">
        <v>1272</v>
      </c>
      <c r="B628" s="32" t="s">
        <v>57</v>
      </c>
      <c r="C628" s="36" t="s">
        <v>799</v>
      </c>
      <c r="D628" s="36" t="s">
        <v>33</v>
      </c>
      <c r="E628" s="36" t="s">
        <v>33</v>
      </c>
      <c r="F628" s="37" t="s">
        <v>1273</v>
      </c>
      <c r="G628" s="34" t="s">
        <v>33</v>
      </c>
      <c r="H628" s="34" t="s">
        <v>33</v>
      </c>
      <c r="I628" s="35"/>
      <c r="J628" s="35"/>
    </row>
    <row r="629">
      <c r="A629" s="32" t="s">
        <v>1274</v>
      </c>
      <c r="B629" s="32" t="s">
        <v>62</v>
      </c>
      <c r="C629" s="36" t="s">
        <v>799</v>
      </c>
      <c r="D629" s="36" t="s">
        <v>442</v>
      </c>
      <c r="E629" s="36" t="s">
        <v>223</v>
      </c>
      <c r="F629" s="37" t="s">
        <v>640</v>
      </c>
      <c r="G629" s="37" t="s">
        <v>175</v>
      </c>
      <c r="H629" s="37" t="s">
        <v>176</v>
      </c>
      <c r="I629" s="35"/>
      <c r="J629" s="35"/>
    </row>
    <row r="630">
      <c r="A630" s="32" t="s">
        <v>1275</v>
      </c>
      <c r="B630" s="32" t="s">
        <v>154</v>
      </c>
      <c r="C630" s="36" t="s">
        <v>645</v>
      </c>
      <c r="D630" s="36" t="s">
        <v>33</v>
      </c>
      <c r="E630" s="36" t="s">
        <v>33</v>
      </c>
      <c r="F630" s="37" t="s">
        <v>1276</v>
      </c>
      <c r="G630" s="34" t="s">
        <v>33</v>
      </c>
      <c r="H630" s="34" t="s">
        <v>33</v>
      </c>
      <c r="I630" s="35"/>
      <c r="J630" s="35"/>
    </row>
    <row r="631">
      <c r="A631" s="32" t="s">
        <v>1277</v>
      </c>
      <c r="B631" s="32" t="s">
        <v>38</v>
      </c>
      <c r="C631" s="36" t="s">
        <v>645</v>
      </c>
      <c r="D631" s="36" t="s">
        <v>122</v>
      </c>
      <c r="E631" s="36" t="s">
        <v>33</v>
      </c>
      <c r="F631" s="37" t="s">
        <v>779</v>
      </c>
      <c r="G631" s="37" t="s">
        <v>678</v>
      </c>
      <c r="H631" s="34" t="s">
        <v>33</v>
      </c>
      <c r="I631" s="35"/>
      <c r="J631" s="35"/>
    </row>
    <row r="632">
      <c r="A632" s="32" t="s">
        <v>1278</v>
      </c>
      <c r="B632" s="32" t="s">
        <v>109</v>
      </c>
      <c r="C632" s="36" t="s">
        <v>645</v>
      </c>
      <c r="D632" s="36" t="s">
        <v>26</v>
      </c>
      <c r="E632" s="36" t="s">
        <v>799</v>
      </c>
      <c r="F632" s="37" t="s">
        <v>1279</v>
      </c>
      <c r="G632" s="37" t="s">
        <v>481</v>
      </c>
      <c r="H632" s="37" t="s">
        <v>1280</v>
      </c>
      <c r="I632" s="35"/>
      <c r="J632" s="35"/>
    </row>
    <row r="633">
      <c r="A633" s="32" t="s">
        <v>1281</v>
      </c>
      <c r="B633" s="32" t="s">
        <v>151</v>
      </c>
      <c r="C633" s="36" t="s">
        <v>213</v>
      </c>
      <c r="D633" s="36" t="s">
        <v>33</v>
      </c>
      <c r="E633" s="36" t="s">
        <v>33</v>
      </c>
      <c r="F633" s="37" t="s">
        <v>1282</v>
      </c>
      <c r="G633" s="34" t="s">
        <v>33</v>
      </c>
      <c r="H633" s="34" t="s">
        <v>33</v>
      </c>
      <c r="I633" s="35"/>
      <c r="J633" s="35"/>
    </row>
    <row r="634">
      <c r="A634" s="32" t="s">
        <v>1283</v>
      </c>
      <c r="B634" s="32" t="s">
        <v>45</v>
      </c>
      <c r="C634" s="36" t="s">
        <v>213</v>
      </c>
      <c r="D634" s="36" t="s">
        <v>33</v>
      </c>
      <c r="E634" s="36" t="s">
        <v>33</v>
      </c>
      <c r="F634" s="37" t="s">
        <v>1284</v>
      </c>
      <c r="G634" s="34" t="s">
        <v>33</v>
      </c>
      <c r="H634" s="34" t="s">
        <v>33</v>
      </c>
      <c r="I634" s="35"/>
      <c r="J634" s="35"/>
    </row>
    <row r="635">
      <c r="A635" s="32" t="s">
        <v>1285</v>
      </c>
      <c r="B635" s="32" t="s">
        <v>45</v>
      </c>
      <c r="C635" s="36" t="s">
        <v>213</v>
      </c>
      <c r="D635" s="36" t="s">
        <v>799</v>
      </c>
      <c r="E635" s="36" t="s">
        <v>33</v>
      </c>
      <c r="F635" s="37" t="s">
        <v>1284</v>
      </c>
      <c r="G635" s="37" t="s">
        <v>400</v>
      </c>
      <c r="H635" s="34" t="s">
        <v>33</v>
      </c>
      <c r="I635" s="35"/>
      <c r="J635" s="35"/>
    </row>
    <row r="636">
      <c r="A636" s="32" t="s">
        <v>1286</v>
      </c>
      <c r="B636" s="32" t="s">
        <v>62</v>
      </c>
      <c r="C636" s="36" t="s">
        <v>213</v>
      </c>
      <c r="D636" s="36" t="s">
        <v>33</v>
      </c>
      <c r="E636" s="36" t="s">
        <v>33</v>
      </c>
      <c r="F636" s="37" t="s">
        <v>1287</v>
      </c>
      <c r="G636" s="34" t="s">
        <v>33</v>
      </c>
      <c r="H636" s="34" t="s">
        <v>33</v>
      </c>
      <c r="I636" s="35"/>
      <c r="J636" s="35"/>
    </row>
    <row r="637">
      <c r="A637" s="32" t="s">
        <v>1288</v>
      </c>
      <c r="B637" s="32" t="s">
        <v>38</v>
      </c>
      <c r="C637" s="36" t="s">
        <v>206</v>
      </c>
      <c r="D637" s="36" t="s">
        <v>178</v>
      </c>
      <c r="E637" s="36" t="s">
        <v>128</v>
      </c>
      <c r="F637" s="37" t="s">
        <v>1043</v>
      </c>
      <c r="G637" s="37" t="s">
        <v>968</v>
      </c>
      <c r="H637" s="37" t="s">
        <v>969</v>
      </c>
      <c r="I637" s="35"/>
      <c r="J637" s="35"/>
    </row>
    <row r="638">
      <c r="A638" s="32" t="s">
        <v>1289</v>
      </c>
      <c r="B638" s="32" t="s">
        <v>45</v>
      </c>
      <c r="C638" s="36" t="s">
        <v>206</v>
      </c>
      <c r="D638" s="36" t="s">
        <v>157</v>
      </c>
      <c r="E638" s="36" t="s">
        <v>33</v>
      </c>
      <c r="F638" s="37" t="s">
        <v>1290</v>
      </c>
      <c r="G638" s="37" t="s">
        <v>1291</v>
      </c>
      <c r="H638" s="34" t="s">
        <v>33</v>
      </c>
      <c r="I638" s="35"/>
      <c r="J638" s="35"/>
    </row>
    <row r="639">
      <c r="A639" s="32" t="s">
        <v>1292</v>
      </c>
      <c r="B639" s="32" t="s">
        <v>73</v>
      </c>
      <c r="C639" s="36" t="s">
        <v>1293</v>
      </c>
      <c r="D639" s="36" t="s">
        <v>33</v>
      </c>
      <c r="E639" s="36" t="s">
        <v>33</v>
      </c>
      <c r="F639" s="37" t="s">
        <v>215</v>
      </c>
      <c r="G639" s="34" t="s">
        <v>33</v>
      </c>
      <c r="H639" s="34" t="s">
        <v>33</v>
      </c>
      <c r="I639" s="35"/>
      <c r="J639" s="35"/>
    </row>
    <row r="640">
      <c r="A640" s="32" t="s">
        <v>1294</v>
      </c>
      <c r="B640" s="32" t="s">
        <v>38</v>
      </c>
      <c r="C640" s="36" t="s">
        <v>1293</v>
      </c>
      <c r="D640" s="36" t="s">
        <v>33</v>
      </c>
      <c r="E640" s="36" t="s">
        <v>33</v>
      </c>
      <c r="F640" s="37" t="s">
        <v>1287</v>
      </c>
      <c r="G640" s="34" t="s">
        <v>33</v>
      </c>
      <c r="H640" s="34" t="s">
        <v>33</v>
      </c>
      <c r="I640" s="35"/>
      <c r="J640" s="35"/>
    </row>
    <row r="641">
      <c r="A641" s="32" t="s">
        <v>1295</v>
      </c>
      <c r="B641" s="32" t="s">
        <v>38</v>
      </c>
      <c r="C641" s="36" t="s">
        <v>1293</v>
      </c>
      <c r="D641" s="36" t="s">
        <v>33</v>
      </c>
      <c r="E641" s="36" t="s">
        <v>33</v>
      </c>
      <c r="F641" s="37" t="s">
        <v>1282</v>
      </c>
      <c r="G641" s="34" t="s">
        <v>33</v>
      </c>
      <c r="H641" s="34" t="s">
        <v>33</v>
      </c>
      <c r="I641" s="35"/>
      <c r="J641" s="35"/>
    </row>
    <row r="642">
      <c r="A642" s="32" t="s">
        <v>1296</v>
      </c>
      <c r="B642" s="32" t="s">
        <v>62</v>
      </c>
      <c r="C642" s="36" t="s">
        <v>1293</v>
      </c>
      <c r="D642" s="36" t="s">
        <v>128</v>
      </c>
      <c r="E642" s="36" t="s">
        <v>127</v>
      </c>
      <c r="F642" s="37" t="s">
        <v>489</v>
      </c>
      <c r="G642" s="37" t="s">
        <v>755</v>
      </c>
      <c r="H642" s="37" t="s">
        <v>756</v>
      </c>
      <c r="I642" s="35"/>
      <c r="J642" s="35"/>
    </row>
    <row r="643">
      <c r="A643" s="32" t="s">
        <v>1297</v>
      </c>
      <c r="B643" s="32" t="s">
        <v>62</v>
      </c>
      <c r="C643" s="36" t="s">
        <v>1298</v>
      </c>
      <c r="D643" s="36" t="s">
        <v>33</v>
      </c>
      <c r="E643" s="36" t="s">
        <v>33</v>
      </c>
      <c r="F643" s="37" t="s">
        <v>1299</v>
      </c>
      <c r="G643" s="34" t="s">
        <v>33</v>
      </c>
      <c r="H643" s="34" t="s">
        <v>33</v>
      </c>
      <c r="I643" s="35"/>
      <c r="J643" s="35"/>
    </row>
    <row r="644">
      <c r="A644" s="32" t="s">
        <v>1300</v>
      </c>
      <c r="B644" s="32" t="s">
        <v>1217</v>
      </c>
      <c r="C644" s="36" t="s">
        <v>33</v>
      </c>
      <c r="D644" s="36" t="s">
        <v>33</v>
      </c>
      <c r="E644" s="36" t="s">
        <v>114</v>
      </c>
      <c r="F644" s="34" t="s">
        <v>33</v>
      </c>
      <c r="G644" s="34" t="s">
        <v>33</v>
      </c>
      <c r="H644" s="37" t="s">
        <v>1301</v>
      </c>
      <c r="I644" s="35"/>
      <c r="J644" s="35"/>
    </row>
    <row r="645">
      <c r="A645" s="32" t="s">
        <v>1302</v>
      </c>
      <c r="B645" s="32" t="s">
        <v>1303</v>
      </c>
      <c r="C645" s="36" t="s">
        <v>33</v>
      </c>
      <c r="D645" s="36" t="s">
        <v>33</v>
      </c>
      <c r="E645" s="36" t="s">
        <v>146</v>
      </c>
      <c r="F645" s="34" t="s">
        <v>33</v>
      </c>
      <c r="G645" s="34" t="s">
        <v>33</v>
      </c>
      <c r="H645" s="37" t="s">
        <v>474</v>
      </c>
      <c r="I645" s="35"/>
      <c r="J645" s="35"/>
    </row>
    <row r="646">
      <c r="A646" s="32" t="s">
        <v>1304</v>
      </c>
      <c r="B646" s="32" t="s">
        <v>1303</v>
      </c>
      <c r="C646" s="36" t="s">
        <v>33</v>
      </c>
      <c r="D646" s="36" t="s">
        <v>33</v>
      </c>
      <c r="E646" s="36" t="s">
        <v>245</v>
      </c>
      <c r="F646" s="34" t="s">
        <v>33</v>
      </c>
      <c r="G646" s="34" t="s">
        <v>33</v>
      </c>
      <c r="H646" s="37" t="s">
        <v>1305</v>
      </c>
      <c r="I646" s="35"/>
      <c r="J646" s="35"/>
    </row>
    <row r="647">
      <c r="A647" s="32" t="s">
        <v>1306</v>
      </c>
      <c r="B647" s="32" t="s">
        <v>1246</v>
      </c>
      <c r="C647" s="36" t="s">
        <v>33</v>
      </c>
      <c r="D647" s="36" t="s">
        <v>188</v>
      </c>
      <c r="E647" s="36" t="s">
        <v>33</v>
      </c>
      <c r="F647" s="34" t="s">
        <v>33</v>
      </c>
      <c r="G647" s="37" t="s">
        <v>1062</v>
      </c>
      <c r="H647" s="34" t="s">
        <v>33</v>
      </c>
      <c r="I647" s="35"/>
      <c r="J647" s="35"/>
    </row>
    <row r="648">
      <c r="A648" s="32" t="s">
        <v>1307</v>
      </c>
      <c r="B648" s="32" t="s">
        <v>1246</v>
      </c>
      <c r="C648" s="36" t="s">
        <v>33</v>
      </c>
      <c r="D648" s="36" t="s">
        <v>365</v>
      </c>
      <c r="E648" s="36" t="s">
        <v>33</v>
      </c>
      <c r="F648" s="34" t="s">
        <v>33</v>
      </c>
      <c r="G648" s="37" t="s">
        <v>1308</v>
      </c>
      <c r="H648" s="34" t="s">
        <v>33</v>
      </c>
      <c r="I648" s="35"/>
      <c r="J648" s="35"/>
    </row>
    <row r="649">
      <c r="A649" s="32" t="s">
        <v>1309</v>
      </c>
      <c r="B649" s="32" t="s">
        <v>65</v>
      </c>
      <c r="C649" s="36" t="s">
        <v>33</v>
      </c>
      <c r="D649" s="36" t="s">
        <v>385</v>
      </c>
      <c r="E649" s="36" t="s">
        <v>33</v>
      </c>
      <c r="F649" s="34" t="s">
        <v>33</v>
      </c>
      <c r="G649" s="37" t="s">
        <v>1310</v>
      </c>
      <c r="H649" s="34" t="s">
        <v>33</v>
      </c>
      <c r="I649" s="35"/>
      <c r="J649" s="35"/>
    </row>
    <row r="650">
      <c r="A650" s="32" t="s">
        <v>1311</v>
      </c>
      <c r="B650" s="32" t="s">
        <v>963</v>
      </c>
      <c r="C650" s="36" t="s">
        <v>33</v>
      </c>
      <c r="D650" s="36" t="s">
        <v>33</v>
      </c>
      <c r="E650" s="36" t="s">
        <v>119</v>
      </c>
      <c r="F650" s="34" t="s">
        <v>33</v>
      </c>
      <c r="G650" s="34" t="s">
        <v>33</v>
      </c>
      <c r="H650" s="37" t="s">
        <v>1312</v>
      </c>
      <c r="I650" s="35"/>
      <c r="J650" s="35"/>
    </row>
    <row r="651">
      <c r="A651" s="32" t="s">
        <v>1313</v>
      </c>
      <c r="B651" s="32" t="s">
        <v>963</v>
      </c>
      <c r="C651" s="36" t="s">
        <v>33</v>
      </c>
      <c r="D651" s="36" t="s">
        <v>101</v>
      </c>
      <c r="E651" s="36" t="s">
        <v>33</v>
      </c>
      <c r="F651" s="34" t="s">
        <v>33</v>
      </c>
      <c r="G651" s="37" t="s">
        <v>1270</v>
      </c>
      <c r="H651" s="34" t="s">
        <v>33</v>
      </c>
      <c r="I651" s="35"/>
      <c r="J651" s="35"/>
    </row>
    <row r="652">
      <c r="A652" s="32" t="s">
        <v>1314</v>
      </c>
      <c r="B652" s="32" t="s">
        <v>1047</v>
      </c>
      <c r="C652" s="36" t="s">
        <v>33</v>
      </c>
      <c r="D652" s="36" t="s">
        <v>41</v>
      </c>
      <c r="E652" s="36" t="s">
        <v>33</v>
      </c>
      <c r="F652" s="34" t="s">
        <v>33</v>
      </c>
      <c r="G652" s="37" t="s">
        <v>1062</v>
      </c>
      <c r="H652" s="34" t="s">
        <v>33</v>
      </c>
      <c r="I652" s="35"/>
      <c r="J652" s="35"/>
    </row>
    <row r="653">
      <c r="A653" s="32" t="s">
        <v>1315</v>
      </c>
      <c r="B653" s="32" t="s">
        <v>1047</v>
      </c>
      <c r="C653" s="36" t="s">
        <v>33</v>
      </c>
      <c r="D653" s="36" t="s">
        <v>288</v>
      </c>
      <c r="E653" s="36" t="s">
        <v>33</v>
      </c>
      <c r="F653" s="34" t="s">
        <v>33</v>
      </c>
      <c r="G653" s="37" t="s">
        <v>1316</v>
      </c>
      <c r="H653" s="34" t="s">
        <v>33</v>
      </c>
      <c r="I653" s="35"/>
      <c r="J653" s="35"/>
    </row>
    <row r="654">
      <c r="A654" s="32" t="s">
        <v>1317</v>
      </c>
      <c r="B654" s="32" t="s">
        <v>746</v>
      </c>
      <c r="C654" s="36" t="s">
        <v>33</v>
      </c>
      <c r="D654" s="36" t="s">
        <v>33</v>
      </c>
      <c r="E654" s="36" t="s">
        <v>201</v>
      </c>
      <c r="F654" s="34" t="s">
        <v>33</v>
      </c>
      <c r="G654" s="34" t="s">
        <v>33</v>
      </c>
      <c r="H654" s="37" t="s">
        <v>1318</v>
      </c>
      <c r="I654" s="35"/>
      <c r="J654" s="35"/>
    </row>
    <row r="655">
      <c r="A655" s="32" t="s">
        <v>1319</v>
      </c>
      <c r="B655" s="32" t="s">
        <v>746</v>
      </c>
      <c r="C655" s="36" t="s">
        <v>33</v>
      </c>
      <c r="D655" s="36" t="s">
        <v>51</v>
      </c>
      <c r="E655" s="36" t="s">
        <v>33</v>
      </c>
      <c r="F655" s="34" t="s">
        <v>33</v>
      </c>
      <c r="G655" s="37" t="s">
        <v>755</v>
      </c>
      <c r="H655" s="34" t="s">
        <v>33</v>
      </c>
      <c r="I655" s="35"/>
      <c r="J655" s="35"/>
    </row>
    <row r="656">
      <c r="A656" s="32" t="s">
        <v>1320</v>
      </c>
      <c r="B656" s="32" t="s">
        <v>210</v>
      </c>
      <c r="C656" s="36" t="s">
        <v>33</v>
      </c>
      <c r="D656" s="36" t="s">
        <v>137</v>
      </c>
      <c r="E656" s="36" t="s">
        <v>33</v>
      </c>
      <c r="F656" s="34" t="s">
        <v>33</v>
      </c>
      <c r="G656" s="37" t="s">
        <v>976</v>
      </c>
      <c r="H656" s="34" t="s">
        <v>33</v>
      </c>
      <c r="I656" s="35"/>
      <c r="J656" s="35"/>
    </row>
    <row r="657">
      <c r="A657" s="32" t="s">
        <v>1321</v>
      </c>
      <c r="B657" s="32" t="s">
        <v>210</v>
      </c>
      <c r="C657" s="36" t="s">
        <v>33</v>
      </c>
      <c r="D657" s="36" t="s">
        <v>389</v>
      </c>
      <c r="E657" s="36" t="s">
        <v>33</v>
      </c>
      <c r="F657" s="34" t="s">
        <v>33</v>
      </c>
      <c r="G657" s="37" t="s">
        <v>1198</v>
      </c>
      <c r="H657" s="34" t="s">
        <v>33</v>
      </c>
      <c r="I657" s="35"/>
      <c r="J657" s="35"/>
    </row>
    <row r="658">
      <c r="A658" s="32" t="s">
        <v>1322</v>
      </c>
      <c r="B658" s="32" t="s">
        <v>210</v>
      </c>
      <c r="C658" s="36" t="s">
        <v>33</v>
      </c>
      <c r="D658" s="36" t="s">
        <v>51</v>
      </c>
      <c r="E658" s="36" t="s">
        <v>33</v>
      </c>
      <c r="F658" s="34" t="s">
        <v>33</v>
      </c>
      <c r="G658" s="37" t="s">
        <v>1323</v>
      </c>
      <c r="H658" s="34" t="s">
        <v>33</v>
      </c>
      <c r="I658" s="35"/>
      <c r="J658" s="35"/>
    </row>
    <row r="659">
      <c r="A659" s="32" t="s">
        <v>1324</v>
      </c>
      <c r="B659" s="32" t="s">
        <v>210</v>
      </c>
      <c r="C659" s="36" t="s">
        <v>33</v>
      </c>
      <c r="D659" s="36" t="s">
        <v>113</v>
      </c>
      <c r="E659" s="36" t="s">
        <v>33</v>
      </c>
      <c r="F659" s="34" t="s">
        <v>33</v>
      </c>
      <c r="G659" s="37" t="s">
        <v>1310</v>
      </c>
      <c r="H659" s="34" t="s">
        <v>33</v>
      </c>
      <c r="I659" s="35"/>
      <c r="J659" s="35"/>
    </row>
    <row r="660">
      <c r="A660" s="32" t="s">
        <v>1325</v>
      </c>
      <c r="B660" s="32" t="s">
        <v>486</v>
      </c>
      <c r="C660" s="36" t="s">
        <v>33</v>
      </c>
      <c r="D660" s="36" t="s">
        <v>165</v>
      </c>
      <c r="E660" s="36" t="s">
        <v>33</v>
      </c>
      <c r="F660" s="34" t="s">
        <v>33</v>
      </c>
      <c r="G660" s="37" t="s">
        <v>1198</v>
      </c>
      <c r="H660" s="34" t="s">
        <v>33</v>
      </c>
      <c r="I660" s="35"/>
      <c r="J660" s="35"/>
    </row>
    <row r="661">
      <c r="A661" s="32" t="s">
        <v>1326</v>
      </c>
      <c r="B661" s="32" t="s">
        <v>486</v>
      </c>
      <c r="C661" s="36" t="s">
        <v>33</v>
      </c>
      <c r="D661" s="36" t="s">
        <v>645</v>
      </c>
      <c r="E661" s="36" t="s">
        <v>33</v>
      </c>
      <c r="F661" s="34" t="s">
        <v>33</v>
      </c>
      <c r="G661" s="37" t="s">
        <v>400</v>
      </c>
      <c r="H661" s="34" t="s">
        <v>33</v>
      </c>
      <c r="I661" s="35"/>
      <c r="J661" s="35"/>
    </row>
    <row r="662">
      <c r="A662" s="32" t="s">
        <v>1327</v>
      </c>
      <c r="B662" s="32" t="s">
        <v>486</v>
      </c>
      <c r="C662" s="36" t="s">
        <v>33</v>
      </c>
      <c r="D662" s="36" t="s">
        <v>1298</v>
      </c>
      <c r="E662" s="36" t="s">
        <v>63</v>
      </c>
      <c r="F662" s="34" t="s">
        <v>33</v>
      </c>
      <c r="G662" s="37" t="s">
        <v>1223</v>
      </c>
      <c r="H662" s="37" t="s">
        <v>1328</v>
      </c>
      <c r="I662" s="35"/>
      <c r="J662" s="35"/>
    </row>
    <row r="663">
      <c r="A663" s="32" t="s">
        <v>1329</v>
      </c>
      <c r="B663" s="32" t="s">
        <v>486</v>
      </c>
      <c r="C663" s="36" t="s">
        <v>33</v>
      </c>
      <c r="D663" s="36" t="s">
        <v>33</v>
      </c>
      <c r="E663" s="36" t="s">
        <v>266</v>
      </c>
      <c r="F663" s="34" t="s">
        <v>33</v>
      </c>
      <c r="G663" s="34" t="s">
        <v>33</v>
      </c>
      <c r="H663" s="37" t="s">
        <v>1330</v>
      </c>
      <c r="I663" s="35"/>
      <c r="J663" s="35"/>
    </row>
    <row r="664">
      <c r="A664" s="32" t="s">
        <v>1331</v>
      </c>
      <c r="B664" s="32" t="s">
        <v>486</v>
      </c>
      <c r="C664" s="36" t="s">
        <v>33</v>
      </c>
      <c r="D664" s="36" t="s">
        <v>68</v>
      </c>
      <c r="E664" s="36" t="s">
        <v>33</v>
      </c>
      <c r="F664" s="34" t="s">
        <v>33</v>
      </c>
      <c r="G664" s="37" t="s">
        <v>1332</v>
      </c>
      <c r="H664" s="34" t="s">
        <v>33</v>
      </c>
      <c r="I664" s="35"/>
      <c r="J664" s="35"/>
    </row>
    <row r="665">
      <c r="A665" s="32" t="s">
        <v>1333</v>
      </c>
      <c r="B665" s="32" t="s">
        <v>486</v>
      </c>
      <c r="C665" s="36" t="s">
        <v>33</v>
      </c>
      <c r="D665" s="36" t="s">
        <v>101</v>
      </c>
      <c r="E665" s="36" t="s">
        <v>51</v>
      </c>
      <c r="F665" s="34" t="s">
        <v>33</v>
      </c>
      <c r="G665" s="37" t="s">
        <v>968</v>
      </c>
      <c r="H665" s="37" t="s">
        <v>969</v>
      </c>
      <c r="I665" s="35"/>
      <c r="J665" s="35"/>
    </row>
    <row r="666">
      <c r="A666" s="32" t="s">
        <v>1334</v>
      </c>
      <c r="B666" s="32" t="s">
        <v>212</v>
      </c>
      <c r="C666" s="36" t="s">
        <v>33</v>
      </c>
      <c r="D666" s="36" t="s">
        <v>95</v>
      </c>
      <c r="E666" s="36" t="s">
        <v>105</v>
      </c>
      <c r="F666" s="34" t="s">
        <v>33</v>
      </c>
      <c r="G666" s="37" t="s">
        <v>1051</v>
      </c>
      <c r="H666" s="37" t="s">
        <v>1335</v>
      </c>
      <c r="I666" s="35"/>
      <c r="J666" s="35"/>
    </row>
    <row r="667">
      <c r="A667" s="32" t="s">
        <v>1336</v>
      </c>
      <c r="B667" s="32" t="s">
        <v>212</v>
      </c>
      <c r="C667" s="36" t="s">
        <v>33</v>
      </c>
      <c r="D667" s="36" t="s">
        <v>33</v>
      </c>
      <c r="E667" s="36" t="s">
        <v>152</v>
      </c>
      <c r="F667" s="34" t="s">
        <v>33</v>
      </c>
      <c r="G667" s="34" t="s">
        <v>33</v>
      </c>
      <c r="H667" s="37" t="s">
        <v>1337</v>
      </c>
      <c r="I667" s="35"/>
      <c r="J667" s="35"/>
    </row>
    <row r="668">
      <c r="A668" s="32" t="s">
        <v>1338</v>
      </c>
      <c r="B668" s="32" t="s">
        <v>212</v>
      </c>
      <c r="C668" s="36" t="s">
        <v>33</v>
      </c>
      <c r="D668" s="36" t="s">
        <v>51</v>
      </c>
      <c r="E668" s="36" t="s">
        <v>33</v>
      </c>
      <c r="F668" s="34" t="s">
        <v>33</v>
      </c>
      <c r="G668" s="37" t="s">
        <v>1339</v>
      </c>
      <c r="H668" s="34" t="s">
        <v>33</v>
      </c>
      <c r="I668" s="35"/>
      <c r="J668" s="35"/>
    </row>
    <row r="669">
      <c r="A669" s="32" t="s">
        <v>1340</v>
      </c>
      <c r="B669" s="32" t="s">
        <v>212</v>
      </c>
      <c r="C669" s="36" t="s">
        <v>33</v>
      </c>
      <c r="D669" s="36" t="s">
        <v>107</v>
      </c>
      <c r="E669" s="36" t="s">
        <v>419</v>
      </c>
      <c r="F669" s="34" t="s">
        <v>33</v>
      </c>
      <c r="G669" s="37" t="s">
        <v>1223</v>
      </c>
      <c r="H669" s="37" t="s">
        <v>1080</v>
      </c>
      <c r="I669" s="35"/>
      <c r="J669" s="35"/>
    </row>
    <row r="670">
      <c r="A670" s="32" t="s">
        <v>1341</v>
      </c>
      <c r="B670" s="32" t="s">
        <v>212</v>
      </c>
      <c r="C670" s="36" t="s">
        <v>33</v>
      </c>
      <c r="D670" s="36" t="s">
        <v>201</v>
      </c>
      <c r="E670" s="36" t="s">
        <v>33</v>
      </c>
      <c r="F670" s="34" t="s">
        <v>33</v>
      </c>
      <c r="G670" s="37" t="s">
        <v>990</v>
      </c>
      <c r="H670" s="34" t="s">
        <v>33</v>
      </c>
      <c r="I670" s="35"/>
      <c r="J670" s="35"/>
    </row>
    <row r="671">
      <c r="A671" s="32" t="s">
        <v>1342</v>
      </c>
      <c r="B671" s="32" t="s">
        <v>212</v>
      </c>
      <c r="C671" s="36" t="s">
        <v>33</v>
      </c>
      <c r="D671" s="36" t="s">
        <v>369</v>
      </c>
      <c r="E671" s="36" t="s">
        <v>33</v>
      </c>
      <c r="F671" s="34" t="s">
        <v>33</v>
      </c>
      <c r="G671" s="37" t="s">
        <v>1343</v>
      </c>
      <c r="H671" s="34" t="s">
        <v>33</v>
      </c>
      <c r="I671" s="35"/>
      <c r="J671" s="35"/>
    </row>
    <row r="672">
      <c r="A672" s="32" t="s">
        <v>1344</v>
      </c>
      <c r="B672" s="32" t="s">
        <v>212</v>
      </c>
      <c r="C672" s="36" t="s">
        <v>33</v>
      </c>
      <c r="D672" s="36" t="s">
        <v>91</v>
      </c>
      <c r="E672" s="36" t="s">
        <v>187</v>
      </c>
      <c r="F672" s="34" t="s">
        <v>33</v>
      </c>
      <c r="G672" s="37" t="s">
        <v>454</v>
      </c>
      <c r="H672" s="37" t="s">
        <v>455</v>
      </c>
      <c r="I672" s="35"/>
      <c r="J672" s="35"/>
    </row>
    <row r="673">
      <c r="A673" s="32" t="s">
        <v>1345</v>
      </c>
      <c r="B673" s="32" t="s">
        <v>151</v>
      </c>
      <c r="C673" s="36" t="s">
        <v>33</v>
      </c>
      <c r="D673" s="36" t="s">
        <v>1215</v>
      </c>
      <c r="E673" s="36" t="s">
        <v>33</v>
      </c>
      <c r="F673" s="34" t="s">
        <v>33</v>
      </c>
      <c r="G673" s="37" t="s">
        <v>1346</v>
      </c>
      <c r="H673" s="34" t="s">
        <v>33</v>
      </c>
      <c r="I673" s="35"/>
      <c r="J673" s="35"/>
    </row>
    <row r="674">
      <c r="A674" s="32" t="s">
        <v>1347</v>
      </c>
      <c r="B674" s="32" t="s">
        <v>151</v>
      </c>
      <c r="C674" s="36" t="s">
        <v>33</v>
      </c>
      <c r="D674" s="36" t="s">
        <v>49</v>
      </c>
      <c r="E674" s="36" t="s">
        <v>33</v>
      </c>
      <c r="F674" s="34" t="s">
        <v>33</v>
      </c>
      <c r="G674" s="37" t="s">
        <v>1270</v>
      </c>
      <c r="H674" s="34" t="s">
        <v>33</v>
      </c>
      <c r="I674" s="35"/>
      <c r="J674" s="35"/>
    </row>
    <row r="675">
      <c r="A675" s="32" t="s">
        <v>1348</v>
      </c>
      <c r="B675" s="32" t="s">
        <v>151</v>
      </c>
      <c r="C675" s="36" t="s">
        <v>33</v>
      </c>
      <c r="D675" s="36" t="s">
        <v>33</v>
      </c>
      <c r="E675" s="36" t="s">
        <v>34</v>
      </c>
      <c r="F675" s="34" t="s">
        <v>33</v>
      </c>
      <c r="G675" s="34" t="s">
        <v>33</v>
      </c>
      <c r="H675" s="37" t="s">
        <v>1173</v>
      </c>
      <c r="I675" s="35"/>
      <c r="J675" s="35"/>
    </row>
    <row r="676">
      <c r="A676" s="32" t="s">
        <v>1349</v>
      </c>
      <c r="B676" s="32" t="s">
        <v>151</v>
      </c>
      <c r="C676" s="36" t="s">
        <v>33</v>
      </c>
      <c r="D676" s="36" t="s">
        <v>178</v>
      </c>
      <c r="E676" s="36" t="s">
        <v>66</v>
      </c>
      <c r="F676" s="34" t="s">
        <v>33</v>
      </c>
      <c r="G676" s="37" t="s">
        <v>454</v>
      </c>
      <c r="H676" s="37" t="s">
        <v>455</v>
      </c>
      <c r="I676" s="35"/>
      <c r="J676" s="35"/>
    </row>
    <row r="677">
      <c r="A677" s="32" t="s">
        <v>1350</v>
      </c>
      <c r="B677" s="32" t="s">
        <v>151</v>
      </c>
      <c r="C677" s="36" t="s">
        <v>33</v>
      </c>
      <c r="D677" s="36" t="s">
        <v>33</v>
      </c>
      <c r="E677" s="36" t="s">
        <v>179</v>
      </c>
      <c r="F677" s="34" t="s">
        <v>33</v>
      </c>
      <c r="G677" s="34" t="s">
        <v>33</v>
      </c>
      <c r="H677" s="37" t="s">
        <v>1351</v>
      </c>
      <c r="I677" s="35"/>
      <c r="J677" s="35"/>
    </row>
    <row r="678">
      <c r="A678" s="32" t="s">
        <v>1352</v>
      </c>
      <c r="B678" s="32" t="s">
        <v>151</v>
      </c>
      <c r="C678" s="36" t="s">
        <v>33</v>
      </c>
      <c r="D678" s="36" t="s">
        <v>33</v>
      </c>
      <c r="E678" s="36" t="s">
        <v>187</v>
      </c>
      <c r="F678" s="34" t="s">
        <v>33</v>
      </c>
      <c r="G678" s="34" t="s">
        <v>33</v>
      </c>
      <c r="H678" s="37" t="s">
        <v>303</v>
      </c>
      <c r="I678" s="35"/>
      <c r="J678" s="35"/>
    </row>
    <row r="679">
      <c r="A679" s="32" t="s">
        <v>1353</v>
      </c>
      <c r="B679" s="32" t="s">
        <v>151</v>
      </c>
      <c r="C679" s="36" t="s">
        <v>33</v>
      </c>
      <c r="D679" s="36" t="s">
        <v>476</v>
      </c>
      <c r="E679" s="36" t="s">
        <v>33</v>
      </c>
      <c r="F679" s="34" t="s">
        <v>33</v>
      </c>
      <c r="G679" s="37" t="s">
        <v>1354</v>
      </c>
      <c r="H679" s="34" t="s">
        <v>33</v>
      </c>
      <c r="I679" s="35"/>
      <c r="J679" s="35"/>
    </row>
    <row r="680">
      <c r="A680" s="32" t="s">
        <v>1355</v>
      </c>
      <c r="B680" s="32" t="s">
        <v>151</v>
      </c>
      <c r="C680" s="36" t="s">
        <v>33</v>
      </c>
      <c r="D680" s="36" t="s">
        <v>33</v>
      </c>
      <c r="E680" s="36" t="s">
        <v>331</v>
      </c>
      <c r="F680" s="34" t="s">
        <v>33</v>
      </c>
      <c r="G680" s="34" t="s">
        <v>33</v>
      </c>
      <c r="H680" s="37" t="s">
        <v>311</v>
      </c>
      <c r="I680" s="35"/>
      <c r="J680" s="35"/>
    </row>
    <row r="681">
      <c r="A681" s="32" t="s">
        <v>1356</v>
      </c>
      <c r="B681" s="32" t="s">
        <v>151</v>
      </c>
      <c r="C681" s="36" t="s">
        <v>33</v>
      </c>
      <c r="D681" s="36" t="s">
        <v>152</v>
      </c>
      <c r="E681" s="36" t="s">
        <v>511</v>
      </c>
      <c r="F681" s="34" t="s">
        <v>33</v>
      </c>
      <c r="G681" s="37" t="s">
        <v>98</v>
      </c>
      <c r="H681" s="37" t="s">
        <v>99</v>
      </c>
      <c r="I681" s="35"/>
      <c r="J681" s="35"/>
    </row>
    <row r="682">
      <c r="A682" s="32" t="s">
        <v>1357</v>
      </c>
      <c r="B682" s="32" t="s">
        <v>151</v>
      </c>
      <c r="C682" s="36" t="s">
        <v>33</v>
      </c>
      <c r="D682" s="36" t="s">
        <v>178</v>
      </c>
      <c r="E682" s="36" t="s">
        <v>46</v>
      </c>
      <c r="F682" s="34" t="s">
        <v>33</v>
      </c>
      <c r="G682" s="37" t="s">
        <v>585</v>
      </c>
      <c r="H682" s="37" t="s">
        <v>1358</v>
      </c>
      <c r="I682" s="35"/>
      <c r="J682" s="35"/>
    </row>
    <row r="683">
      <c r="A683" s="32" t="s">
        <v>1359</v>
      </c>
      <c r="B683" s="32" t="s">
        <v>151</v>
      </c>
      <c r="C683" s="36" t="s">
        <v>33</v>
      </c>
      <c r="D683" s="36" t="s">
        <v>33</v>
      </c>
      <c r="E683" s="36" t="s">
        <v>213</v>
      </c>
      <c r="F683" s="34" t="s">
        <v>33</v>
      </c>
      <c r="G683" s="34" t="s">
        <v>33</v>
      </c>
      <c r="H683" s="37" t="s">
        <v>1360</v>
      </c>
      <c r="I683" s="35"/>
      <c r="J683" s="35"/>
    </row>
    <row r="684">
      <c r="A684" s="32" t="s">
        <v>1361</v>
      </c>
      <c r="B684" s="32" t="s">
        <v>151</v>
      </c>
      <c r="C684" s="36" t="s">
        <v>33</v>
      </c>
      <c r="D684" s="36" t="s">
        <v>41</v>
      </c>
      <c r="E684" s="36" t="s">
        <v>33</v>
      </c>
      <c r="F684" s="34" t="s">
        <v>33</v>
      </c>
      <c r="G684" s="37" t="s">
        <v>281</v>
      </c>
      <c r="H684" s="34" t="s">
        <v>33</v>
      </c>
      <c r="I684" s="35"/>
      <c r="J684" s="35"/>
    </row>
    <row r="685">
      <c r="A685" s="32" t="s">
        <v>1362</v>
      </c>
      <c r="B685" s="32" t="s">
        <v>151</v>
      </c>
      <c r="C685" s="36" t="s">
        <v>33</v>
      </c>
      <c r="D685" s="36" t="s">
        <v>51</v>
      </c>
      <c r="E685" s="36" t="s">
        <v>331</v>
      </c>
      <c r="F685" s="34" t="s">
        <v>33</v>
      </c>
      <c r="G685" s="37" t="s">
        <v>1363</v>
      </c>
      <c r="H685" s="37" t="s">
        <v>770</v>
      </c>
      <c r="I685" s="35"/>
      <c r="J685" s="35"/>
    </row>
    <row r="686">
      <c r="A686" s="32" t="s">
        <v>1364</v>
      </c>
      <c r="B686" s="32" t="s">
        <v>151</v>
      </c>
      <c r="C686" s="36" t="s">
        <v>33</v>
      </c>
      <c r="D686" s="36" t="s">
        <v>33</v>
      </c>
      <c r="E686" s="36" t="s">
        <v>53</v>
      </c>
      <c r="F686" s="34" t="s">
        <v>33</v>
      </c>
      <c r="G686" s="34" t="s">
        <v>33</v>
      </c>
      <c r="H686" s="37" t="s">
        <v>1330</v>
      </c>
      <c r="I686" s="35"/>
      <c r="J686" s="35"/>
    </row>
    <row r="687">
      <c r="A687" s="32" t="s">
        <v>1365</v>
      </c>
      <c r="B687" s="32" t="s">
        <v>24</v>
      </c>
      <c r="C687" s="36" t="s">
        <v>33</v>
      </c>
      <c r="D687" s="36" t="s">
        <v>385</v>
      </c>
      <c r="E687" s="36" t="s">
        <v>33</v>
      </c>
      <c r="F687" s="34" t="s">
        <v>33</v>
      </c>
      <c r="G687" s="37" t="s">
        <v>1366</v>
      </c>
      <c r="H687" s="34" t="s">
        <v>33</v>
      </c>
      <c r="I687" s="35"/>
      <c r="J687" s="35"/>
    </row>
    <row r="688">
      <c r="A688" s="32" t="s">
        <v>1367</v>
      </c>
      <c r="B688" s="32" t="s">
        <v>24</v>
      </c>
      <c r="C688" s="36" t="s">
        <v>33</v>
      </c>
      <c r="D688" s="36" t="s">
        <v>49</v>
      </c>
      <c r="E688" s="36" t="s">
        <v>33</v>
      </c>
      <c r="F688" s="34" t="s">
        <v>33</v>
      </c>
      <c r="G688" s="37" t="s">
        <v>1062</v>
      </c>
      <c r="H688" s="34" t="s">
        <v>33</v>
      </c>
      <c r="I688" s="35"/>
      <c r="J688" s="35"/>
    </row>
    <row r="689">
      <c r="A689" s="32" t="s">
        <v>1368</v>
      </c>
      <c r="B689" s="32" t="s">
        <v>24</v>
      </c>
      <c r="C689" s="36" t="s">
        <v>33</v>
      </c>
      <c r="D689" s="36" t="s">
        <v>127</v>
      </c>
      <c r="E689" s="36" t="s">
        <v>442</v>
      </c>
      <c r="F689" s="34" t="s">
        <v>33</v>
      </c>
      <c r="G689" s="37" t="s">
        <v>438</v>
      </c>
      <c r="H689" s="37" t="s">
        <v>439</v>
      </c>
      <c r="I689" s="35"/>
      <c r="J689" s="35"/>
    </row>
    <row r="690">
      <c r="A690" s="32" t="s">
        <v>1369</v>
      </c>
      <c r="B690" s="32" t="s">
        <v>24</v>
      </c>
      <c r="C690" s="36" t="s">
        <v>33</v>
      </c>
      <c r="D690" s="36" t="s">
        <v>754</v>
      </c>
      <c r="E690" s="36" t="s">
        <v>33</v>
      </c>
      <c r="F690" s="34" t="s">
        <v>33</v>
      </c>
      <c r="G690" s="37" t="s">
        <v>990</v>
      </c>
      <c r="H690" s="34" t="s">
        <v>33</v>
      </c>
      <c r="I690" s="35"/>
      <c r="J690" s="35"/>
    </row>
    <row r="691">
      <c r="A691" s="32" t="s">
        <v>1370</v>
      </c>
      <c r="B691" s="32" t="s">
        <v>24</v>
      </c>
      <c r="C691" s="36" t="s">
        <v>33</v>
      </c>
      <c r="D691" s="36" t="s">
        <v>27</v>
      </c>
      <c r="E691" s="36" t="s">
        <v>33</v>
      </c>
      <c r="F691" s="34" t="s">
        <v>33</v>
      </c>
      <c r="G691" s="37" t="s">
        <v>281</v>
      </c>
      <c r="H691" s="34" t="s">
        <v>33</v>
      </c>
      <c r="I691" s="35"/>
      <c r="J691" s="35"/>
    </row>
    <row r="692">
      <c r="A692" s="32" t="s">
        <v>1371</v>
      </c>
      <c r="B692" s="32" t="s">
        <v>24</v>
      </c>
      <c r="C692" s="36" t="s">
        <v>33</v>
      </c>
      <c r="D692" s="36" t="s">
        <v>33</v>
      </c>
      <c r="E692" s="36" t="s">
        <v>515</v>
      </c>
      <c r="F692" s="34" t="s">
        <v>33</v>
      </c>
      <c r="G692" s="34" t="s">
        <v>33</v>
      </c>
      <c r="H692" s="37" t="s">
        <v>1372</v>
      </c>
      <c r="I692" s="35"/>
      <c r="J692" s="35"/>
    </row>
    <row r="693">
      <c r="A693" s="32" t="s">
        <v>1373</v>
      </c>
      <c r="B693" s="32" t="s">
        <v>24</v>
      </c>
      <c r="C693" s="36" t="s">
        <v>33</v>
      </c>
      <c r="D693" s="36" t="s">
        <v>442</v>
      </c>
      <c r="E693" s="36" t="s">
        <v>33</v>
      </c>
      <c r="F693" s="34" t="s">
        <v>33</v>
      </c>
      <c r="G693" s="37" t="s">
        <v>1062</v>
      </c>
      <c r="H693" s="34" t="s">
        <v>33</v>
      </c>
      <c r="I693" s="35"/>
      <c r="J693" s="35"/>
    </row>
    <row r="694">
      <c r="A694" s="32" t="s">
        <v>1374</v>
      </c>
      <c r="B694" s="32" t="s">
        <v>24</v>
      </c>
      <c r="C694" s="36" t="s">
        <v>33</v>
      </c>
      <c r="D694" s="36" t="s">
        <v>245</v>
      </c>
      <c r="E694" s="36" t="s">
        <v>33</v>
      </c>
      <c r="F694" s="34" t="s">
        <v>33</v>
      </c>
      <c r="G694" s="37" t="s">
        <v>1316</v>
      </c>
      <c r="H694" s="34" t="s">
        <v>33</v>
      </c>
      <c r="I694" s="35"/>
      <c r="J694" s="35"/>
    </row>
    <row r="695">
      <c r="A695" s="32" t="s">
        <v>1375</v>
      </c>
      <c r="B695" s="32" t="s">
        <v>24</v>
      </c>
      <c r="C695" s="36" t="s">
        <v>33</v>
      </c>
      <c r="D695" s="36" t="s">
        <v>33</v>
      </c>
      <c r="E695" s="36" t="s">
        <v>254</v>
      </c>
      <c r="F695" s="34" t="s">
        <v>33</v>
      </c>
      <c r="G695" s="34" t="s">
        <v>33</v>
      </c>
      <c r="H695" s="37" t="s">
        <v>1376</v>
      </c>
      <c r="I695" s="35"/>
      <c r="J695" s="35"/>
    </row>
    <row r="696">
      <c r="A696" s="32" t="s">
        <v>1377</v>
      </c>
      <c r="B696" s="32" t="s">
        <v>24</v>
      </c>
      <c r="C696" s="36" t="s">
        <v>33</v>
      </c>
      <c r="D696" s="36" t="s">
        <v>851</v>
      </c>
      <c r="E696" s="36" t="s">
        <v>33</v>
      </c>
      <c r="F696" s="34" t="s">
        <v>33</v>
      </c>
      <c r="G696" s="37" t="s">
        <v>1378</v>
      </c>
      <c r="H696" s="34" t="s">
        <v>33</v>
      </c>
      <c r="I696" s="35"/>
      <c r="J696" s="35"/>
    </row>
    <row r="697">
      <c r="A697" s="32" t="s">
        <v>1379</v>
      </c>
      <c r="B697" s="32" t="s">
        <v>24</v>
      </c>
      <c r="C697" s="36" t="s">
        <v>33</v>
      </c>
      <c r="D697" s="36" t="s">
        <v>33</v>
      </c>
      <c r="E697" s="36" t="s">
        <v>34</v>
      </c>
      <c r="F697" s="34" t="s">
        <v>33</v>
      </c>
      <c r="G697" s="34" t="s">
        <v>33</v>
      </c>
      <c r="H697" s="37" t="s">
        <v>1173</v>
      </c>
      <c r="I697" s="35"/>
      <c r="J697" s="35"/>
    </row>
    <row r="698">
      <c r="A698" s="32" t="s">
        <v>1380</v>
      </c>
      <c r="B698" s="32" t="s">
        <v>154</v>
      </c>
      <c r="C698" s="36" t="s">
        <v>33</v>
      </c>
      <c r="D698" s="36" t="s">
        <v>369</v>
      </c>
      <c r="E698" s="36" t="s">
        <v>33</v>
      </c>
      <c r="F698" s="34" t="s">
        <v>33</v>
      </c>
      <c r="G698" s="37" t="s">
        <v>281</v>
      </c>
      <c r="H698" s="34" t="s">
        <v>33</v>
      </c>
      <c r="I698" s="35"/>
      <c r="J698" s="35"/>
    </row>
    <row r="699">
      <c r="A699" s="32" t="s">
        <v>1381</v>
      </c>
      <c r="B699" s="32" t="s">
        <v>154</v>
      </c>
      <c r="C699" s="36" t="s">
        <v>33</v>
      </c>
      <c r="D699" s="36" t="s">
        <v>68</v>
      </c>
      <c r="E699" s="36" t="s">
        <v>33</v>
      </c>
      <c r="F699" s="34" t="s">
        <v>33</v>
      </c>
      <c r="G699" s="37" t="s">
        <v>1211</v>
      </c>
      <c r="H699" s="34" t="s">
        <v>33</v>
      </c>
      <c r="I699" s="35"/>
      <c r="J699" s="35"/>
    </row>
    <row r="700">
      <c r="A700" s="32" t="s">
        <v>1382</v>
      </c>
      <c r="B700" s="32" t="s">
        <v>154</v>
      </c>
      <c r="C700" s="36" t="s">
        <v>33</v>
      </c>
      <c r="D700" s="36" t="s">
        <v>156</v>
      </c>
      <c r="E700" s="36" t="s">
        <v>33</v>
      </c>
      <c r="F700" s="34" t="s">
        <v>33</v>
      </c>
      <c r="G700" s="37" t="s">
        <v>135</v>
      </c>
      <c r="H700" s="34" t="s">
        <v>33</v>
      </c>
      <c r="I700" s="35"/>
      <c r="J700" s="35"/>
    </row>
    <row r="701">
      <c r="A701" s="32" t="s">
        <v>1383</v>
      </c>
      <c r="B701" s="32" t="s">
        <v>154</v>
      </c>
      <c r="C701" s="36" t="s">
        <v>33</v>
      </c>
      <c r="D701" s="36" t="s">
        <v>33</v>
      </c>
      <c r="E701" s="36" t="s">
        <v>63</v>
      </c>
      <c r="F701" s="34" t="s">
        <v>33</v>
      </c>
      <c r="G701" s="34" t="s">
        <v>33</v>
      </c>
      <c r="H701" s="37" t="s">
        <v>1384</v>
      </c>
      <c r="I701" s="35"/>
      <c r="J701" s="35"/>
    </row>
    <row r="702">
      <c r="A702" s="32" t="s">
        <v>1385</v>
      </c>
      <c r="B702" s="32" t="s">
        <v>154</v>
      </c>
      <c r="C702" s="36" t="s">
        <v>33</v>
      </c>
      <c r="D702" s="36" t="s">
        <v>283</v>
      </c>
      <c r="E702" s="36" t="s">
        <v>33</v>
      </c>
      <c r="F702" s="34" t="s">
        <v>33</v>
      </c>
      <c r="G702" s="37" t="s">
        <v>1323</v>
      </c>
      <c r="H702" s="34" t="s">
        <v>33</v>
      </c>
      <c r="I702" s="35"/>
      <c r="J702" s="35"/>
    </row>
    <row r="703">
      <c r="A703" s="32" t="s">
        <v>1386</v>
      </c>
      <c r="B703" s="32" t="s">
        <v>154</v>
      </c>
      <c r="C703" s="36" t="s">
        <v>33</v>
      </c>
      <c r="D703" s="36" t="s">
        <v>137</v>
      </c>
      <c r="E703" s="36" t="s">
        <v>33</v>
      </c>
      <c r="F703" s="34" t="s">
        <v>33</v>
      </c>
      <c r="G703" s="37" t="s">
        <v>1387</v>
      </c>
      <c r="H703" s="34" t="s">
        <v>33</v>
      </c>
      <c r="I703" s="35"/>
      <c r="J703" s="35"/>
    </row>
    <row r="704">
      <c r="A704" s="32" t="s">
        <v>1388</v>
      </c>
      <c r="B704" s="32" t="s">
        <v>154</v>
      </c>
      <c r="C704" s="36" t="s">
        <v>33</v>
      </c>
      <c r="D704" s="36" t="s">
        <v>33</v>
      </c>
      <c r="E704" s="36" t="s">
        <v>105</v>
      </c>
      <c r="F704" s="34" t="s">
        <v>33</v>
      </c>
      <c r="G704" s="34" t="s">
        <v>33</v>
      </c>
      <c r="H704" s="37" t="s">
        <v>1127</v>
      </c>
      <c r="I704" s="35"/>
      <c r="J704" s="35"/>
    </row>
    <row r="705">
      <c r="A705" s="32" t="s">
        <v>1389</v>
      </c>
      <c r="B705" s="32" t="s">
        <v>154</v>
      </c>
      <c r="C705" s="36" t="s">
        <v>33</v>
      </c>
      <c r="D705" s="36" t="s">
        <v>754</v>
      </c>
      <c r="E705" s="36" t="s">
        <v>33</v>
      </c>
      <c r="F705" s="34" t="s">
        <v>33</v>
      </c>
      <c r="G705" s="37" t="s">
        <v>1390</v>
      </c>
      <c r="H705" s="34" t="s">
        <v>33</v>
      </c>
      <c r="I705" s="35"/>
      <c r="J705" s="35"/>
    </row>
    <row r="706">
      <c r="A706" s="32" t="s">
        <v>1391</v>
      </c>
      <c r="B706" s="32" t="s">
        <v>154</v>
      </c>
      <c r="C706" s="36" t="s">
        <v>33</v>
      </c>
      <c r="D706" s="36" t="s">
        <v>178</v>
      </c>
      <c r="E706" s="36" t="s">
        <v>95</v>
      </c>
      <c r="F706" s="34" t="s">
        <v>33</v>
      </c>
      <c r="G706" s="37" t="s">
        <v>585</v>
      </c>
      <c r="H706" s="37" t="s">
        <v>1358</v>
      </c>
      <c r="I706" s="35"/>
      <c r="J706" s="35"/>
    </row>
    <row r="707">
      <c r="A707" s="32" t="s">
        <v>1392</v>
      </c>
      <c r="B707" s="32" t="s">
        <v>154</v>
      </c>
      <c r="C707" s="36" t="s">
        <v>33</v>
      </c>
      <c r="D707" s="36" t="s">
        <v>33</v>
      </c>
      <c r="E707" s="36" t="s">
        <v>266</v>
      </c>
      <c r="F707" s="34" t="s">
        <v>33</v>
      </c>
      <c r="G707" s="34" t="s">
        <v>33</v>
      </c>
      <c r="H707" s="37" t="s">
        <v>1393</v>
      </c>
      <c r="I707" s="35"/>
      <c r="J707" s="35"/>
    </row>
    <row r="708">
      <c r="A708" s="32" t="s">
        <v>1394</v>
      </c>
      <c r="B708" s="32" t="s">
        <v>154</v>
      </c>
      <c r="C708" s="36" t="s">
        <v>33</v>
      </c>
      <c r="D708" s="36" t="s">
        <v>26</v>
      </c>
      <c r="E708" s="36" t="s">
        <v>33</v>
      </c>
      <c r="F708" s="34" t="s">
        <v>33</v>
      </c>
      <c r="G708" s="37" t="s">
        <v>1198</v>
      </c>
      <c r="H708" s="34" t="s">
        <v>33</v>
      </c>
      <c r="I708" s="35"/>
      <c r="J708" s="35"/>
    </row>
    <row r="709">
      <c r="A709" s="32" t="s">
        <v>1395</v>
      </c>
      <c r="B709" s="32" t="s">
        <v>154</v>
      </c>
      <c r="C709" s="36" t="s">
        <v>33</v>
      </c>
      <c r="D709" s="36" t="s">
        <v>33</v>
      </c>
      <c r="E709" s="36" t="s">
        <v>46</v>
      </c>
      <c r="F709" s="34" t="s">
        <v>33</v>
      </c>
      <c r="G709" s="34" t="s">
        <v>33</v>
      </c>
      <c r="H709" s="37" t="s">
        <v>1189</v>
      </c>
      <c r="I709" s="35"/>
      <c r="J709" s="35"/>
    </row>
    <row r="710">
      <c r="A710" s="32" t="s">
        <v>1396</v>
      </c>
      <c r="B710" s="32" t="s">
        <v>154</v>
      </c>
      <c r="C710" s="36" t="s">
        <v>33</v>
      </c>
      <c r="D710" s="36" t="s">
        <v>33</v>
      </c>
      <c r="E710" s="36" t="s">
        <v>66</v>
      </c>
      <c r="F710" s="34" t="s">
        <v>33</v>
      </c>
      <c r="G710" s="34" t="s">
        <v>33</v>
      </c>
      <c r="H710" s="37" t="s">
        <v>455</v>
      </c>
      <c r="I710" s="35"/>
      <c r="J710" s="35"/>
    </row>
    <row r="711">
      <c r="A711" s="32" t="s">
        <v>1397</v>
      </c>
      <c r="B711" s="32" t="s">
        <v>154</v>
      </c>
      <c r="C711" s="36" t="s">
        <v>33</v>
      </c>
      <c r="D711" s="36" t="s">
        <v>173</v>
      </c>
      <c r="E711" s="36" t="s">
        <v>284</v>
      </c>
      <c r="F711" s="34" t="s">
        <v>33</v>
      </c>
      <c r="G711" s="37" t="s">
        <v>1339</v>
      </c>
      <c r="H711" s="37" t="s">
        <v>1398</v>
      </c>
      <c r="I711" s="35"/>
      <c r="J711" s="35"/>
    </row>
    <row r="712">
      <c r="A712" s="32" t="s">
        <v>1399</v>
      </c>
      <c r="B712" s="32" t="s">
        <v>154</v>
      </c>
      <c r="C712" s="36" t="s">
        <v>33</v>
      </c>
      <c r="D712" s="36" t="s">
        <v>232</v>
      </c>
      <c r="E712" s="36" t="s">
        <v>96</v>
      </c>
      <c r="F712" s="34" t="s">
        <v>33</v>
      </c>
      <c r="G712" s="37" t="s">
        <v>995</v>
      </c>
      <c r="H712" s="37" t="s">
        <v>1400</v>
      </c>
      <c r="I712" s="35"/>
      <c r="J712" s="35"/>
    </row>
    <row r="713">
      <c r="A713" s="32" t="s">
        <v>1401</v>
      </c>
      <c r="B713" s="32" t="s">
        <v>154</v>
      </c>
      <c r="C713" s="36" t="s">
        <v>33</v>
      </c>
      <c r="D713" s="36" t="s">
        <v>652</v>
      </c>
      <c r="E713" s="36" t="s">
        <v>49</v>
      </c>
      <c r="F713" s="34" t="s">
        <v>33</v>
      </c>
      <c r="G713" s="37" t="s">
        <v>1402</v>
      </c>
      <c r="H713" s="37" t="s">
        <v>1403</v>
      </c>
      <c r="I713" s="35"/>
      <c r="J713" s="35"/>
    </row>
    <row r="714">
      <c r="A714" s="32" t="s">
        <v>1404</v>
      </c>
      <c r="B714" s="32" t="s">
        <v>154</v>
      </c>
      <c r="C714" s="36" t="s">
        <v>33</v>
      </c>
      <c r="D714" s="36" t="s">
        <v>419</v>
      </c>
      <c r="E714" s="36" t="s">
        <v>46</v>
      </c>
      <c r="F714" s="34" t="s">
        <v>33</v>
      </c>
      <c r="G714" s="37" t="s">
        <v>281</v>
      </c>
      <c r="H714" s="37" t="s">
        <v>1189</v>
      </c>
      <c r="I714" s="35"/>
      <c r="J714" s="35"/>
    </row>
    <row r="715">
      <c r="A715" s="32" t="s">
        <v>1405</v>
      </c>
      <c r="B715" s="32" t="s">
        <v>154</v>
      </c>
      <c r="C715" s="36" t="s">
        <v>33</v>
      </c>
      <c r="D715" s="36" t="s">
        <v>46</v>
      </c>
      <c r="E715" s="36" t="s">
        <v>33</v>
      </c>
      <c r="F715" s="34" t="s">
        <v>33</v>
      </c>
      <c r="G715" s="37" t="s">
        <v>1233</v>
      </c>
      <c r="H715" s="34" t="s">
        <v>33</v>
      </c>
      <c r="I715" s="35"/>
      <c r="J715" s="35"/>
    </row>
    <row r="716">
      <c r="A716" s="32" t="s">
        <v>1406</v>
      </c>
      <c r="B716" s="32" t="s">
        <v>154</v>
      </c>
      <c r="C716" s="36" t="s">
        <v>33</v>
      </c>
      <c r="D716" s="36" t="s">
        <v>81</v>
      </c>
      <c r="E716" s="36" t="s">
        <v>33</v>
      </c>
      <c r="F716" s="34" t="s">
        <v>33</v>
      </c>
      <c r="G716" s="37" t="s">
        <v>1407</v>
      </c>
      <c r="H716" s="34" t="s">
        <v>33</v>
      </c>
      <c r="I716" s="35"/>
      <c r="J716" s="35"/>
    </row>
    <row r="717">
      <c r="A717" s="32" t="s">
        <v>1408</v>
      </c>
      <c r="B717" s="32" t="s">
        <v>154</v>
      </c>
      <c r="C717" s="36" t="s">
        <v>33</v>
      </c>
      <c r="D717" s="36" t="s">
        <v>33</v>
      </c>
      <c r="E717" s="36" t="s">
        <v>442</v>
      </c>
      <c r="F717" s="34" t="s">
        <v>33</v>
      </c>
      <c r="G717" s="34" t="s">
        <v>33</v>
      </c>
      <c r="H717" s="37" t="s">
        <v>1409</v>
      </c>
      <c r="I717" s="35"/>
      <c r="J717" s="35"/>
    </row>
    <row r="718">
      <c r="A718" s="32" t="s">
        <v>1410</v>
      </c>
      <c r="B718" s="32" t="s">
        <v>154</v>
      </c>
      <c r="C718" s="36" t="s">
        <v>33</v>
      </c>
      <c r="D718" s="36" t="s">
        <v>33</v>
      </c>
      <c r="E718" s="36" t="s">
        <v>331</v>
      </c>
      <c r="F718" s="34" t="s">
        <v>33</v>
      </c>
      <c r="G718" s="34" t="s">
        <v>33</v>
      </c>
      <c r="H718" s="37" t="s">
        <v>1411</v>
      </c>
      <c r="I718" s="35"/>
      <c r="J718" s="35"/>
    </row>
    <row r="719">
      <c r="A719" s="32" t="s">
        <v>1412</v>
      </c>
      <c r="B719" s="32" t="s">
        <v>154</v>
      </c>
      <c r="C719" s="36" t="s">
        <v>33</v>
      </c>
      <c r="D719" s="36" t="s">
        <v>385</v>
      </c>
      <c r="E719" s="36" t="s">
        <v>223</v>
      </c>
      <c r="F719" s="34" t="s">
        <v>33</v>
      </c>
      <c r="G719" s="37" t="s">
        <v>281</v>
      </c>
      <c r="H719" s="37" t="s">
        <v>1400</v>
      </c>
      <c r="I719" s="35"/>
      <c r="J719" s="35"/>
    </row>
    <row r="720">
      <c r="A720" s="32" t="s">
        <v>1413</v>
      </c>
      <c r="B720" s="32" t="s">
        <v>154</v>
      </c>
      <c r="C720" s="36" t="s">
        <v>33</v>
      </c>
      <c r="D720" s="36" t="s">
        <v>33</v>
      </c>
      <c r="E720" s="36" t="s">
        <v>331</v>
      </c>
      <c r="F720" s="34" t="s">
        <v>33</v>
      </c>
      <c r="G720" s="34" t="s">
        <v>33</v>
      </c>
      <c r="H720" s="37" t="s">
        <v>1414</v>
      </c>
      <c r="I720" s="35"/>
      <c r="J720" s="35"/>
    </row>
    <row r="721">
      <c r="A721" s="32" t="s">
        <v>1415</v>
      </c>
      <c r="B721" s="32" t="s">
        <v>154</v>
      </c>
      <c r="C721" s="36" t="s">
        <v>33</v>
      </c>
      <c r="D721" s="36" t="s">
        <v>33</v>
      </c>
      <c r="E721" s="36" t="s">
        <v>599</v>
      </c>
      <c r="F721" s="34" t="s">
        <v>33</v>
      </c>
      <c r="G721" s="34" t="s">
        <v>33</v>
      </c>
      <c r="H721" s="37" t="s">
        <v>1173</v>
      </c>
      <c r="I721" s="35"/>
      <c r="J721" s="35"/>
    </row>
    <row r="722">
      <c r="A722" s="32" t="s">
        <v>1416</v>
      </c>
      <c r="B722" s="32" t="s">
        <v>154</v>
      </c>
      <c r="C722" s="36" t="s">
        <v>33</v>
      </c>
      <c r="D722" s="36" t="s">
        <v>1293</v>
      </c>
      <c r="E722" s="36" t="s">
        <v>33</v>
      </c>
      <c r="F722" s="34" t="s">
        <v>33</v>
      </c>
      <c r="G722" s="37" t="s">
        <v>400</v>
      </c>
      <c r="H722" s="34" t="s">
        <v>33</v>
      </c>
      <c r="I722" s="35"/>
      <c r="J722" s="35"/>
    </row>
    <row r="723">
      <c r="A723" s="32" t="s">
        <v>1417</v>
      </c>
      <c r="B723" s="32" t="s">
        <v>154</v>
      </c>
      <c r="C723" s="36" t="s">
        <v>33</v>
      </c>
      <c r="D723" s="36" t="s">
        <v>33</v>
      </c>
      <c r="E723" s="36" t="s">
        <v>1240</v>
      </c>
      <c r="F723" s="34" t="s">
        <v>33</v>
      </c>
      <c r="G723" s="34" t="s">
        <v>33</v>
      </c>
      <c r="H723" s="37" t="s">
        <v>1418</v>
      </c>
      <c r="I723" s="35"/>
      <c r="J723" s="35"/>
    </row>
    <row r="724">
      <c r="A724" s="32" t="s">
        <v>1419</v>
      </c>
      <c r="B724" s="32" t="s">
        <v>154</v>
      </c>
      <c r="C724" s="36" t="s">
        <v>33</v>
      </c>
      <c r="D724" s="36" t="s">
        <v>33</v>
      </c>
      <c r="E724" s="36" t="s">
        <v>188</v>
      </c>
      <c r="F724" s="34" t="s">
        <v>33</v>
      </c>
      <c r="G724" s="34" t="s">
        <v>33</v>
      </c>
      <c r="H724" s="37" t="s">
        <v>770</v>
      </c>
      <c r="I724" s="35"/>
      <c r="J724" s="35"/>
    </row>
    <row r="725">
      <c r="A725" s="32" t="s">
        <v>1420</v>
      </c>
      <c r="B725" s="32" t="s">
        <v>154</v>
      </c>
      <c r="C725" s="36" t="s">
        <v>33</v>
      </c>
      <c r="D725" s="36" t="s">
        <v>33</v>
      </c>
      <c r="E725" s="36" t="s">
        <v>113</v>
      </c>
      <c r="F725" s="34" t="s">
        <v>33</v>
      </c>
      <c r="G725" s="34" t="s">
        <v>33</v>
      </c>
      <c r="H725" s="37" t="s">
        <v>1173</v>
      </c>
      <c r="I725" s="35"/>
      <c r="J725" s="35"/>
    </row>
    <row r="726">
      <c r="A726" s="32" t="s">
        <v>1421</v>
      </c>
      <c r="B726" s="32" t="s">
        <v>154</v>
      </c>
      <c r="C726" s="36" t="s">
        <v>33</v>
      </c>
      <c r="D726" s="36" t="s">
        <v>33</v>
      </c>
      <c r="E726" s="36" t="s">
        <v>652</v>
      </c>
      <c r="F726" s="34" t="s">
        <v>33</v>
      </c>
      <c r="G726" s="34" t="s">
        <v>33</v>
      </c>
      <c r="H726" s="37" t="s">
        <v>1173</v>
      </c>
      <c r="I726" s="35"/>
      <c r="J726" s="35"/>
    </row>
    <row r="727">
      <c r="A727" s="32" t="s">
        <v>1422</v>
      </c>
      <c r="B727" s="32" t="s">
        <v>154</v>
      </c>
      <c r="C727" s="36" t="s">
        <v>33</v>
      </c>
      <c r="D727" s="36" t="s">
        <v>34</v>
      </c>
      <c r="E727" s="36" t="s">
        <v>33</v>
      </c>
      <c r="F727" s="34" t="s">
        <v>33</v>
      </c>
      <c r="G727" s="37" t="s">
        <v>1423</v>
      </c>
      <c r="H727" s="34" t="s">
        <v>33</v>
      </c>
      <c r="I727" s="35"/>
      <c r="J727" s="35"/>
    </row>
    <row r="728">
      <c r="A728" s="32" t="s">
        <v>1424</v>
      </c>
      <c r="B728" s="32" t="s">
        <v>73</v>
      </c>
      <c r="C728" s="36" t="s">
        <v>33</v>
      </c>
      <c r="D728" s="36" t="s">
        <v>33</v>
      </c>
      <c r="E728" s="36" t="s">
        <v>53</v>
      </c>
      <c r="F728" s="34" t="s">
        <v>33</v>
      </c>
      <c r="G728" s="34" t="s">
        <v>33</v>
      </c>
      <c r="H728" s="37" t="s">
        <v>1301</v>
      </c>
      <c r="I728" s="35"/>
      <c r="J728" s="35"/>
    </row>
    <row r="729">
      <c r="A729" s="32" t="s">
        <v>1425</v>
      </c>
      <c r="B729" s="32" t="s">
        <v>73</v>
      </c>
      <c r="C729" s="36" t="s">
        <v>33</v>
      </c>
      <c r="D729" s="36" t="s">
        <v>187</v>
      </c>
      <c r="E729" s="36" t="s">
        <v>128</v>
      </c>
      <c r="F729" s="34" t="s">
        <v>33</v>
      </c>
      <c r="G729" s="37" t="s">
        <v>818</v>
      </c>
      <c r="H729" s="37" t="s">
        <v>819</v>
      </c>
      <c r="I729" s="35"/>
      <c r="J729" s="35"/>
    </row>
    <row r="730">
      <c r="A730" s="32" t="s">
        <v>1426</v>
      </c>
      <c r="B730" s="32" t="s">
        <v>73</v>
      </c>
      <c r="C730" s="36" t="s">
        <v>33</v>
      </c>
      <c r="D730" s="36" t="s">
        <v>33</v>
      </c>
      <c r="E730" s="36" t="s">
        <v>218</v>
      </c>
      <c r="F730" s="34" t="s">
        <v>33</v>
      </c>
      <c r="G730" s="34" t="s">
        <v>33</v>
      </c>
      <c r="H730" s="37" t="s">
        <v>1427</v>
      </c>
      <c r="I730" s="35"/>
      <c r="J730" s="35"/>
    </row>
    <row r="731">
      <c r="A731" s="32" t="s">
        <v>1428</v>
      </c>
      <c r="B731" s="32" t="s">
        <v>73</v>
      </c>
      <c r="C731" s="36" t="s">
        <v>33</v>
      </c>
      <c r="D731" s="36" t="s">
        <v>371</v>
      </c>
      <c r="E731" s="36" t="s">
        <v>533</v>
      </c>
      <c r="F731" s="34" t="s">
        <v>33</v>
      </c>
      <c r="G731" s="37" t="s">
        <v>818</v>
      </c>
      <c r="H731" s="37" t="s">
        <v>819</v>
      </c>
      <c r="I731" s="35"/>
      <c r="J731" s="35"/>
    </row>
    <row r="732">
      <c r="A732" s="32" t="s">
        <v>1429</v>
      </c>
      <c r="B732" s="32" t="s">
        <v>73</v>
      </c>
      <c r="C732" s="36" t="s">
        <v>33</v>
      </c>
      <c r="D732" s="36" t="s">
        <v>107</v>
      </c>
      <c r="E732" s="36" t="s">
        <v>33</v>
      </c>
      <c r="F732" s="34" t="s">
        <v>33</v>
      </c>
      <c r="G732" s="37" t="s">
        <v>1198</v>
      </c>
      <c r="H732" s="34" t="s">
        <v>33</v>
      </c>
      <c r="I732" s="35"/>
      <c r="J732" s="35"/>
    </row>
    <row r="733">
      <c r="A733" s="32" t="s">
        <v>1430</v>
      </c>
      <c r="B733" s="32" t="s">
        <v>73</v>
      </c>
      <c r="C733" s="36" t="s">
        <v>33</v>
      </c>
      <c r="D733" s="36" t="s">
        <v>288</v>
      </c>
      <c r="E733" s="36" t="s">
        <v>33</v>
      </c>
      <c r="F733" s="34" t="s">
        <v>33</v>
      </c>
      <c r="G733" s="37" t="s">
        <v>1316</v>
      </c>
      <c r="H733" s="34" t="s">
        <v>33</v>
      </c>
      <c r="I733" s="35"/>
      <c r="J733" s="35"/>
    </row>
    <row r="734">
      <c r="A734" s="32" t="s">
        <v>1431</v>
      </c>
      <c r="B734" s="32" t="s">
        <v>73</v>
      </c>
      <c r="C734" s="36" t="s">
        <v>33</v>
      </c>
      <c r="D734" s="36" t="s">
        <v>33</v>
      </c>
      <c r="E734" s="36" t="s">
        <v>105</v>
      </c>
      <c r="F734" s="34" t="s">
        <v>33</v>
      </c>
      <c r="G734" s="34" t="s">
        <v>33</v>
      </c>
      <c r="H734" s="37" t="s">
        <v>1432</v>
      </c>
      <c r="I734" s="35"/>
      <c r="J734" s="35"/>
    </row>
    <row r="735">
      <c r="A735" s="32" t="s">
        <v>1433</v>
      </c>
      <c r="B735" s="32" t="s">
        <v>73</v>
      </c>
      <c r="C735" s="36" t="s">
        <v>33</v>
      </c>
      <c r="D735" s="36" t="s">
        <v>1240</v>
      </c>
      <c r="E735" s="36" t="s">
        <v>66</v>
      </c>
      <c r="F735" s="34" t="s">
        <v>33</v>
      </c>
      <c r="G735" s="37" t="s">
        <v>167</v>
      </c>
      <c r="H735" s="37" t="s">
        <v>1434</v>
      </c>
      <c r="I735" s="35"/>
      <c r="J735" s="35"/>
    </row>
    <row r="736">
      <c r="A736" s="32" t="s">
        <v>1435</v>
      </c>
      <c r="B736" s="32" t="s">
        <v>73</v>
      </c>
      <c r="C736" s="36" t="s">
        <v>33</v>
      </c>
      <c r="D736" s="36" t="s">
        <v>26</v>
      </c>
      <c r="E736" s="36" t="s">
        <v>206</v>
      </c>
      <c r="F736" s="34" t="s">
        <v>33</v>
      </c>
      <c r="G736" s="37" t="s">
        <v>1436</v>
      </c>
      <c r="H736" s="37" t="s">
        <v>756</v>
      </c>
      <c r="I736" s="35"/>
      <c r="J736" s="35"/>
    </row>
    <row r="737">
      <c r="A737" s="32" t="s">
        <v>1437</v>
      </c>
      <c r="B737" s="32" t="s">
        <v>73</v>
      </c>
      <c r="C737" s="36" t="s">
        <v>33</v>
      </c>
      <c r="D737" s="36" t="s">
        <v>137</v>
      </c>
      <c r="E737" s="36" t="s">
        <v>33</v>
      </c>
      <c r="F737" s="34" t="s">
        <v>33</v>
      </c>
      <c r="G737" s="37" t="s">
        <v>1438</v>
      </c>
      <c r="H737" s="34" t="s">
        <v>33</v>
      </c>
      <c r="I737" s="35"/>
      <c r="J737" s="35"/>
    </row>
    <row r="738">
      <c r="A738" s="32" t="s">
        <v>1439</v>
      </c>
      <c r="B738" s="32" t="s">
        <v>73</v>
      </c>
      <c r="C738" s="36" t="s">
        <v>33</v>
      </c>
      <c r="D738" s="36" t="s">
        <v>854</v>
      </c>
      <c r="E738" s="36" t="s">
        <v>33</v>
      </c>
      <c r="F738" s="34" t="s">
        <v>33</v>
      </c>
      <c r="G738" s="37" t="s">
        <v>281</v>
      </c>
      <c r="H738" s="34" t="s">
        <v>33</v>
      </c>
      <c r="I738" s="35"/>
      <c r="J738" s="35"/>
    </row>
    <row r="739">
      <c r="A739" s="32" t="s">
        <v>1440</v>
      </c>
      <c r="B739" s="32" t="s">
        <v>73</v>
      </c>
      <c r="C739" s="36" t="s">
        <v>33</v>
      </c>
      <c r="D739" s="36" t="s">
        <v>450</v>
      </c>
      <c r="E739" s="36" t="s">
        <v>33</v>
      </c>
      <c r="F739" s="34" t="s">
        <v>33</v>
      </c>
      <c r="G739" s="37" t="s">
        <v>685</v>
      </c>
      <c r="H739" s="34" t="s">
        <v>33</v>
      </c>
      <c r="I739" s="35"/>
      <c r="J739" s="35"/>
    </row>
    <row r="740">
      <c r="A740" s="32" t="s">
        <v>1441</v>
      </c>
      <c r="B740" s="32" t="s">
        <v>73</v>
      </c>
      <c r="C740" s="36" t="s">
        <v>33</v>
      </c>
      <c r="D740" s="36" t="s">
        <v>128</v>
      </c>
      <c r="E740" s="36" t="s">
        <v>66</v>
      </c>
      <c r="F740" s="34" t="s">
        <v>33</v>
      </c>
      <c r="G740" s="37" t="s">
        <v>454</v>
      </c>
      <c r="H740" s="37" t="s">
        <v>455</v>
      </c>
      <c r="I740" s="35"/>
      <c r="J740" s="35"/>
    </row>
    <row r="741">
      <c r="A741" s="32" t="s">
        <v>1442</v>
      </c>
      <c r="B741" s="32" t="s">
        <v>73</v>
      </c>
      <c r="C741" s="36" t="s">
        <v>33</v>
      </c>
      <c r="D741" s="36" t="s">
        <v>33</v>
      </c>
      <c r="E741" s="36" t="s">
        <v>369</v>
      </c>
      <c r="F741" s="34" t="s">
        <v>33</v>
      </c>
      <c r="G741" s="34" t="s">
        <v>33</v>
      </c>
      <c r="H741" s="37" t="s">
        <v>1443</v>
      </c>
      <c r="I741" s="35"/>
      <c r="J741" s="35"/>
    </row>
    <row r="742">
      <c r="A742" s="32" t="s">
        <v>1444</v>
      </c>
      <c r="B742" s="32" t="s">
        <v>73</v>
      </c>
      <c r="C742" s="36" t="s">
        <v>33</v>
      </c>
      <c r="D742" s="36" t="s">
        <v>146</v>
      </c>
      <c r="E742" s="36" t="s">
        <v>33</v>
      </c>
      <c r="F742" s="34" t="s">
        <v>33</v>
      </c>
      <c r="G742" s="37" t="s">
        <v>1445</v>
      </c>
      <c r="H742" s="34" t="s">
        <v>33</v>
      </c>
      <c r="I742" s="35"/>
      <c r="J742" s="35"/>
    </row>
    <row r="743">
      <c r="A743" s="32" t="s">
        <v>1446</v>
      </c>
      <c r="B743" s="32" t="s">
        <v>73</v>
      </c>
      <c r="C743" s="36" t="s">
        <v>33</v>
      </c>
      <c r="D743" s="36" t="s">
        <v>105</v>
      </c>
      <c r="E743" s="36" t="s">
        <v>119</v>
      </c>
      <c r="F743" s="34" t="s">
        <v>33</v>
      </c>
      <c r="G743" s="37" t="s">
        <v>1447</v>
      </c>
      <c r="H743" s="37" t="s">
        <v>1448</v>
      </c>
      <c r="I743" s="35"/>
      <c r="J743" s="35"/>
    </row>
    <row r="744">
      <c r="A744" s="32" t="s">
        <v>1449</v>
      </c>
      <c r="B744" s="32" t="s">
        <v>73</v>
      </c>
      <c r="C744" s="36" t="s">
        <v>33</v>
      </c>
      <c r="D744" s="36" t="s">
        <v>1040</v>
      </c>
      <c r="E744" s="36" t="s">
        <v>33</v>
      </c>
      <c r="F744" s="34" t="s">
        <v>33</v>
      </c>
      <c r="G744" s="37" t="s">
        <v>1048</v>
      </c>
      <c r="H744" s="34" t="s">
        <v>33</v>
      </c>
      <c r="I744" s="35"/>
      <c r="J744" s="35"/>
    </row>
    <row r="745">
      <c r="A745" s="32" t="s">
        <v>1450</v>
      </c>
      <c r="B745" s="32" t="s">
        <v>73</v>
      </c>
      <c r="C745" s="36" t="s">
        <v>33</v>
      </c>
      <c r="D745" s="36" t="s">
        <v>128</v>
      </c>
      <c r="E745" s="36" t="s">
        <v>533</v>
      </c>
      <c r="F745" s="34" t="s">
        <v>33</v>
      </c>
      <c r="G745" s="37" t="s">
        <v>1308</v>
      </c>
      <c r="H745" s="37" t="s">
        <v>1451</v>
      </c>
      <c r="I745" s="35"/>
      <c r="J745" s="35"/>
    </row>
    <row r="746">
      <c r="A746" s="32" t="s">
        <v>1452</v>
      </c>
      <c r="B746" s="32" t="s">
        <v>73</v>
      </c>
      <c r="C746" s="36" t="s">
        <v>33</v>
      </c>
      <c r="D746" s="36" t="s">
        <v>26</v>
      </c>
      <c r="E746" s="36" t="s">
        <v>95</v>
      </c>
      <c r="F746" s="34" t="s">
        <v>33</v>
      </c>
      <c r="G746" s="37" t="s">
        <v>1453</v>
      </c>
      <c r="H746" s="37" t="s">
        <v>1454</v>
      </c>
      <c r="I746" s="35"/>
      <c r="J746" s="35"/>
    </row>
    <row r="747">
      <c r="A747" s="32" t="s">
        <v>1455</v>
      </c>
      <c r="B747" s="32" t="s">
        <v>73</v>
      </c>
      <c r="C747" s="36" t="s">
        <v>33</v>
      </c>
      <c r="D747" s="36" t="s">
        <v>385</v>
      </c>
      <c r="E747" s="36" t="s">
        <v>119</v>
      </c>
      <c r="F747" s="34" t="s">
        <v>33</v>
      </c>
      <c r="G747" s="37" t="s">
        <v>281</v>
      </c>
      <c r="H747" s="37" t="s">
        <v>1189</v>
      </c>
      <c r="I747" s="35"/>
      <c r="J747" s="35"/>
    </row>
    <row r="748">
      <c r="A748" s="32" t="s">
        <v>1456</v>
      </c>
      <c r="B748" s="32" t="s">
        <v>73</v>
      </c>
      <c r="C748" s="36" t="s">
        <v>33</v>
      </c>
      <c r="D748" s="36" t="s">
        <v>33</v>
      </c>
      <c r="E748" s="36" t="s">
        <v>105</v>
      </c>
      <c r="F748" s="34" t="s">
        <v>33</v>
      </c>
      <c r="G748" s="34" t="s">
        <v>33</v>
      </c>
      <c r="H748" s="37" t="s">
        <v>1432</v>
      </c>
      <c r="I748" s="35"/>
      <c r="J748" s="35"/>
    </row>
    <row r="749">
      <c r="A749" s="32" t="s">
        <v>1457</v>
      </c>
      <c r="B749" s="32" t="s">
        <v>73</v>
      </c>
      <c r="C749" s="36" t="s">
        <v>33</v>
      </c>
      <c r="D749" s="36" t="s">
        <v>33</v>
      </c>
      <c r="E749" s="36" t="s">
        <v>105</v>
      </c>
      <c r="F749" s="34" t="s">
        <v>33</v>
      </c>
      <c r="G749" s="34" t="s">
        <v>33</v>
      </c>
      <c r="H749" s="37" t="s">
        <v>1432</v>
      </c>
      <c r="I749" s="35"/>
      <c r="J749" s="35"/>
    </row>
    <row r="750">
      <c r="A750" s="32" t="s">
        <v>1458</v>
      </c>
      <c r="B750" s="32" t="s">
        <v>73</v>
      </c>
      <c r="C750" s="36" t="s">
        <v>33</v>
      </c>
      <c r="D750" s="36" t="s">
        <v>27</v>
      </c>
      <c r="E750" s="36" t="s">
        <v>442</v>
      </c>
      <c r="F750" s="34" t="s">
        <v>33</v>
      </c>
      <c r="G750" s="37" t="s">
        <v>1459</v>
      </c>
      <c r="H750" s="37" t="s">
        <v>1460</v>
      </c>
      <c r="I750" s="35"/>
      <c r="J750" s="35"/>
    </row>
    <row r="751">
      <c r="A751" s="32" t="s">
        <v>1461</v>
      </c>
      <c r="B751" s="32" t="s">
        <v>73</v>
      </c>
      <c r="C751" s="36" t="s">
        <v>33</v>
      </c>
      <c r="D751" s="36" t="s">
        <v>122</v>
      </c>
      <c r="E751" s="36" t="s">
        <v>33</v>
      </c>
      <c r="F751" s="34" t="s">
        <v>33</v>
      </c>
      <c r="G751" s="37" t="s">
        <v>1310</v>
      </c>
      <c r="H751" s="34" t="s">
        <v>33</v>
      </c>
      <c r="I751" s="35"/>
      <c r="J751" s="35"/>
    </row>
    <row r="752">
      <c r="A752" s="32" t="s">
        <v>1462</v>
      </c>
      <c r="B752" s="32" t="s">
        <v>73</v>
      </c>
      <c r="C752" s="36" t="s">
        <v>33</v>
      </c>
      <c r="D752" s="36" t="s">
        <v>1040</v>
      </c>
      <c r="E752" s="36" t="s">
        <v>33</v>
      </c>
      <c r="F752" s="34" t="s">
        <v>33</v>
      </c>
      <c r="G752" s="37" t="s">
        <v>1223</v>
      </c>
      <c r="H752" s="34" t="s">
        <v>33</v>
      </c>
      <c r="I752" s="35"/>
      <c r="J752" s="35"/>
    </row>
    <row r="753">
      <c r="A753" s="32" t="s">
        <v>1463</v>
      </c>
      <c r="B753" s="32" t="s">
        <v>73</v>
      </c>
      <c r="C753" s="36" t="s">
        <v>33</v>
      </c>
      <c r="D753" s="36" t="s">
        <v>26</v>
      </c>
      <c r="E753" s="36" t="s">
        <v>127</v>
      </c>
      <c r="F753" s="34" t="s">
        <v>33</v>
      </c>
      <c r="G753" s="37" t="s">
        <v>585</v>
      </c>
      <c r="H753" s="37" t="s">
        <v>1358</v>
      </c>
      <c r="I753" s="35"/>
      <c r="J753" s="35"/>
    </row>
    <row r="754">
      <c r="A754" s="32" t="s">
        <v>1464</v>
      </c>
      <c r="B754" s="32" t="s">
        <v>73</v>
      </c>
      <c r="C754" s="36" t="s">
        <v>33</v>
      </c>
      <c r="D754" s="36" t="s">
        <v>178</v>
      </c>
      <c r="E754" s="36" t="s">
        <v>255</v>
      </c>
      <c r="F754" s="34" t="s">
        <v>33</v>
      </c>
      <c r="G754" s="37" t="s">
        <v>585</v>
      </c>
      <c r="H754" s="37" t="s">
        <v>1358</v>
      </c>
      <c r="I754" s="35"/>
      <c r="J754" s="35"/>
    </row>
    <row r="755">
      <c r="A755" s="32" t="s">
        <v>1465</v>
      </c>
      <c r="B755" s="32" t="s">
        <v>73</v>
      </c>
      <c r="C755" s="36" t="s">
        <v>33</v>
      </c>
      <c r="D755" s="36" t="s">
        <v>33</v>
      </c>
      <c r="E755" s="36" t="s">
        <v>187</v>
      </c>
      <c r="F755" s="34" t="s">
        <v>33</v>
      </c>
      <c r="G755" s="34" t="s">
        <v>33</v>
      </c>
      <c r="H755" s="37" t="s">
        <v>1414</v>
      </c>
      <c r="I755" s="35"/>
      <c r="J755" s="35"/>
    </row>
    <row r="756">
      <c r="A756" s="32" t="s">
        <v>1466</v>
      </c>
      <c r="B756" s="32" t="s">
        <v>73</v>
      </c>
      <c r="C756" s="36" t="s">
        <v>33</v>
      </c>
      <c r="D756" s="36" t="s">
        <v>206</v>
      </c>
      <c r="E756" s="36" t="s">
        <v>33</v>
      </c>
      <c r="F756" s="34" t="s">
        <v>33</v>
      </c>
      <c r="G756" s="37" t="s">
        <v>1223</v>
      </c>
      <c r="H756" s="34" t="s">
        <v>33</v>
      </c>
      <c r="I756" s="35"/>
      <c r="J756" s="35"/>
    </row>
    <row r="757">
      <c r="A757" s="32" t="s">
        <v>1467</v>
      </c>
      <c r="B757" s="32" t="s">
        <v>73</v>
      </c>
      <c r="C757" s="36" t="s">
        <v>33</v>
      </c>
      <c r="D757" s="36" t="s">
        <v>254</v>
      </c>
      <c r="E757" s="36" t="s">
        <v>33</v>
      </c>
      <c r="F757" s="34" t="s">
        <v>33</v>
      </c>
      <c r="G757" s="37" t="s">
        <v>281</v>
      </c>
      <c r="H757" s="34" t="s">
        <v>33</v>
      </c>
      <c r="I757" s="35"/>
      <c r="J757" s="35"/>
    </row>
    <row r="758">
      <c r="A758" s="32" t="s">
        <v>1468</v>
      </c>
      <c r="B758" s="32" t="s">
        <v>73</v>
      </c>
      <c r="C758" s="36" t="s">
        <v>33</v>
      </c>
      <c r="D758" s="36" t="s">
        <v>599</v>
      </c>
      <c r="E758" s="36" t="s">
        <v>87</v>
      </c>
      <c r="F758" s="34" t="s">
        <v>33</v>
      </c>
      <c r="G758" s="37" t="s">
        <v>281</v>
      </c>
      <c r="H758" s="37" t="s">
        <v>1469</v>
      </c>
      <c r="I758" s="35"/>
      <c r="J758" s="35"/>
    </row>
    <row r="759">
      <c r="A759" s="32" t="s">
        <v>1470</v>
      </c>
      <c r="B759" s="32" t="s">
        <v>73</v>
      </c>
      <c r="C759" s="36" t="s">
        <v>33</v>
      </c>
      <c r="D759" s="36" t="s">
        <v>33</v>
      </c>
      <c r="E759" s="36" t="s">
        <v>754</v>
      </c>
      <c r="F759" s="34" t="s">
        <v>33</v>
      </c>
      <c r="G759" s="34" t="s">
        <v>33</v>
      </c>
      <c r="H759" s="37" t="s">
        <v>924</v>
      </c>
      <c r="I759" s="35"/>
      <c r="J759" s="35"/>
    </row>
    <row r="760">
      <c r="A760" s="32" t="s">
        <v>1471</v>
      </c>
      <c r="B760" s="32" t="s">
        <v>73</v>
      </c>
      <c r="C760" s="36" t="s">
        <v>33</v>
      </c>
      <c r="D760" s="36" t="s">
        <v>1215</v>
      </c>
      <c r="E760" s="36" t="s">
        <v>33</v>
      </c>
      <c r="F760" s="34" t="s">
        <v>33</v>
      </c>
      <c r="G760" s="37" t="s">
        <v>990</v>
      </c>
      <c r="H760" s="34" t="s">
        <v>33</v>
      </c>
      <c r="I760" s="35"/>
      <c r="J760" s="35"/>
    </row>
    <row r="761">
      <c r="A761" s="32" t="s">
        <v>1472</v>
      </c>
      <c r="B761" s="32" t="s">
        <v>73</v>
      </c>
      <c r="C761" s="36" t="s">
        <v>33</v>
      </c>
      <c r="D761" s="36" t="s">
        <v>33</v>
      </c>
      <c r="E761" s="36" t="s">
        <v>113</v>
      </c>
      <c r="F761" s="34" t="s">
        <v>33</v>
      </c>
      <c r="G761" s="34" t="s">
        <v>33</v>
      </c>
      <c r="H761" s="37" t="s">
        <v>733</v>
      </c>
      <c r="I761" s="35"/>
      <c r="J761" s="35"/>
    </row>
    <row r="762">
      <c r="A762" s="32" t="s">
        <v>1473</v>
      </c>
      <c r="B762" s="32" t="s">
        <v>73</v>
      </c>
      <c r="C762" s="36" t="s">
        <v>33</v>
      </c>
      <c r="D762" s="36" t="s">
        <v>33</v>
      </c>
      <c r="E762" s="36" t="s">
        <v>95</v>
      </c>
      <c r="F762" s="34" t="s">
        <v>33</v>
      </c>
      <c r="G762" s="34" t="s">
        <v>33</v>
      </c>
      <c r="H762" s="37" t="s">
        <v>1301</v>
      </c>
      <c r="I762" s="35"/>
      <c r="J762" s="35"/>
    </row>
    <row r="763">
      <c r="A763" s="32" t="s">
        <v>1474</v>
      </c>
      <c r="B763" s="32" t="s">
        <v>73</v>
      </c>
      <c r="C763" s="36" t="s">
        <v>33</v>
      </c>
      <c r="D763" s="36" t="s">
        <v>33</v>
      </c>
      <c r="E763" s="36" t="s">
        <v>127</v>
      </c>
      <c r="F763" s="34" t="s">
        <v>33</v>
      </c>
      <c r="G763" s="34" t="s">
        <v>33</v>
      </c>
      <c r="H763" s="37" t="s">
        <v>1475</v>
      </c>
      <c r="I763" s="35"/>
      <c r="J763" s="35"/>
    </row>
    <row r="764">
      <c r="A764" s="32" t="s">
        <v>1476</v>
      </c>
      <c r="B764" s="32" t="s">
        <v>73</v>
      </c>
      <c r="C764" s="36" t="s">
        <v>33</v>
      </c>
      <c r="D764" s="36" t="s">
        <v>851</v>
      </c>
      <c r="E764" s="36" t="s">
        <v>254</v>
      </c>
      <c r="F764" s="34" t="s">
        <v>33</v>
      </c>
      <c r="G764" s="37" t="s">
        <v>1069</v>
      </c>
      <c r="H764" s="37" t="s">
        <v>1477</v>
      </c>
      <c r="I764" s="35"/>
      <c r="J764" s="35"/>
    </row>
    <row r="765">
      <c r="A765" s="32" t="s">
        <v>1478</v>
      </c>
      <c r="B765" s="32" t="s">
        <v>73</v>
      </c>
      <c r="C765" s="36" t="s">
        <v>33</v>
      </c>
      <c r="D765" s="36" t="s">
        <v>442</v>
      </c>
      <c r="E765" s="36" t="s">
        <v>33</v>
      </c>
      <c r="F765" s="34" t="s">
        <v>33</v>
      </c>
      <c r="G765" s="37" t="s">
        <v>1316</v>
      </c>
      <c r="H765" s="34" t="s">
        <v>33</v>
      </c>
      <c r="I765" s="35"/>
      <c r="J765" s="35"/>
    </row>
    <row r="766">
      <c r="A766" s="32" t="s">
        <v>1479</v>
      </c>
      <c r="B766" s="32" t="s">
        <v>32</v>
      </c>
      <c r="C766" s="36" t="s">
        <v>33</v>
      </c>
      <c r="D766" s="36" t="s">
        <v>49</v>
      </c>
      <c r="E766" s="36" t="s">
        <v>254</v>
      </c>
      <c r="F766" s="34" t="s">
        <v>33</v>
      </c>
      <c r="G766" s="37" t="s">
        <v>281</v>
      </c>
      <c r="H766" s="37" t="s">
        <v>1480</v>
      </c>
      <c r="I766" s="35"/>
      <c r="J766" s="35"/>
    </row>
    <row r="767">
      <c r="A767" s="32" t="s">
        <v>1481</v>
      </c>
      <c r="B767" s="32" t="s">
        <v>32</v>
      </c>
      <c r="C767" s="36" t="s">
        <v>33</v>
      </c>
      <c r="D767" s="36" t="s">
        <v>67</v>
      </c>
      <c r="E767" s="36" t="s">
        <v>33</v>
      </c>
      <c r="F767" s="34" t="s">
        <v>33</v>
      </c>
      <c r="G767" s="37" t="s">
        <v>281</v>
      </c>
      <c r="H767" s="34" t="s">
        <v>33</v>
      </c>
      <c r="I767" s="35"/>
      <c r="J767" s="35"/>
    </row>
    <row r="768">
      <c r="A768" s="32" t="s">
        <v>1482</v>
      </c>
      <c r="B768" s="32" t="s">
        <v>32</v>
      </c>
      <c r="C768" s="36" t="s">
        <v>33</v>
      </c>
      <c r="D768" s="36" t="s">
        <v>33</v>
      </c>
      <c r="E768" s="36" t="s">
        <v>141</v>
      </c>
      <c r="F768" s="34" t="s">
        <v>33</v>
      </c>
      <c r="G768" s="34" t="s">
        <v>33</v>
      </c>
      <c r="H768" s="37" t="s">
        <v>1483</v>
      </c>
      <c r="I768" s="35"/>
      <c r="J768" s="35"/>
    </row>
    <row r="769">
      <c r="A769" s="32" t="s">
        <v>1484</v>
      </c>
      <c r="B769" s="32" t="s">
        <v>32</v>
      </c>
      <c r="C769" s="36" t="s">
        <v>33</v>
      </c>
      <c r="D769" s="36" t="s">
        <v>140</v>
      </c>
      <c r="E769" s="36" t="s">
        <v>33</v>
      </c>
      <c r="F769" s="34" t="s">
        <v>33</v>
      </c>
      <c r="G769" s="37" t="s">
        <v>521</v>
      </c>
      <c r="H769" s="34" t="s">
        <v>33</v>
      </c>
      <c r="I769" s="35"/>
      <c r="J769" s="35"/>
    </row>
    <row r="770">
      <c r="A770" s="32" t="s">
        <v>1485</v>
      </c>
      <c r="B770" s="32" t="s">
        <v>32</v>
      </c>
      <c r="C770" s="36" t="s">
        <v>33</v>
      </c>
      <c r="D770" s="36" t="s">
        <v>140</v>
      </c>
      <c r="E770" s="36" t="s">
        <v>33</v>
      </c>
      <c r="F770" s="34" t="s">
        <v>33</v>
      </c>
      <c r="G770" s="37" t="s">
        <v>1486</v>
      </c>
      <c r="H770" s="34" t="s">
        <v>33</v>
      </c>
      <c r="I770" s="35"/>
      <c r="J770" s="35"/>
    </row>
    <row r="771">
      <c r="A771" s="32" t="s">
        <v>1487</v>
      </c>
      <c r="B771" s="32" t="s">
        <v>32</v>
      </c>
      <c r="C771" s="36" t="s">
        <v>33</v>
      </c>
      <c r="D771" s="36" t="s">
        <v>33</v>
      </c>
      <c r="E771" s="36" t="s">
        <v>156</v>
      </c>
      <c r="F771" s="34" t="s">
        <v>33</v>
      </c>
      <c r="G771" s="34" t="s">
        <v>33</v>
      </c>
      <c r="H771" s="37" t="s">
        <v>1488</v>
      </c>
      <c r="I771" s="35"/>
      <c r="J771" s="35"/>
    </row>
    <row r="772">
      <c r="A772" s="32" t="s">
        <v>1489</v>
      </c>
      <c r="B772" s="32" t="s">
        <v>32</v>
      </c>
      <c r="C772" s="36" t="s">
        <v>33</v>
      </c>
      <c r="D772" s="36" t="s">
        <v>140</v>
      </c>
      <c r="E772" s="36" t="s">
        <v>33</v>
      </c>
      <c r="F772" s="34" t="s">
        <v>33</v>
      </c>
      <c r="G772" s="37" t="s">
        <v>521</v>
      </c>
      <c r="H772" s="34" t="s">
        <v>33</v>
      </c>
      <c r="I772" s="35"/>
      <c r="J772" s="35"/>
    </row>
    <row r="773">
      <c r="A773" s="32" t="s">
        <v>1490</v>
      </c>
      <c r="B773" s="32" t="s">
        <v>32</v>
      </c>
      <c r="C773" s="36" t="s">
        <v>33</v>
      </c>
      <c r="D773" s="36" t="s">
        <v>254</v>
      </c>
      <c r="E773" s="36" t="s">
        <v>33</v>
      </c>
      <c r="F773" s="34" t="s">
        <v>33</v>
      </c>
      <c r="G773" s="37" t="s">
        <v>976</v>
      </c>
      <c r="H773" s="34" t="s">
        <v>33</v>
      </c>
      <c r="I773" s="35"/>
      <c r="J773" s="35"/>
    </row>
    <row r="774">
      <c r="A774" s="32" t="s">
        <v>1491</v>
      </c>
      <c r="B774" s="32" t="s">
        <v>32</v>
      </c>
      <c r="C774" s="36" t="s">
        <v>33</v>
      </c>
      <c r="D774" s="36" t="s">
        <v>33</v>
      </c>
      <c r="E774" s="36" t="s">
        <v>240</v>
      </c>
      <c r="F774" s="34" t="s">
        <v>33</v>
      </c>
      <c r="G774" s="34" t="s">
        <v>33</v>
      </c>
      <c r="H774" s="37" t="s">
        <v>1337</v>
      </c>
      <c r="I774" s="35"/>
      <c r="J774" s="35"/>
    </row>
    <row r="775">
      <c r="A775" s="32" t="s">
        <v>1492</v>
      </c>
      <c r="B775" s="32" t="s">
        <v>32</v>
      </c>
      <c r="C775" s="36" t="s">
        <v>33</v>
      </c>
      <c r="D775" s="36" t="s">
        <v>902</v>
      </c>
      <c r="E775" s="36" t="s">
        <v>33</v>
      </c>
      <c r="F775" s="34" t="s">
        <v>33</v>
      </c>
      <c r="G775" s="37" t="s">
        <v>1390</v>
      </c>
      <c r="H775" s="34" t="s">
        <v>33</v>
      </c>
      <c r="I775" s="35"/>
      <c r="J775" s="35"/>
    </row>
    <row r="776">
      <c r="A776" s="32" t="s">
        <v>1493</v>
      </c>
      <c r="B776" s="32" t="s">
        <v>32</v>
      </c>
      <c r="C776" s="36" t="s">
        <v>33</v>
      </c>
      <c r="D776" s="36" t="s">
        <v>33</v>
      </c>
      <c r="E776" s="36" t="s">
        <v>156</v>
      </c>
      <c r="F776" s="34" t="s">
        <v>33</v>
      </c>
      <c r="G776" s="34" t="s">
        <v>33</v>
      </c>
      <c r="H776" s="37" t="s">
        <v>1494</v>
      </c>
      <c r="I776" s="35"/>
      <c r="J776" s="35"/>
    </row>
    <row r="777">
      <c r="A777" s="32" t="s">
        <v>1495</v>
      </c>
      <c r="B777" s="32" t="s">
        <v>32</v>
      </c>
      <c r="C777" s="36" t="s">
        <v>33</v>
      </c>
      <c r="D777" s="36" t="s">
        <v>199</v>
      </c>
      <c r="E777" s="36" t="s">
        <v>365</v>
      </c>
      <c r="F777" s="34" t="s">
        <v>33</v>
      </c>
      <c r="G777" s="37" t="s">
        <v>1496</v>
      </c>
      <c r="H777" s="37" t="s">
        <v>1318</v>
      </c>
      <c r="I777" s="35"/>
      <c r="J777" s="35"/>
    </row>
    <row r="778">
      <c r="A778" s="32" t="s">
        <v>1497</v>
      </c>
      <c r="B778" s="32" t="s">
        <v>32</v>
      </c>
      <c r="C778" s="36" t="s">
        <v>33</v>
      </c>
      <c r="D778" s="36" t="s">
        <v>33</v>
      </c>
      <c r="E778" s="36" t="s">
        <v>450</v>
      </c>
      <c r="F778" s="34" t="s">
        <v>33</v>
      </c>
      <c r="G778" s="34" t="s">
        <v>33</v>
      </c>
      <c r="H778" s="37" t="s">
        <v>1127</v>
      </c>
      <c r="I778" s="35"/>
      <c r="J778" s="35"/>
    </row>
    <row r="779">
      <c r="A779" s="32" t="s">
        <v>1498</v>
      </c>
      <c r="B779" s="32" t="s">
        <v>32</v>
      </c>
      <c r="C779" s="36" t="s">
        <v>33</v>
      </c>
      <c r="D779" s="36" t="s">
        <v>49</v>
      </c>
      <c r="E779" s="36" t="s">
        <v>113</v>
      </c>
      <c r="F779" s="34" t="s">
        <v>33</v>
      </c>
      <c r="G779" s="37" t="s">
        <v>400</v>
      </c>
      <c r="H779" s="37" t="s">
        <v>359</v>
      </c>
      <c r="I779" s="35"/>
      <c r="J779" s="35"/>
    </row>
    <row r="780">
      <c r="A780" s="32" t="s">
        <v>1499</v>
      </c>
      <c r="B780" s="32" t="s">
        <v>32</v>
      </c>
      <c r="C780" s="36" t="s">
        <v>33</v>
      </c>
      <c r="D780" s="36" t="s">
        <v>33</v>
      </c>
      <c r="E780" s="36" t="s">
        <v>128</v>
      </c>
      <c r="F780" s="34" t="s">
        <v>33</v>
      </c>
      <c r="G780" s="34" t="s">
        <v>33</v>
      </c>
      <c r="H780" s="37" t="s">
        <v>1500</v>
      </c>
      <c r="I780" s="35"/>
      <c r="J780" s="35"/>
    </row>
    <row r="781">
      <c r="A781" s="32" t="s">
        <v>1501</v>
      </c>
      <c r="B781" s="32" t="s">
        <v>32</v>
      </c>
      <c r="C781" s="36" t="s">
        <v>33</v>
      </c>
      <c r="D781" s="36" t="s">
        <v>399</v>
      </c>
      <c r="E781" s="36" t="s">
        <v>146</v>
      </c>
      <c r="F781" s="34" t="s">
        <v>33</v>
      </c>
      <c r="G781" s="37" t="s">
        <v>634</v>
      </c>
      <c r="H781" s="37" t="s">
        <v>635</v>
      </c>
      <c r="I781" s="35"/>
      <c r="J781" s="35"/>
    </row>
    <row r="782">
      <c r="A782" s="32" t="s">
        <v>1502</v>
      </c>
      <c r="B782" s="32" t="s">
        <v>32</v>
      </c>
      <c r="C782" s="36" t="s">
        <v>33</v>
      </c>
      <c r="D782" s="36" t="s">
        <v>33</v>
      </c>
      <c r="E782" s="36" t="s">
        <v>140</v>
      </c>
      <c r="F782" s="34" t="s">
        <v>33</v>
      </c>
      <c r="G782" s="34" t="s">
        <v>33</v>
      </c>
      <c r="H782" s="37" t="s">
        <v>1503</v>
      </c>
      <c r="I782" s="35"/>
      <c r="J782" s="35"/>
    </row>
    <row r="783">
      <c r="A783" s="32" t="s">
        <v>1504</v>
      </c>
      <c r="B783" s="32" t="s">
        <v>32</v>
      </c>
      <c r="C783" s="36" t="s">
        <v>33</v>
      </c>
      <c r="D783" s="36" t="s">
        <v>213</v>
      </c>
      <c r="E783" s="36" t="s">
        <v>33</v>
      </c>
      <c r="F783" s="34" t="s">
        <v>33</v>
      </c>
      <c r="G783" s="37" t="s">
        <v>281</v>
      </c>
      <c r="H783" s="34" t="s">
        <v>33</v>
      </c>
      <c r="I783" s="35"/>
      <c r="J783" s="35"/>
    </row>
    <row r="784">
      <c r="A784" s="32" t="s">
        <v>1505</v>
      </c>
      <c r="B784" s="32" t="s">
        <v>32</v>
      </c>
      <c r="C784" s="36" t="s">
        <v>33</v>
      </c>
      <c r="D784" s="36" t="s">
        <v>33</v>
      </c>
      <c r="E784" s="36" t="s">
        <v>322</v>
      </c>
      <c r="F784" s="34" t="s">
        <v>33</v>
      </c>
      <c r="G784" s="34" t="s">
        <v>33</v>
      </c>
      <c r="H784" s="37" t="s">
        <v>1189</v>
      </c>
      <c r="I784" s="35"/>
      <c r="J784" s="35"/>
    </row>
    <row r="785">
      <c r="A785" s="32" t="s">
        <v>1506</v>
      </c>
      <c r="B785" s="32" t="s">
        <v>32</v>
      </c>
      <c r="C785" s="36" t="s">
        <v>33</v>
      </c>
      <c r="D785" s="36" t="s">
        <v>33</v>
      </c>
      <c r="E785" s="36" t="s">
        <v>369</v>
      </c>
      <c r="F785" s="34" t="s">
        <v>33</v>
      </c>
      <c r="G785" s="34" t="s">
        <v>33</v>
      </c>
      <c r="H785" s="37" t="s">
        <v>1409</v>
      </c>
      <c r="I785" s="35"/>
      <c r="J785" s="35"/>
    </row>
    <row r="786">
      <c r="A786" s="32" t="s">
        <v>1507</v>
      </c>
      <c r="B786" s="32" t="s">
        <v>32</v>
      </c>
      <c r="C786" s="36" t="s">
        <v>33</v>
      </c>
      <c r="D786" s="36" t="s">
        <v>591</v>
      </c>
      <c r="E786" s="36" t="s">
        <v>385</v>
      </c>
      <c r="F786" s="34" t="s">
        <v>33</v>
      </c>
      <c r="G786" s="37" t="s">
        <v>1223</v>
      </c>
      <c r="H786" s="37" t="s">
        <v>1328</v>
      </c>
      <c r="I786" s="35"/>
      <c r="J786" s="35"/>
    </row>
    <row r="787">
      <c r="A787" s="32" t="s">
        <v>1508</v>
      </c>
      <c r="B787" s="32" t="s">
        <v>32</v>
      </c>
      <c r="C787" s="36" t="s">
        <v>33</v>
      </c>
      <c r="D787" s="36" t="s">
        <v>1068</v>
      </c>
      <c r="E787" s="36" t="s">
        <v>33</v>
      </c>
      <c r="F787" s="34" t="s">
        <v>33</v>
      </c>
      <c r="G787" s="37" t="s">
        <v>281</v>
      </c>
      <c r="H787" s="34" t="s">
        <v>33</v>
      </c>
      <c r="I787" s="35"/>
      <c r="J787" s="35"/>
    </row>
    <row r="788">
      <c r="A788" s="32" t="s">
        <v>1509</v>
      </c>
      <c r="B788" s="32" t="s">
        <v>32</v>
      </c>
      <c r="C788" s="36" t="s">
        <v>33</v>
      </c>
      <c r="D788" s="36" t="s">
        <v>33</v>
      </c>
      <c r="E788" s="36" t="s">
        <v>82</v>
      </c>
      <c r="F788" s="34" t="s">
        <v>33</v>
      </c>
      <c r="G788" s="34" t="s">
        <v>33</v>
      </c>
      <c r="H788" s="37" t="s">
        <v>474</v>
      </c>
      <c r="I788" s="35"/>
      <c r="J788" s="35"/>
    </row>
    <row r="789">
      <c r="A789" s="32" t="s">
        <v>1510</v>
      </c>
      <c r="B789" s="32" t="s">
        <v>32</v>
      </c>
      <c r="C789" s="36" t="s">
        <v>33</v>
      </c>
      <c r="D789" s="36" t="s">
        <v>26</v>
      </c>
      <c r="E789" s="36" t="s">
        <v>34</v>
      </c>
      <c r="F789" s="34" t="s">
        <v>33</v>
      </c>
      <c r="G789" s="37" t="s">
        <v>968</v>
      </c>
      <c r="H789" s="37" t="s">
        <v>969</v>
      </c>
      <c r="I789" s="35"/>
      <c r="J789" s="35"/>
    </row>
    <row r="790">
      <c r="A790" s="32" t="s">
        <v>1511</v>
      </c>
      <c r="B790" s="32" t="s">
        <v>32</v>
      </c>
      <c r="C790" s="36" t="s">
        <v>33</v>
      </c>
      <c r="D790" s="36" t="s">
        <v>146</v>
      </c>
      <c r="E790" s="36" t="s">
        <v>33</v>
      </c>
      <c r="F790" s="34" t="s">
        <v>33</v>
      </c>
      <c r="G790" s="37" t="s">
        <v>1310</v>
      </c>
      <c r="H790" s="34" t="s">
        <v>33</v>
      </c>
      <c r="I790" s="35"/>
      <c r="J790" s="35"/>
    </row>
    <row r="791">
      <c r="A791" s="32" t="s">
        <v>1512</v>
      </c>
      <c r="B791" s="32" t="s">
        <v>32</v>
      </c>
      <c r="C791" s="36" t="s">
        <v>33</v>
      </c>
      <c r="D791" s="36" t="s">
        <v>302</v>
      </c>
      <c r="E791" s="36" t="s">
        <v>33</v>
      </c>
      <c r="F791" s="34" t="s">
        <v>33</v>
      </c>
      <c r="G791" s="37" t="s">
        <v>1191</v>
      </c>
      <c r="H791" s="34" t="s">
        <v>33</v>
      </c>
      <c r="I791" s="35"/>
      <c r="J791" s="35"/>
    </row>
    <row r="792">
      <c r="A792" s="32" t="s">
        <v>1513</v>
      </c>
      <c r="B792" s="32" t="s">
        <v>32</v>
      </c>
      <c r="C792" s="36" t="s">
        <v>33</v>
      </c>
      <c r="D792" s="36" t="s">
        <v>26</v>
      </c>
      <c r="E792" s="36" t="s">
        <v>533</v>
      </c>
      <c r="F792" s="34" t="s">
        <v>33</v>
      </c>
      <c r="G792" s="37" t="s">
        <v>1308</v>
      </c>
      <c r="H792" s="37" t="s">
        <v>1451</v>
      </c>
      <c r="I792" s="35"/>
      <c r="J792" s="35"/>
    </row>
    <row r="793">
      <c r="A793" s="32" t="s">
        <v>1514</v>
      </c>
      <c r="B793" s="32" t="s">
        <v>32</v>
      </c>
      <c r="C793" s="36" t="s">
        <v>33</v>
      </c>
      <c r="D793" s="36" t="s">
        <v>218</v>
      </c>
      <c r="E793" s="36" t="s">
        <v>63</v>
      </c>
      <c r="F793" s="34" t="s">
        <v>33</v>
      </c>
      <c r="G793" s="37" t="s">
        <v>1459</v>
      </c>
      <c r="H793" s="37" t="s">
        <v>1460</v>
      </c>
      <c r="I793" s="35"/>
      <c r="J793" s="35"/>
    </row>
    <row r="794">
      <c r="A794" s="32" t="s">
        <v>1515</v>
      </c>
      <c r="B794" s="32" t="s">
        <v>32</v>
      </c>
      <c r="C794" s="36" t="s">
        <v>33</v>
      </c>
      <c r="D794" s="36" t="s">
        <v>33</v>
      </c>
      <c r="E794" s="36" t="s">
        <v>240</v>
      </c>
      <c r="F794" s="34" t="s">
        <v>33</v>
      </c>
      <c r="G794" s="34" t="s">
        <v>33</v>
      </c>
      <c r="H794" s="37" t="s">
        <v>1432</v>
      </c>
      <c r="I794" s="35"/>
      <c r="J794" s="35"/>
    </row>
    <row r="795">
      <c r="A795" s="32" t="s">
        <v>1516</v>
      </c>
      <c r="B795" s="32" t="s">
        <v>32</v>
      </c>
      <c r="C795" s="36" t="s">
        <v>33</v>
      </c>
      <c r="D795" s="36" t="s">
        <v>331</v>
      </c>
      <c r="E795" s="36" t="s">
        <v>33</v>
      </c>
      <c r="F795" s="34" t="s">
        <v>33</v>
      </c>
      <c r="G795" s="37" t="s">
        <v>1517</v>
      </c>
      <c r="H795" s="34" t="s">
        <v>33</v>
      </c>
      <c r="I795" s="35"/>
      <c r="J795" s="35"/>
    </row>
    <row r="796">
      <c r="A796" s="32" t="s">
        <v>1518</v>
      </c>
      <c r="B796" s="32" t="s">
        <v>32</v>
      </c>
      <c r="C796" s="36" t="s">
        <v>33</v>
      </c>
      <c r="D796" s="36" t="s">
        <v>33</v>
      </c>
      <c r="E796" s="36" t="s">
        <v>74</v>
      </c>
      <c r="F796" s="34" t="s">
        <v>33</v>
      </c>
      <c r="G796" s="34" t="s">
        <v>33</v>
      </c>
      <c r="H796" s="37" t="s">
        <v>1519</v>
      </c>
      <c r="I796" s="35"/>
      <c r="J796" s="35"/>
    </row>
    <row r="797">
      <c r="A797" s="32" t="s">
        <v>1520</v>
      </c>
      <c r="B797" s="32" t="s">
        <v>32</v>
      </c>
      <c r="C797" s="36" t="s">
        <v>33</v>
      </c>
      <c r="D797" s="36" t="s">
        <v>33</v>
      </c>
      <c r="E797" s="36" t="s">
        <v>127</v>
      </c>
      <c r="F797" s="34" t="s">
        <v>33</v>
      </c>
      <c r="G797" s="34" t="s">
        <v>33</v>
      </c>
      <c r="H797" s="37" t="s">
        <v>1500</v>
      </c>
      <c r="I797" s="35"/>
      <c r="J797" s="35"/>
    </row>
    <row r="798">
      <c r="A798" s="32" t="s">
        <v>1521</v>
      </c>
      <c r="B798" s="32" t="s">
        <v>32</v>
      </c>
      <c r="C798" s="36" t="s">
        <v>33</v>
      </c>
      <c r="D798" s="36" t="s">
        <v>33</v>
      </c>
      <c r="E798" s="36" t="s">
        <v>58</v>
      </c>
      <c r="F798" s="34" t="s">
        <v>33</v>
      </c>
      <c r="G798" s="34" t="s">
        <v>33</v>
      </c>
      <c r="H798" s="37" t="s">
        <v>1500</v>
      </c>
      <c r="I798" s="35"/>
      <c r="J798" s="35"/>
    </row>
    <row r="799">
      <c r="A799" s="32" t="s">
        <v>1522</v>
      </c>
      <c r="B799" s="32" t="s">
        <v>32</v>
      </c>
      <c r="C799" s="36" t="s">
        <v>33</v>
      </c>
      <c r="D799" s="36" t="s">
        <v>33</v>
      </c>
      <c r="E799" s="36" t="s">
        <v>223</v>
      </c>
      <c r="F799" s="34" t="s">
        <v>33</v>
      </c>
      <c r="G799" s="34" t="s">
        <v>33</v>
      </c>
      <c r="H799" s="37" t="s">
        <v>1523</v>
      </c>
      <c r="I799" s="35"/>
      <c r="J799" s="35"/>
    </row>
    <row r="800">
      <c r="A800" s="32" t="s">
        <v>1524</v>
      </c>
      <c r="B800" s="32" t="s">
        <v>32</v>
      </c>
      <c r="C800" s="36" t="s">
        <v>33</v>
      </c>
      <c r="D800" s="36" t="s">
        <v>851</v>
      </c>
      <c r="E800" s="36" t="s">
        <v>33</v>
      </c>
      <c r="F800" s="34" t="s">
        <v>33</v>
      </c>
      <c r="G800" s="37" t="s">
        <v>1378</v>
      </c>
      <c r="H800" s="34" t="s">
        <v>33</v>
      </c>
      <c r="I800" s="35"/>
      <c r="J800" s="35"/>
    </row>
    <row r="801">
      <c r="A801" s="32" t="s">
        <v>1525</v>
      </c>
      <c r="B801" s="32" t="s">
        <v>32</v>
      </c>
      <c r="C801" s="36" t="s">
        <v>33</v>
      </c>
      <c r="D801" s="36" t="s">
        <v>1068</v>
      </c>
      <c r="E801" s="36" t="s">
        <v>33</v>
      </c>
      <c r="F801" s="34" t="s">
        <v>33</v>
      </c>
      <c r="G801" s="37" t="s">
        <v>521</v>
      </c>
      <c r="H801" s="34" t="s">
        <v>33</v>
      </c>
      <c r="I801" s="35"/>
      <c r="J801" s="35"/>
    </row>
    <row r="802">
      <c r="A802" s="32" t="s">
        <v>1526</v>
      </c>
      <c r="B802" s="32" t="s">
        <v>32</v>
      </c>
      <c r="C802" s="36" t="s">
        <v>33</v>
      </c>
      <c r="D802" s="36" t="s">
        <v>442</v>
      </c>
      <c r="E802" s="36" t="s">
        <v>33</v>
      </c>
      <c r="F802" s="34" t="s">
        <v>33</v>
      </c>
      <c r="G802" s="37" t="s">
        <v>1062</v>
      </c>
      <c r="H802" s="34" t="s">
        <v>33</v>
      </c>
      <c r="I802" s="35"/>
      <c r="J802" s="35"/>
    </row>
    <row r="803">
      <c r="A803" s="32" t="s">
        <v>1527</v>
      </c>
      <c r="B803" s="32" t="s">
        <v>32</v>
      </c>
      <c r="C803" s="36" t="s">
        <v>33</v>
      </c>
      <c r="D803" s="36" t="s">
        <v>33</v>
      </c>
      <c r="E803" s="36" t="s">
        <v>419</v>
      </c>
      <c r="F803" s="34" t="s">
        <v>33</v>
      </c>
      <c r="G803" s="34" t="s">
        <v>33</v>
      </c>
      <c r="H803" s="37" t="s">
        <v>1271</v>
      </c>
      <c r="I803" s="35"/>
      <c r="J803" s="35"/>
    </row>
    <row r="804">
      <c r="A804" s="32" t="s">
        <v>1528</v>
      </c>
      <c r="B804" s="32" t="s">
        <v>32</v>
      </c>
      <c r="C804" s="36" t="s">
        <v>33</v>
      </c>
      <c r="D804" s="36" t="s">
        <v>1293</v>
      </c>
      <c r="E804" s="36" t="s">
        <v>101</v>
      </c>
      <c r="F804" s="34" t="s">
        <v>33</v>
      </c>
      <c r="G804" s="37" t="s">
        <v>614</v>
      </c>
      <c r="H804" s="37" t="s">
        <v>1173</v>
      </c>
      <c r="I804" s="35"/>
      <c r="J804" s="35"/>
    </row>
    <row r="805">
      <c r="A805" s="32" t="s">
        <v>1529</v>
      </c>
      <c r="B805" s="32" t="s">
        <v>38</v>
      </c>
      <c r="C805" s="36" t="s">
        <v>33</v>
      </c>
      <c r="D805" s="36" t="s">
        <v>33</v>
      </c>
      <c r="E805" s="36" t="s">
        <v>67</v>
      </c>
      <c r="F805" s="34" t="s">
        <v>33</v>
      </c>
      <c r="G805" s="34" t="s">
        <v>33</v>
      </c>
      <c r="H805" s="37" t="s">
        <v>1483</v>
      </c>
      <c r="I805" s="35"/>
      <c r="J805" s="35"/>
    </row>
    <row r="806">
      <c r="A806" s="32" t="s">
        <v>1530</v>
      </c>
      <c r="B806" s="32" t="s">
        <v>38</v>
      </c>
      <c r="C806" s="36" t="s">
        <v>33</v>
      </c>
      <c r="D806" s="36" t="s">
        <v>902</v>
      </c>
      <c r="E806" s="36" t="s">
        <v>33</v>
      </c>
      <c r="F806" s="34" t="s">
        <v>33</v>
      </c>
      <c r="G806" s="37" t="s">
        <v>1366</v>
      </c>
      <c r="H806" s="34" t="s">
        <v>33</v>
      </c>
      <c r="I806" s="35"/>
      <c r="J806" s="35"/>
    </row>
    <row r="807">
      <c r="A807" s="32" t="s">
        <v>1531</v>
      </c>
      <c r="B807" s="32" t="s">
        <v>38</v>
      </c>
      <c r="C807" s="36" t="s">
        <v>33</v>
      </c>
      <c r="D807" s="36" t="s">
        <v>33</v>
      </c>
      <c r="E807" s="36" t="s">
        <v>399</v>
      </c>
      <c r="F807" s="34" t="s">
        <v>33</v>
      </c>
      <c r="G807" s="34" t="s">
        <v>33</v>
      </c>
      <c r="H807" s="37" t="s">
        <v>1312</v>
      </c>
      <c r="I807" s="35"/>
      <c r="J807" s="35"/>
    </row>
    <row r="808">
      <c r="A808" s="32" t="s">
        <v>1532</v>
      </c>
      <c r="B808" s="32" t="s">
        <v>38</v>
      </c>
      <c r="C808" s="36" t="s">
        <v>33</v>
      </c>
      <c r="D808" s="36" t="s">
        <v>33</v>
      </c>
      <c r="E808" s="36" t="s">
        <v>591</v>
      </c>
      <c r="F808" s="34" t="s">
        <v>33</v>
      </c>
      <c r="G808" s="34" t="s">
        <v>33</v>
      </c>
      <c r="H808" s="37" t="s">
        <v>969</v>
      </c>
      <c r="I808" s="35"/>
      <c r="J808" s="35"/>
    </row>
    <row r="809">
      <c r="A809" s="32" t="s">
        <v>1533</v>
      </c>
      <c r="B809" s="32" t="s">
        <v>38</v>
      </c>
      <c r="C809" s="36" t="s">
        <v>33</v>
      </c>
      <c r="D809" s="36" t="s">
        <v>33</v>
      </c>
      <c r="E809" s="36" t="s">
        <v>34</v>
      </c>
      <c r="F809" s="34" t="s">
        <v>33</v>
      </c>
      <c r="G809" s="34" t="s">
        <v>33</v>
      </c>
      <c r="H809" s="37" t="s">
        <v>1483</v>
      </c>
      <c r="I809" s="35"/>
      <c r="J809" s="35"/>
    </row>
    <row r="810">
      <c r="A810" s="32" t="s">
        <v>1534</v>
      </c>
      <c r="B810" s="32" t="s">
        <v>38</v>
      </c>
      <c r="C810" s="36" t="s">
        <v>33</v>
      </c>
      <c r="D810" s="36" t="s">
        <v>33</v>
      </c>
      <c r="E810" s="36" t="s">
        <v>67</v>
      </c>
      <c r="F810" s="34" t="s">
        <v>33</v>
      </c>
      <c r="G810" s="34" t="s">
        <v>33</v>
      </c>
      <c r="H810" s="37" t="s">
        <v>459</v>
      </c>
      <c r="I810" s="35"/>
      <c r="J810" s="35"/>
    </row>
    <row r="811">
      <c r="A811" s="32" t="s">
        <v>1535</v>
      </c>
      <c r="B811" s="32" t="s">
        <v>38</v>
      </c>
      <c r="C811" s="36" t="s">
        <v>33</v>
      </c>
      <c r="D811" s="36" t="s">
        <v>442</v>
      </c>
      <c r="E811" s="36" t="s">
        <v>33</v>
      </c>
      <c r="F811" s="34" t="s">
        <v>33</v>
      </c>
      <c r="G811" s="37" t="s">
        <v>1308</v>
      </c>
      <c r="H811" s="34" t="s">
        <v>33</v>
      </c>
      <c r="I811" s="35"/>
      <c r="J811" s="35"/>
    </row>
    <row r="812">
      <c r="A812" s="32" t="s">
        <v>1536</v>
      </c>
      <c r="B812" s="32" t="s">
        <v>38</v>
      </c>
      <c r="C812" s="36" t="s">
        <v>33</v>
      </c>
      <c r="D812" s="36" t="s">
        <v>33</v>
      </c>
      <c r="E812" s="36" t="s">
        <v>63</v>
      </c>
      <c r="F812" s="34" t="s">
        <v>33</v>
      </c>
      <c r="G812" s="34" t="s">
        <v>33</v>
      </c>
      <c r="H812" s="37" t="s">
        <v>1271</v>
      </c>
      <c r="I812" s="35"/>
      <c r="J812" s="35"/>
    </row>
    <row r="813">
      <c r="A813" s="32" t="s">
        <v>1537</v>
      </c>
      <c r="B813" s="32" t="s">
        <v>38</v>
      </c>
      <c r="C813" s="36" t="s">
        <v>33</v>
      </c>
      <c r="D813" s="36" t="s">
        <v>232</v>
      </c>
      <c r="E813" s="36" t="s">
        <v>33</v>
      </c>
      <c r="F813" s="34" t="s">
        <v>33</v>
      </c>
      <c r="G813" s="37" t="s">
        <v>1339</v>
      </c>
      <c r="H813" s="34" t="s">
        <v>33</v>
      </c>
      <c r="I813" s="35"/>
      <c r="J813" s="35"/>
    </row>
    <row r="814">
      <c r="A814" s="32" t="s">
        <v>1538</v>
      </c>
      <c r="B814" s="32" t="s">
        <v>38</v>
      </c>
      <c r="C814" s="36" t="s">
        <v>33</v>
      </c>
      <c r="D814" s="36" t="s">
        <v>385</v>
      </c>
      <c r="E814" s="36" t="s">
        <v>33</v>
      </c>
      <c r="F814" s="34" t="s">
        <v>33</v>
      </c>
      <c r="G814" s="37" t="s">
        <v>1539</v>
      </c>
      <c r="H814" s="34" t="s">
        <v>33</v>
      </c>
      <c r="I814" s="35"/>
      <c r="J814" s="35"/>
    </row>
    <row r="815">
      <c r="A815" s="32" t="s">
        <v>1540</v>
      </c>
      <c r="B815" s="32" t="s">
        <v>38</v>
      </c>
      <c r="C815" s="36" t="s">
        <v>33</v>
      </c>
      <c r="D815" s="36" t="s">
        <v>33</v>
      </c>
      <c r="E815" s="36" t="s">
        <v>53</v>
      </c>
      <c r="F815" s="34" t="s">
        <v>33</v>
      </c>
      <c r="G815" s="34" t="s">
        <v>33</v>
      </c>
      <c r="H815" s="37" t="s">
        <v>359</v>
      </c>
      <c r="I815" s="35"/>
      <c r="J815" s="35"/>
    </row>
    <row r="816">
      <c r="A816" s="32" t="s">
        <v>1541</v>
      </c>
      <c r="B816" s="32" t="s">
        <v>38</v>
      </c>
      <c r="C816" s="36" t="s">
        <v>33</v>
      </c>
      <c r="D816" s="36" t="s">
        <v>105</v>
      </c>
      <c r="E816" s="36" t="s">
        <v>33</v>
      </c>
      <c r="F816" s="34" t="s">
        <v>33</v>
      </c>
      <c r="G816" s="37" t="s">
        <v>1191</v>
      </c>
      <c r="H816" s="34" t="s">
        <v>33</v>
      </c>
      <c r="I816" s="35"/>
      <c r="J816" s="35"/>
    </row>
    <row r="817">
      <c r="A817" s="32" t="s">
        <v>1542</v>
      </c>
      <c r="B817" s="32" t="s">
        <v>38</v>
      </c>
      <c r="C817" s="36" t="s">
        <v>33</v>
      </c>
      <c r="D817" s="36" t="s">
        <v>27</v>
      </c>
      <c r="E817" s="36" t="s">
        <v>41</v>
      </c>
      <c r="F817" s="34" t="s">
        <v>33</v>
      </c>
      <c r="G817" s="37" t="s">
        <v>400</v>
      </c>
      <c r="H817" s="37" t="s">
        <v>1418</v>
      </c>
      <c r="I817" s="35"/>
      <c r="J817" s="35"/>
    </row>
    <row r="818">
      <c r="A818" s="32" t="s">
        <v>1543</v>
      </c>
      <c r="B818" s="32" t="s">
        <v>38</v>
      </c>
      <c r="C818" s="36" t="s">
        <v>33</v>
      </c>
      <c r="D818" s="36" t="s">
        <v>68</v>
      </c>
      <c r="E818" s="36" t="s">
        <v>331</v>
      </c>
      <c r="F818" s="34" t="s">
        <v>33</v>
      </c>
      <c r="G818" s="37" t="s">
        <v>1423</v>
      </c>
      <c r="H818" s="37" t="s">
        <v>1544</v>
      </c>
      <c r="I818" s="35"/>
      <c r="J818" s="35"/>
    </row>
    <row r="819">
      <c r="A819" s="32" t="s">
        <v>1545</v>
      </c>
      <c r="B819" s="32" t="s">
        <v>38</v>
      </c>
      <c r="C819" s="36" t="s">
        <v>33</v>
      </c>
      <c r="D819" s="36" t="s">
        <v>33</v>
      </c>
      <c r="E819" s="36" t="s">
        <v>26</v>
      </c>
      <c r="F819" s="34" t="s">
        <v>33</v>
      </c>
      <c r="G819" s="34" t="s">
        <v>33</v>
      </c>
      <c r="H819" s="37" t="s">
        <v>1393</v>
      </c>
      <c r="I819" s="35"/>
      <c r="J819" s="35"/>
    </row>
    <row r="820">
      <c r="A820" s="32" t="s">
        <v>1546</v>
      </c>
      <c r="B820" s="32" t="s">
        <v>38</v>
      </c>
      <c r="C820" s="36" t="s">
        <v>33</v>
      </c>
      <c r="D820" s="36" t="s">
        <v>754</v>
      </c>
      <c r="E820" s="36" t="s">
        <v>33</v>
      </c>
      <c r="F820" s="34" t="s">
        <v>33</v>
      </c>
      <c r="G820" s="37" t="s">
        <v>1547</v>
      </c>
      <c r="H820" s="34" t="s">
        <v>33</v>
      </c>
      <c r="I820" s="35"/>
      <c r="J820" s="35"/>
    </row>
    <row r="821">
      <c r="A821" s="32" t="s">
        <v>1548</v>
      </c>
      <c r="B821" s="32" t="s">
        <v>38</v>
      </c>
      <c r="C821" s="36" t="s">
        <v>33</v>
      </c>
      <c r="D821" s="36" t="s">
        <v>63</v>
      </c>
      <c r="E821" s="36" t="s">
        <v>26</v>
      </c>
      <c r="F821" s="34" t="s">
        <v>33</v>
      </c>
      <c r="G821" s="37" t="s">
        <v>490</v>
      </c>
      <c r="H821" s="37" t="s">
        <v>524</v>
      </c>
      <c r="I821" s="35"/>
      <c r="J821" s="35"/>
    </row>
    <row r="822">
      <c r="A822" s="32" t="s">
        <v>1549</v>
      </c>
      <c r="B822" s="32" t="s">
        <v>38</v>
      </c>
      <c r="C822" s="36" t="s">
        <v>33</v>
      </c>
      <c r="D822" s="36" t="s">
        <v>33</v>
      </c>
      <c r="E822" s="36" t="s">
        <v>101</v>
      </c>
      <c r="F822" s="34" t="s">
        <v>33</v>
      </c>
      <c r="G822" s="34" t="s">
        <v>33</v>
      </c>
      <c r="H822" s="37" t="s">
        <v>1414</v>
      </c>
      <c r="I822" s="35"/>
      <c r="J822" s="35"/>
    </row>
    <row r="823">
      <c r="A823" s="32" t="s">
        <v>1550</v>
      </c>
      <c r="B823" s="32" t="s">
        <v>38</v>
      </c>
      <c r="C823" s="36" t="s">
        <v>33</v>
      </c>
      <c r="D823" s="36" t="s">
        <v>33</v>
      </c>
      <c r="E823" s="36" t="s">
        <v>799</v>
      </c>
      <c r="F823" s="34" t="s">
        <v>33</v>
      </c>
      <c r="G823" s="34" t="s">
        <v>33</v>
      </c>
      <c r="H823" s="37" t="s">
        <v>1551</v>
      </c>
      <c r="I823" s="35"/>
      <c r="J823" s="35"/>
    </row>
    <row r="824">
      <c r="A824" s="32" t="s">
        <v>1552</v>
      </c>
      <c r="B824" s="32" t="s">
        <v>38</v>
      </c>
      <c r="C824" s="36" t="s">
        <v>33</v>
      </c>
      <c r="D824" s="36" t="s">
        <v>105</v>
      </c>
      <c r="E824" s="36" t="s">
        <v>33</v>
      </c>
      <c r="F824" s="34" t="s">
        <v>33</v>
      </c>
      <c r="G824" s="37" t="s">
        <v>1211</v>
      </c>
      <c r="H824" s="34" t="s">
        <v>33</v>
      </c>
      <c r="I824" s="35"/>
      <c r="J824" s="35"/>
    </row>
    <row r="825">
      <c r="A825" s="32" t="s">
        <v>1553</v>
      </c>
      <c r="B825" s="32" t="s">
        <v>38</v>
      </c>
      <c r="C825" s="36" t="s">
        <v>33</v>
      </c>
      <c r="D825" s="36" t="s">
        <v>902</v>
      </c>
      <c r="E825" s="36" t="s">
        <v>851</v>
      </c>
      <c r="F825" s="34" t="s">
        <v>33</v>
      </c>
      <c r="G825" s="37" t="s">
        <v>1366</v>
      </c>
      <c r="H825" s="37" t="s">
        <v>1480</v>
      </c>
      <c r="I825" s="35"/>
      <c r="J825" s="35"/>
    </row>
    <row r="826">
      <c r="A826" s="32" t="s">
        <v>1554</v>
      </c>
      <c r="B826" s="32" t="s">
        <v>38</v>
      </c>
      <c r="C826" s="36" t="s">
        <v>33</v>
      </c>
      <c r="D826" s="36" t="s">
        <v>74</v>
      </c>
      <c r="E826" s="36" t="s">
        <v>33</v>
      </c>
      <c r="F826" s="34" t="s">
        <v>33</v>
      </c>
      <c r="G826" s="37" t="s">
        <v>281</v>
      </c>
      <c r="H826" s="34" t="s">
        <v>33</v>
      </c>
      <c r="I826" s="35"/>
      <c r="J826" s="35"/>
    </row>
    <row r="827">
      <c r="A827" s="32" t="s">
        <v>1555</v>
      </c>
      <c r="B827" s="32" t="s">
        <v>38</v>
      </c>
      <c r="C827" s="36" t="s">
        <v>33</v>
      </c>
      <c r="D827" s="36" t="s">
        <v>146</v>
      </c>
      <c r="E827" s="36" t="s">
        <v>389</v>
      </c>
      <c r="F827" s="34" t="s">
        <v>33</v>
      </c>
      <c r="G827" s="37" t="s">
        <v>281</v>
      </c>
      <c r="H827" s="37" t="s">
        <v>1189</v>
      </c>
      <c r="I827" s="35"/>
      <c r="J827" s="35"/>
    </row>
    <row r="828">
      <c r="A828" s="32" t="s">
        <v>1556</v>
      </c>
      <c r="B828" s="32" t="s">
        <v>38</v>
      </c>
      <c r="C828" s="36" t="s">
        <v>33</v>
      </c>
      <c r="D828" s="36" t="s">
        <v>33</v>
      </c>
      <c r="E828" s="36" t="s">
        <v>450</v>
      </c>
      <c r="F828" s="34" t="s">
        <v>33</v>
      </c>
      <c r="G828" s="34" t="s">
        <v>33</v>
      </c>
      <c r="H828" s="37" t="s">
        <v>1080</v>
      </c>
      <c r="I828" s="35"/>
      <c r="J828" s="35"/>
    </row>
    <row r="829">
      <c r="A829" s="32" t="s">
        <v>1557</v>
      </c>
      <c r="B829" s="32" t="s">
        <v>38</v>
      </c>
      <c r="C829" s="36" t="s">
        <v>33</v>
      </c>
      <c r="D829" s="36" t="s">
        <v>33</v>
      </c>
      <c r="E829" s="36" t="s">
        <v>851</v>
      </c>
      <c r="F829" s="34" t="s">
        <v>33</v>
      </c>
      <c r="G829" s="34" t="s">
        <v>33</v>
      </c>
      <c r="H829" s="37" t="s">
        <v>924</v>
      </c>
      <c r="I829" s="35"/>
      <c r="J829" s="35"/>
    </row>
    <row r="830">
      <c r="A830" s="32" t="s">
        <v>1558</v>
      </c>
      <c r="B830" s="32" t="s">
        <v>38</v>
      </c>
      <c r="C830" s="36" t="s">
        <v>33</v>
      </c>
      <c r="D830" s="36" t="s">
        <v>1293</v>
      </c>
      <c r="E830" s="36" t="s">
        <v>33</v>
      </c>
      <c r="F830" s="34" t="s">
        <v>33</v>
      </c>
      <c r="G830" s="37" t="s">
        <v>281</v>
      </c>
      <c r="H830" s="34" t="s">
        <v>33</v>
      </c>
      <c r="I830" s="35"/>
      <c r="J830" s="35"/>
    </row>
    <row r="831">
      <c r="A831" s="32" t="s">
        <v>1559</v>
      </c>
      <c r="B831" s="32" t="s">
        <v>38</v>
      </c>
      <c r="C831" s="36" t="s">
        <v>33</v>
      </c>
      <c r="D831" s="36" t="s">
        <v>206</v>
      </c>
      <c r="E831" s="36" t="s">
        <v>33</v>
      </c>
      <c r="F831" s="34" t="s">
        <v>33</v>
      </c>
      <c r="G831" s="37" t="s">
        <v>1069</v>
      </c>
      <c r="H831" s="34" t="s">
        <v>33</v>
      </c>
      <c r="I831" s="35"/>
      <c r="J831" s="35"/>
    </row>
    <row r="832">
      <c r="A832" s="32" t="s">
        <v>1560</v>
      </c>
      <c r="B832" s="32" t="s">
        <v>38</v>
      </c>
      <c r="C832" s="36" t="s">
        <v>33</v>
      </c>
      <c r="D832" s="36" t="s">
        <v>240</v>
      </c>
      <c r="E832" s="36" t="s">
        <v>33</v>
      </c>
      <c r="F832" s="34" t="s">
        <v>33</v>
      </c>
      <c r="G832" s="37" t="s">
        <v>1142</v>
      </c>
      <c r="H832" s="34" t="s">
        <v>33</v>
      </c>
      <c r="I832" s="35"/>
      <c r="J832" s="35"/>
    </row>
    <row r="833">
      <c r="A833" s="32" t="s">
        <v>1561</v>
      </c>
      <c r="B833" s="32" t="s">
        <v>38</v>
      </c>
      <c r="C833" s="36" t="s">
        <v>33</v>
      </c>
      <c r="D833" s="36" t="s">
        <v>178</v>
      </c>
      <c r="E833" s="36" t="s">
        <v>95</v>
      </c>
      <c r="F833" s="34" t="s">
        <v>33</v>
      </c>
      <c r="G833" s="37" t="s">
        <v>585</v>
      </c>
      <c r="H833" s="37" t="s">
        <v>1358</v>
      </c>
      <c r="I833" s="35"/>
      <c r="J833" s="35"/>
    </row>
    <row r="834">
      <c r="A834" s="32" t="s">
        <v>1562</v>
      </c>
      <c r="B834" s="32" t="s">
        <v>38</v>
      </c>
      <c r="C834" s="36" t="s">
        <v>33</v>
      </c>
      <c r="D834" s="36" t="s">
        <v>33</v>
      </c>
      <c r="E834" s="36" t="s">
        <v>1040</v>
      </c>
      <c r="F834" s="34" t="s">
        <v>33</v>
      </c>
      <c r="G834" s="34" t="s">
        <v>33</v>
      </c>
      <c r="H834" s="37" t="s">
        <v>395</v>
      </c>
      <c r="I834" s="35"/>
      <c r="J834" s="35"/>
    </row>
    <row r="835">
      <c r="A835" s="32" t="s">
        <v>1563</v>
      </c>
      <c r="B835" s="32" t="s">
        <v>38</v>
      </c>
      <c r="C835" s="36" t="s">
        <v>33</v>
      </c>
      <c r="D835" s="36" t="s">
        <v>199</v>
      </c>
      <c r="E835" s="36" t="s">
        <v>33</v>
      </c>
      <c r="F835" s="34" t="s">
        <v>33</v>
      </c>
      <c r="G835" s="37" t="s">
        <v>1564</v>
      </c>
      <c r="H835" s="34" t="s">
        <v>33</v>
      </c>
      <c r="I835" s="35"/>
      <c r="J835" s="35"/>
    </row>
    <row r="836">
      <c r="A836" s="32" t="s">
        <v>1565</v>
      </c>
      <c r="B836" s="32" t="s">
        <v>38</v>
      </c>
      <c r="C836" s="36" t="s">
        <v>33</v>
      </c>
      <c r="D836" s="36" t="s">
        <v>165</v>
      </c>
      <c r="E836" s="36" t="s">
        <v>232</v>
      </c>
      <c r="F836" s="34" t="s">
        <v>33</v>
      </c>
      <c r="G836" s="37" t="s">
        <v>1436</v>
      </c>
      <c r="H836" s="37" t="s">
        <v>777</v>
      </c>
      <c r="I836" s="35"/>
      <c r="J836" s="35"/>
    </row>
    <row r="837">
      <c r="A837" s="32" t="s">
        <v>1566</v>
      </c>
      <c r="B837" s="32" t="s">
        <v>38</v>
      </c>
      <c r="C837" s="36" t="s">
        <v>33</v>
      </c>
      <c r="D837" s="36" t="s">
        <v>33</v>
      </c>
      <c r="E837" s="36" t="s">
        <v>58</v>
      </c>
      <c r="F837" s="34" t="s">
        <v>33</v>
      </c>
      <c r="G837" s="34" t="s">
        <v>33</v>
      </c>
      <c r="H837" s="37" t="s">
        <v>1432</v>
      </c>
      <c r="I837" s="35"/>
      <c r="J837" s="35"/>
    </row>
    <row r="838">
      <c r="A838" s="32" t="s">
        <v>1567</v>
      </c>
      <c r="B838" s="32" t="s">
        <v>38</v>
      </c>
      <c r="C838" s="36" t="s">
        <v>33</v>
      </c>
      <c r="D838" s="36" t="s">
        <v>33</v>
      </c>
      <c r="E838" s="36" t="s">
        <v>58</v>
      </c>
      <c r="F838" s="34" t="s">
        <v>33</v>
      </c>
      <c r="G838" s="34" t="s">
        <v>33</v>
      </c>
      <c r="H838" s="37" t="s">
        <v>1432</v>
      </c>
      <c r="I838" s="35"/>
      <c r="J838" s="35"/>
    </row>
    <row r="839">
      <c r="A839" s="32" t="s">
        <v>1568</v>
      </c>
      <c r="B839" s="32" t="s">
        <v>38</v>
      </c>
      <c r="C839" s="36" t="s">
        <v>33</v>
      </c>
      <c r="D839" s="36" t="s">
        <v>33</v>
      </c>
      <c r="E839" s="36" t="s">
        <v>58</v>
      </c>
      <c r="F839" s="34" t="s">
        <v>33</v>
      </c>
      <c r="G839" s="34" t="s">
        <v>33</v>
      </c>
      <c r="H839" s="37" t="s">
        <v>1432</v>
      </c>
      <c r="I839" s="35"/>
      <c r="J839" s="35"/>
    </row>
    <row r="840">
      <c r="A840" s="32" t="s">
        <v>1569</v>
      </c>
      <c r="B840" s="32" t="s">
        <v>38</v>
      </c>
      <c r="C840" s="36" t="s">
        <v>33</v>
      </c>
      <c r="D840" s="36" t="s">
        <v>33</v>
      </c>
      <c r="E840" s="36" t="s">
        <v>26</v>
      </c>
      <c r="F840" s="34" t="s">
        <v>33</v>
      </c>
      <c r="G840" s="34" t="s">
        <v>33</v>
      </c>
      <c r="H840" s="37" t="s">
        <v>1432</v>
      </c>
      <c r="I840" s="35"/>
      <c r="J840" s="35"/>
    </row>
    <row r="841">
      <c r="A841" s="32" t="s">
        <v>1570</v>
      </c>
      <c r="B841" s="32" t="s">
        <v>38</v>
      </c>
      <c r="C841" s="36" t="s">
        <v>33</v>
      </c>
      <c r="D841" s="36" t="s">
        <v>33</v>
      </c>
      <c r="E841" s="36" t="s">
        <v>49</v>
      </c>
      <c r="F841" s="34" t="s">
        <v>33</v>
      </c>
      <c r="G841" s="34" t="s">
        <v>33</v>
      </c>
      <c r="H841" s="37" t="s">
        <v>1571</v>
      </c>
      <c r="I841" s="35"/>
      <c r="J841" s="35"/>
    </row>
    <row r="842">
      <c r="A842" s="32" t="s">
        <v>1572</v>
      </c>
      <c r="B842" s="32" t="s">
        <v>38</v>
      </c>
      <c r="C842" s="36" t="s">
        <v>33</v>
      </c>
      <c r="D842" s="36" t="s">
        <v>67</v>
      </c>
      <c r="E842" s="36" t="s">
        <v>33</v>
      </c>
      <c r="F842" s="34" t="s">
        <v>33</v>
      </c>
      <c r="G842" s="37" t="s">
        <v>1573</v>
      </c>
      <c r="H842" s="34" t="s">
        <v>33</v>
      </c>
      <c r="I842" s="35"/>
      <c r="J842" s="35"/>
    </row>
    <row r="843">
      <c r="A843" s="32" t="s">
        <v>1574</v>
      </c>
      <c r="B843" s="32" t="s">
        <v>38</v>
      </c>
      <c r="C843" s="36" t="s">
        <v>33</v>
      </c>
      <c r="D843" s="36" t="s">
        <v>218</v>
      </c>
      <c r="E843" s="36" t="s">
        <v>33</v>
      </c>
      <c r="F843" s="34" t="s">
        <v>33</v>
      </c>
      <c r="G843" s="37" t="s">
        <v>1191</v>
      </c>
      <c r="H843" s="34" t="s">
        <v>33</v>
      </c>
      <c r="I843" s="35"/>
      <c r="J843" s="35"/>
    </row>
    <row r="844">
      <c r="A844" s="32" t="s">
        <v>1575</v>
      </c>
      <c r="B844" s="32" t="s">
        <v>38</v>
      </c>
      <c r="C844" s="36" t="s">
        <v>33</v>
      </c>
      <c r="D844" s="36" t="s">
        <v>34</v>
      </c>
      <c r="E844" s="36" t="s">
        <v>331</v>
      </c>
      <c r="F844" s="34" t="s">
        <v>33</v>
      </c>
      <c r="G844" s="37" t="s">
        <v>1308</v>
      </c>
      <c r="H844" s="37" t="s">
        <v>1451</v>
      </c>
      <c r="I844" s="35"/>
      <c r="J844" s="35"/>
    </row>
    <row r="845">
      <c r="A845" s="32" t="s">
        <v>1576</v>
      </c>
      <c r="B845" s="32" t="s">
        <v>38</v>
      </c>
      <c r="C845" s="36" t="s">
        <v>33</v>
      </c>
      <c r="D845" s="36" t="s">
        <v>140</v>
      </c>
      <c r="E845" s="36" t="s">
        <v>385</v>
      </c>
      <c r="F845" s="34" t="s">
        <v>33</v>
      </c>
      <c r="G845" s="37" t="s">
        <v>1459</v>
      </c>
      <c r="H845" s="37" t="s">
        <v>1460</v>
      </c>
      <c r="I845" s="35"/>
      <c r="J845" s="35"/>
    </row>
    <row r="846">
      <c r="A846" s="32" t="s">
        <v>1577</v>
      </c>
      <c r="B846" s="32" t="s">
        <v>38</v>
      </c>
      <c r="C846" s="36" t="s">
        <v>33</v>
      </c>
      <c r="D846" s="36" t="s">
        <v>33</v>
      </c>
      <c r="E846" s="36" t="s">
        <v>533</v>
      </c>
      <c r="F846" s="34" t="s">
        <v>33</v>
      </c>
      <c r="G846" s="34" t="s">
        <v>33</v>
      </c>
      <c r="H846" s="37" t="s">
        <v>1578</v>
      </c>
      <c r="I846" s="35"/>
      <c r="J846" s="35"/>
    </row>
    <row r="847">
      <c r="A847" s="32" t="s">
        <v>1579</v>
      </c>
      <c r="B847" s="32" t="s">
        <v>38</v>
      </c>
      <c r="C847" s="36" t="s">
        <v>33</v>
      </c>
      <c r="D847" s="36" t="s">
        <v>754</v>
      </c>
      <c r="E847" s="36" t="s">
        <v>33</v>
      </c>
      <c r="F847" s="34" t="s">
        <v>33</v>
      </c>
      <c r="G847" s="37" t="s">
        <v>1223</v>
      </c>
      <c r="H847" s="34" t="s">
        <v>33</v>
      </c>
      <c r="I847" s="35"/>
      <c r="J847" s="35"/>
    </row>
    <row r="848">
      <c r="A848" s="32" t="s">
        <v>1580</v>
      </c>
      <c r="B848" s="32" t="s">
        <v>38</v>
      </c>
      <c r="C848" s="36" t="s">
        <v>33</v>
      </c>
      <c r="D848" s="36" t="s">
        <v>33</v>
      </c>
      <c r="E848" s="36" t="s">
        <v>157</v>
      </c>
      <c r="F848" s="34" t="s">
        <v>33</v>
      </c>
      <c r="G848" s="34" t="s">
        <v>33</v>
      </c>
      <c r="H848" s="37" t="s">
        <v>1080</v>
      </c>
      <c r="I848" s="35"/>
      <c r="J848" s="35"/>
    </row>
    <row r="849">
      <c r="A849" s="32" t="s">
        <v>1581</v>
      </c>
      <c r="B849" s="32" t="s">
        <v>38</v>
      </c>
      <c r="C849" s="36" t="s">
        <v>33</v>
      </c>
      <c r="D849" s="36" t="s">
        <v>33</v>
      </c>
      <c r="E849" s="36" t="s">
        <v>255</v>
      </c>
      <c r="F849" s="34" t="s">
        <v>33</v>
      </c>
      <c r="G849" s="34" t="s">
        <v>33</v>
      </c>
      <c r="H849" s="37" t="s">
        <v>1582</v>
      </c>
      <c r="I849" s="35"/>
      <c r="J849" s="35"/>
    </row>
    <row r="850">
      <c r="A850" s="32" t="s">
        <v>1583</v>
      </c>
      <c r="B850" s="32" t="s">
        <v>38</v>
      </c>
      <c r="C850" s="36" t="s">
        <v>33</v>
      </c>
      <c r="D850" s="36" t="s">
        <v>33</v>
      </c>
      <c r="E850" s="36" t="s">
        <v>389</v>
      </c>
      <c r="F850" s="34" t="s">
        <v>33</v>
      </c>
      <c r="G850" s="34" t="s">
        <v>33</v>
      </c>
      <c r="H850" s="37" t="s">
        <v>862</v>
      </c>
      <c r="I850" s="35"/>
      <c r="J850" s="35"/>
    </row>
    <row r="851">
      <c r="A851" s="32" t="s">
        <v>1584</v>
      </c>
      <c r="B851" s="32" t="s">
        <v>38</v>
      </c>
      <c r="C851" s="36" t="s">
        <v>33</v>
      </c>
      <c r="D851" s="36" t="s">
        <v>51</v>
      </c>
      <c r="E851" s="36" t="s">
        <v>33</v>
      </c>
      <c r="F851" s="34" t="s">
        <v>33</v>
      </c>
      <c r="G851" s="37" t="s">
        <v>773</v>
      </c>
      <c r="H851" s="34" t="s">
        <v>33</v>
      </c>
      <c r="I851" s="35"/>
      <c r="J851" s="35"/>
    </row>
    <row r="852">
      <c r="A852" s="32" t="s">
        <v>1585</v>
      </c>
      <c r="B852" s="32" t="s">
        <v>38</v>
      </c>
      <c r="C852" s="36" t="s">
        <v>33</v>
      </c>
      <c r="D852" s="36" t="s">
        <v>371</v>
      </c>
      <c r="E852" s="36" t="s">
        <v>33</v>
      </c>
      <c r="F852" s="34" t="s">
        <v>33</v>
      </c>
      <c r="G852" s="37" t="s">
        <v>1445</v>
      </c>
      <c r="H852" s="34" t="s">
        <v>33</v>
      </c>
      <c r="I852" s="35"/>
      <c r="J852" s="35"/>
    </row>
    <row r="853">
      <c r="A853" s="32" t="s">
        <v>1586</v>
      </c>
      <c r="B853" s="32" t="s">
        <v>38</v>
      </c>
      <c r="C853" s="36" t="s">
        <v>33</v>
      </c>
      <c r="D853" s="36" t="s">
        <v>33</v>
      </c>
      <c r="E853" s="36" t="s">
        <v>466</v>
      </c>
      <c r="F853" s="34" t="s">
        <v>33</v>
      </c>
      <c r="G853" s="34" t="s">
        <v>33</v>
      </c>
      <c r="H853" s="37" t="s">
        <v>1414</v>
      </c>
      <c r="I853" s="35"/>
      <c r="J853" s="35"/>
    </row>
    <row r="854">
      <c r="A854" s="32" t="s">
        <v>1587</v>
      </c>
      <c r="B854" s="32" t="s">
        <v>38</v>
      </c>
      <c r="C854" s="36" t="s">
        <v>33</v>
      </c>
      <c r="D854" s="36" t="s">
        <v>33</v>
      </c>
      <c r="E854" s="36" t="s">
        <v>63</v>
      </c>
      <c r="F854" s="34" t="s">
        <v>33</v>
      </c>
      <c r="G854" s="34" t="s">
        <v>33</v>
      </c>
      <c r="H854" s="37" t="s">
        <v>1414</v>
      </c>
      <c r="I854" s="35"/>
      <c r="J854" s="35"/>
    </row>
    <row r="855">
      <c r="A855" s="32" t="s">
        <v>1588</v>
      </c>
      <c r="B855" s="32" t="s">
        <v>38</v>
      </c>
      <c r="C855" s="36" t="s">
        <v>33</v>
      </c>
      <c r="D855" s="36" t="s">
        <v>1293</v>
      </c>
      <c r="E855" s="36" t="s">
        <v>266</v>
      </c>
      <c r="F855" s="34" t="s">
        <v>33</v>
      </c>
      <c r="G855" s="37" t="s">
        <v>1223</v>
      </c>
      <c r="H855" s="37" t="s">
        <v>1328</v>
      </c>
      <c r="I855" s="35"/>
      <c r="J855" s="35"/>
    </row>
    <row r="856">
      <c r="A856" s="32" t="s">
        <v>1589</v>
      </c>
      <c r="B856" s="32" t="s">
        <v>38</v>
      </c>
      <c r="C856" s="36" t="s">
        <v>33</v>
      </c>
      <c r="D856" s="36" t="s">
        <v>466</v>
      </c>
      <c r="E856" s="36" t="s">
        <v>66</v>
      </c>
      <c r="F856" s="34" t="s">
        <v>33</v>
      </c>
      <c r="G856" s="37" t="s">
        <v>1590</v>
      </c>
      <c r="H856" s="37" t="s">
        <v>1591</v>
      </c>
      <c r="I856" s="35"/>
      <c r="J856" s="35"/>
    </row>
    <row r="857">
      <c r="A857" s="32" t="s">
        <v>1592</v>
      </c>
      <c r="B857" s="32" t="s">
        <v>38</v>
      </c>
      <c r="C857" s="36" t="s">
        <v>33</v>
      </c>
      <c r="D857" s="36" t="s">
        <v>33</v>
      </c>
      <c r="E857" s="36" t="s">
        <v>91</v>
      </c>
      <c r="F857" s="34" t="s">
        <v>33</v>
      </c>
      <c r="G857" s="34" t="s">
        <v>33</v>
      </c>
      <c r="H857" s="37" t="s">
        <v>1523</v>
      </c>
      <c r="I857" s="35"/>
      <c r="J857" s="35"/>
    </row>
    <row r="858">
      <c r="A858" s="32" t="s">
        <v>1593</v>
      </c>
      <c r="B858" s="32" t="s">
        <v>38</v>
      </c>
      <c r="C858" s="36" t="s">
        <v>33</v>
      </c>
      <c r="D858" s="36" t="s">
        <v>33</v>
      </c>
      <c r="E858" s="36" t="s">
        <v>1068</v>
      </c>
      <c r="F858" s="34" t="s">
        <v>33</v>
      </c>
      <c r="G858" s="34" t="s">
        <v>33</v>
      </c>
      <c r="H858" s="37" t="s">
        <v>1594</v>
      </c>
      <c r="I858" s="35"/>
      <c r="J858" s="35"/>
    </row>
    <row r="859">
      <c r="A859" s="32" t="s">
        <v>1595</v>
      </c>
      <c r="B859" s="32" t="s">
        <v>38</v>
      </c>
      <c r="C859" s="36" t="s">
        <v>33</v>
      </c>
      <c r="D859" s="36" t="s">
        <v>199</v>
      </c>
      <c r="E859" s="36" t="s">
        <v>33</v>
      </c>
      <c r="F859" s="34" t="s">
        <v>33</v>
      </c>
      <c r="G859" s="37" t="s">
        <v>990</v>
      </c>
      <c r="H859" s="34" t="s">
        <v>33</v>
      </c>
      <c r="I859" s="35"/>
      <c r="J859" s="35"/>
    </row>
    <row r="860">
      <c r="A860" s="32" t="s">
        <v>1596</v>
      </c>
      <c r="B860" s="32" t="s">
        <v>38</v>
      </c>
      <c r="C860" s="36" t="s">
        <v>33</v>
      </c>
      <c r="D860" s="36" t="s">
        <v>46</v>
      </c>
      <c r="E860" s="36" t="s">
        <v>82</v>
      </c>
      <c r="F860" s="34" t="s">
        <v>33</v>
      </c>
      <c r="G860" s="37" t="s">
        <v>1436</v>
      </c>
      <c r="H860" s="37" t="s">
        <v>777</v>
      </c>
      <c r="I860" s="35"/>
      <c r="J860" s="35"/>
    </row>
    <row r="861">
      <c r="A861" s="32" t="s">
        <v>1597</v>
      </c>
      <c r="B861" s="32" t="s">
        <v>38</v>
      </c>
      <c r="C861" s="36" t="s">
        <v>33</v>
      </c>
      <c r="D861" s="36" t="s">
        <v>87</v>
      </c>
      <c r="E861" s="36" t="s">
        <v>156</v>
      </c>
      <c r="F861" s="34" t="s">
        <v>33</v>
      </c>
      <c r="G861" s="37" t="s">
        <v>1069</v>
      </c>
      <c r="H861" s="37" t="s">
        <v>1477</v>
      </c>
      <c r="I861" s="35"/>
      <c r="J861" s="35"/>
    </row>
    <row r="862">
      <c r="A862" s="32" t="s">
        <v>1598</v>
      </c>
      <c r="B862" s="32" t="s">
        <v>38</v>
      </c>
      <c r="C862" s="36" t="s">
        <v>33</v>
      </c>
      <c r="D862" s="36" t="s">
        <v>240</v>
      </c>
      <c r="E862" s="36" t="s">
        <v>33</v>
      </c>
      <c r="F862" s="34" t="s">
        <v>33</v>
      </c>
      <c r="G862" s="37" t="s">
        <v>1343</v>
      </c>
      <c r="H862" s="34" t="s">
        <v>33</v>
      </c>
      <c r="I862" s="35"/>
      <c r="J862" s="35"/>
    </row>
    <row r="863">
      <c r="A863" s="32" t="s">
        <v>1599</v>
      </c>
      <c r="B863" s="32" t="s">
        <v>38</v>
      </c>
      <c r="C863" s="36" t="s">
        <v>33</v>
      </c>
      <c r="D863" s="36" t="s">
        <v>33</v>
      </c>
      <c r="E863" s="36" t="s">
        <v>226</v>
      </c>
      <c r="F863" s="34" t="s">
        <v>33</v>
      </c>
      <c r="G863" s="34" t="s">
        <v>33</v>
      </c>
      <c r="H863" s="37" t="s">
        <v>1600</v>
      </c>
      <c r="I863" s="35"/>
      <c r="J863" s="35"/>
    </row>
    <row r="864">
      <c r="A864" s="32" t="s">
        <v>1601</v>
      </c>
      <c r="B864" s="32" t="s">
        <v>38</v>
      </c>
      <c r="C864" s="36" t="s">
        <v>33</v>
      </c>
      <c r="D864" s="36" t="s">
        <v>226</v>
      </c>
      <c r="E864" s="36" t="s">
        <v>156</v>
      </c>
      <c r="F864" s="34" t="s">
        <v>33</v>
      </c>
      <c r="G864" s="37" t="s">
        <v>915</v>
      </c>
      <c r="H864" s="37" t="s">
        <v>395</v>
      </c>
      <c r="I864" s="35"/>
      <c r="J864" s="35"/>
    </row>
    <row r="865">
      <c r="A865" s="32" t="s">
        <v>1602</v>
      </c>
      <c r="B865" s="32" t="s">
        <v>38</v>
      </c>
      <c r="C865" s="36" t="s">
        <v>33</v>
      </c>
      <c r="D865" s="36" t="s">
        <v>223</v>
      </c>
      <c r="E865" s="36" t="s">
        <v>33</v>
      </c>
      <c r="F865" s="34" t="s">
        <v>33</v>
      </c>
      <c r="G865" s="37" t="s">
        <v>585</v>
      </c>
      <c r="H865" s="34" t="s">
        <v>33</v>
      </c>
      <c r="I865" s="35"/>
      <c r="J865" s="35"/>
    </row>
    <row r="866">
      <c r="A866" s="32" t="s">
        <v>1603</v>
      </c>
      <c r="B866" s="32" t="s">
        <v>38</v>
      </c>
      <c r="C866" s="36" t="s">
        <v>33</v>
      </c>
      <c r="D866" s="36" t="s">
        <v>1040</v>
      </c>
      <c r="E866" s="36" t="s">
        <v>33</v>
      </c>
      <c r="F866" s="34" t="s">
        <v>33</v>
      </c>
      <c r="G866" s="37" t="s">
        <v>1390</v>
      </c>
      <c r="H866" s="34" t="s">
        <v>33</v>
      </c>
      <c r="I866" s="35"/>
      <c r="J866" s="35"/>
    </row>
    <row r="867">
      <c r="A867" s="32" t="s">
        <v>1604</v>
      </c>
      <c r="B867" s="32" t="s">
        <v>45</v>
      </c>
      <c r="C867" s="36" t="s">
        <v>33</v>
      </c>
      <c r="D867" s="36" t="s">
        <v>33</v>
      </c>
      <c r="E867" s="36" t="s">
        <v>851</v>
      </c>
      <c r="F867" s="34" t="s">
        <v>33</v>
      </c>
      <c r="G867" s="34" t="s">
        <v>33</v>
      </c>
      <c r="H867" s="37" t="s">
        <v>1605</v>
      </c>
      <c r="I867" s="35"/>
      <c r="J867" s="35"/>
    </row>
    <row r="868">
      <c r="A868" s="32" t="s">
        <v>1606</v>
      </c>
      <c r="B868" s="32" t="s">
        <v>45</v>
      </c>
      <c r="C868" s="36" t="s">
        <v>33</v>
      </c>
      <c r="D868" s="36" t="s">
        <v>33</v>
      </c>
      <c r="E868" s="36" t="s">
        <v>156</v>
      </c>
      <c r="F868" s="34" t="s">
        <v>33</v>
      </c>
      <c r="G868" s="34" t="s">
        <v>33</v>
      </c>
      <c r="H868" s="37" t="s">
        <v>1523</v>
      </c>
      <c r="I868" s="35"/>
      <c r="J868" s="35"/>
    </row>
    <row r="869">
      <c r="A869" s="32" t="s">
        <v>1607</v>
      </c>
      <c r="B869" s="32" t="s">
        <v>45</v>
      </c>
      <c r="C869" s="36" t="s">
        <v>33</v>
      </c>
      <c r="D869" s="36" t="s">
        <v>128</v>
      </c>
      <c r="E869" s="36" t="s">
        <v>114</v>
      </c>
      <c r="F869" s="34" t="s">
        <v>33</v>
      </c>
      <c r="G869" s="37" t="s">
        <v>454</v>
      </c>
      <c r="H869" s="37" t="s">
        <v>455</v>
      </c>
      <c r="I869" s="35"/>
      <c r="J869" s="35"/>
    </row>
    <row r="870">
      <c r="A870" s="32" t="s">
        <v>1608</v>
      </c>
      <c r="B870" s="32" t="s">
        <v>45</v>
      </c>
      <c r="C870" s="36" t="s">
        <v>33</v>
      </c>
      <c r="D870" s="36" t="s">
        <v>1040</v>
      </c>
      <c r="E870" s="36" t="s">
        <v>33</v>
      </c>
      <c r="F870" s="34" t="s">
        <v>33</v>
      </c>
      <c r="G870" s="37" t="s">
        <v>973</v>
      </c>
      <c r="H870" s="34" t="s">
        <v>33</v>
      </c>
      <c r="I870" s="35"/>
      <c r="J870" s="35"/>
    </row>
    <row r="871">
      <c r="A871" s="32" t="s">
        <v>1609</v>
      </c>
      <c r="B871" s="32" t="s">
        <v>45</v>
      </c>
      <c r="C871" s="36" t="s">
        <v>33</v>
      </c>
      <c r="D871" s="36" t="s">
        <v>870</v>
      </c>
      <c r="E871" s="36" t="s">
        <v>33</v>
      </c>
      <c r="F871" s="34" t="s">
        <v>33</v>
      </c>
      <c r="G871" s="37" t="s">
        <v>120</v>
      </c>
      <c r="H871" s="34" t="s">
        <v>33</v>
      </c>
      <c r="I871" s="35"/>
      <c r="J871" s="35"/>
    </row>
    <row r="872">
      <c r="A872" s="32" t="s">
        <v>1610</v>
      </c>
      <c r="B872" s="32" t="s">
        <v>45</v>
      </c>
      <c r="C872" s="36" t="s">
        <v>33</v>
      </c>
      <c r="D872" s="36" t="s">
        <v>1068</v>
      </c>
      <c r="E872" s="36" t="s">
        <v>33</v>
      </c>
      <c r="F872" s="34" t="s">
        <v>33</v>
      </c>
      <c r="G872" s="37" t="s">
        <v>1611</v>
      </c>
      <c r="H872" s="34" t="s">
        <v>33</v>
      </c>
      <c r="I872" s="35"/>
      <c r="J872" s="35"/>
    </row>
    <row r="873">
      <c r="A873" s="32" t="s">
        <v>1612</v>
      </c>
      <c r="B873" s="32" t="s">
        <v>45</v>
      </c>
      <c r="C873" s="36" t="s">
        <v>33</v>
      </c>
      <c r="D873" s="36" t="s">
        <v>33</v>
      </c>
      <c r="E873" s="36" t="s">
        <v>140</v>
      </c>
      <c r="F873" s="34" t="s">
        <v>33</v>
      </c>
      <c r="G873" s="34" t="s">
        <v>33</v>
      </c>
      <c r="H873" s="37" t="s">
        <v>1613</v>
      </c>
      <c r="I873" s="35"/>
      <c r="J873" s="35"/>
    </row>
    <row r="874">
      <c r="A874" s="32" t="s">
        <v>1614</v>
      </c>
      <c r="B874" s="32" t="s">
        <v>45</v>
      </c>
      <c r="C874" s="36" t="s">
        <v>33</v>
      </c>
      <c r="D874" s="36" t="s">
        <v>87</v>
      </c>
      <c r="E874" s="36" t="s">
        <v>33</v>
      </c>
      <c r="F874" s="34" t="s">
        <v>33</v>
      </c>
      <c r="G874" s="37" t="s">
        <v>995</v>
      </c>
      <c r="H874" s="34" t="s">
        <v>33</v>
      </c>
      <c r="I874" s="35"/>
      <c r="J874" s="35"/>
    </row>
    <row r="875">
      <c r="A875" s="32" t="s">
        <v>1615</v>
      </c>
      <c r="B875" s="32" t="s">
        <v>45</v>
      </c>
      <c r="C875" s="36" t="s">
        <v>33</v>
      </c>
      <c r="D875" s="36" t="s">
        <v>33</v>
      </c>
      <c r="E875" s="36" t="s">
        <v>58</v>
      </c>
      <c r="F875" s="34" t="s">
        <v>33</v>
      </c>
      <c r="G875" s="34" t="s">
        <v>33</v>
      </c>
      <c r="H875" s="37" t="s">
        <v>1393</v>
      </c>
      <c r="I875" s="35"/>
      <c r="J875" s="35"/>
    </row>
    <row r="876">
      <c r="A876" s="32" t="s">
        <v>1616</v>
      </c>
      <c r="B876" s="32" t="s">
        <v>45</v>
      </c>
      <c r="C876" s="36" t="s">
        <v>33</v>
      </c>
      <c r="D876" s="36" t="s">
        <v>33</v>
      </c>
      <c r="E876" s="36" t="s">
        <v>58</v>
      </c>
      <c r="F876" s="34" t="s">
        <v>33</v>
      </c>
      <c r="G876" s="34" t="s">
        <v>33</v>
      </c>
      <c r="H876" s="37" t="s">
        <v>1393</v>
      </c>
      <c r="I876" s="35"/>
      <c r="J876" s="35"/>
    </row>
    <row r="877">
      <c r="A877" s="32" t="s">
        <v>1617</v>
      </c>
      <c r="B877" s="32" t="s">
        <v>45</v>
      </c>
      <c r="C877" s="36" t="s">
        <v>33</v>
      </c>
      <c r="D877" s="36" t="s">
        <v>33</v>
      </c>
      <c r="E877" s="36" t="s">
        <v>27</v>
      </c>
      <c r="F877" s="34" t="s">
        <v>33</v>
      </c>
      <c r="G877" s="34" t="s">
        <v>33</v>
      </c>
      <c r="H877" s="37" t="s">
        <v>1618</v>
      </c>
      <c r="I877" s="35"/>
      <c r="J877" s="35"/>
    </row>
    <row r="878">
      <c r="A878" s="32" t="s">
        <v>1619</v>
      </c>
      <c r="B878" s="32" t="s">
        <v>45</v>
      </c>
      <c r="C878" s="36" t="s">
        <v>33</v>
      </c>
      <c r="D878" s="36" t="s">
        <v>33</v>
      </c>
      <c r="E878" s="36" t="s">
        <v>41</v>
      </c>
      <c r="F878" s="34" t="s">
        <v>33</v>
      </c>
      <c r="G878" s="34" t="s">
        <v>33</v>
      </c>
      <c r="H878" s="37" t="s">
        <v>1620</v>
      </c>
      <c r="I878" s="35"/>
      <c r="J878" s="35"/>
    </row>
    <row r="879">
      <c r="A879" s="32" t="s">
        <v>1621</v>
      </c>
      <c r="B879" s="32" t="s">
        <v>45</v>
      </c>
      <c r="C879" s="36" t="s">
        <v>33</v>
      </c>
      <c r="D879" s="36" t="s">
        <v>33</v>
      </c>
      <c r="E879" s="36" t="s">
        <v>63</v>
      </c>
      <c r="F879" s="34" t="s">
        <v>33</v>
      </c>
      <c r="G879" s="34" t="s">
        <v>33</v>
      </c>
      <c r="H879" s="37" t="s">
        <v>1414</v>
      </c>
      <c r="I879" s="35"/>
      <c r="J879" s="35"/>
    </row>
    <row r="880">
      <c r="A880" s="32" t="s">
        <v>1622</v>
      </c>
      <c r="B880" s="32" t="s">
        <v>45</v>
      </c>
      <c r="C880" s="36" t="s">
        <v>33</v>
      </c>
      <c r="D880" s="36" t="s">
        <v>122</v>
      </c>
      <c r="E880" s="36" t="s">
        <v>178</v>
      </c>
      <c r="F880" s="34" t="s">
        <v>33</v>
      </c>
      <c r="G880" s="37" t="s">
        <v>1623</v>
      </c>
      <c r="H880" s="37" t="s">
        <v>1624</v>
      </c>
      <c r="I880" s="35"/>
      <c r="J880" s="35"/>
    </row>
    <row r="881">
      <c r="A881" s="32" t="s">
        <v>1625</v>
      </c>
      <c r="B881" s="32" t="s">
        <v>45</v>
      </c>
      <c r="C881" s="36" t="s">
        <v>33</v>
      </c>
      <c r="D881" s="36" t="s">
        <v>96</v>
      </c>
      <c r="E881" s="36" t="s">
        <v>33</v>
      </c>
      <c r="F881" s="34" t="s">
        <v>33</v>
      </c>
      <c r="G881" s="37" t="s">
        <v>990</v>
      </c>
      <c r="H881" s="34" t="s">
        <v>33</v>
      </c>
      <c r="I881" s="35"/>
      <c r="J881" s="35"/>
    </row>
    <row r="882">
      <c r="A882" s="32" t="s">
        <v>1626</v>
      </c>
      <c r="B882" s="32" t="s">
        <v>45</v>
      </c>
      <c r="C882" s="36" t="s">
        <v>33</v>
      </c>
      <c r="D882" s="36" t="s">
        <v>33</v>
      </c>
      <c r="E882" s="36" t="s">
        <v>82</v>
      </c>
      <c r="F882" s="34" t="s">
        <v>33</v>
      </c>
      <c r="G882" s="34" t="s">
        <v>33</v>
      </c>
      <c r="H882" s="37" t="s">
        <v>1503</v>
      </c>
      <c r="I882" s="35"/>
      <c r="J882" s="35"/>
    </row>
    <row r="883">
      <c r="A883" s="32" t="s">
        <v>1627</v>
      </c>
      <c r="B883" s="32" t="s">
        <v>45</v>
      </c>
      <c r="C883" s="36" t="s">
        <v>33</v>
      </c>
      <c r="D883" s="36" t="s">
        <v>33</v>
      </c>
      <c r="E883" s="36" t="s">
        <v>137</v>
      </c>
      <c r="F883" s="34" t="s">
        <v>33</v>
      </c>
      <c r="G883" s="34" t="s">
        <v>33</v>
      </c>
      <c r="H883" s="37" t="s">
        <v>1628</v>
      </c>
      <c r="I883" s="35"/>
      <c r="J883" s="35"/>
    </row>
    <row r="884">
      <c r="A884" s="32" t="s">
        <v>1629</v>
      </c>
      <c r="B884" s="32" t="s">
        <v>45</v>
      </c>
      <c r="C884" s="36" t="s">
        <v>33</v>
      </c>
      <c r="D884" s="36" t="s">
        <v>33</v>
      </c>
      <c r="E884" s="36" t="s">
        <v>46</v>
      </c>
      <c r="F884" s="34" t="s">
        <v>33</v>
      </c>
      <c r="G884" s="34" t="s">
        <v>33</v>
      </c>
      <c r="H884" s="37" t="s">
        <v>1080</v>
      </c>
      <c r="I884" s="35"/>
      <c r="J884" s="35"/>
    </row>
    <row r="885">
      <c r="A885" s="32" t="s">
        <v>1630</v>
      </c>
      <c r="B885" s="32" t="s">
        <v>45</v>
      </c>
      <c r="C885" s="36" t="s">
        <v>33</v>
      </c>
      <c r="D885" s="36" t="s">
        <v>450</v>
      </c>
      <c r="E885" s="36" t="s">
        <v>33</v>
      </c>
      <c r="F885" s="34" t="s">
        <v>33</v>
      </c>
      <c r="G885" s="37" t="s">
        <v>1354</v>
      </c>
      <c r="H885" s="34" t="s">
        <v>33</v>
      </c>
      <c r="I885" s="35"/>
      <c r="J885" s="35"/>
    </row>
    <row r="886">
      <c r="A886" s="32" t="s">
        <v>1631</v>
      </c>
      <c r="B886" s="32" t="s">
        <v>45</v>
      </c>
      <c r="C886" s="36" t="s">
        <v>33</v>
      </c>
      <c r="D886" s="36" t="s">
        <v>41</v>
      </c>
      <c r="E886" s="36" t="s">
        <v>33</v>
      </c>
      <c r="F886" s="34" t="s">
        <v>33</v>
      </c>
      <c r="G886" s="37" t="s">
        <v>521</v>
      </c>
      <c r="H886" s="34" t="s">
        <v>33</v>
      </c>
      <c r="I886" s="35"/>
      <c r="J886" s="35"/>
    </row>
    <row r="887">
      <c r="A887" s="32" t="s">
        <v>1632</v>
      </c>
      <c r="B887" s="32" t="s">
        <v>45</v>
      </c>
      <c r="C887" s="36" t="s">
        <v>33</v>
      </c>
      <c r="D887" s="36" t="s">
        <v>119</v>
      </c>
      <c r="E887" s="36" t="s">
        <v>545</v>
      </c>
      <c r="F887" s="34" t="s">
        <v>33</v>
      </c>
      <c r="G887" s="37" t="s">
        <v>281</v>
      </c>
      <c r="H887" s="37" t="s">
        <v>1480</v>
      </c>
      <c r="I887" s="35"/>
      <c r="J887" s="35"/>
    </row>
    <row r="888">
      <c r="A888" s="32" t="s">
        <v>1633</v>
      </c>
      <c r="B888" s="32" t="s">
        <v>45</v>
      </c>
      <c r="C888" s="36" t="s">
        <v>33</v>
      </c>
      <c r="D888" s="36" t="s">
        <v>27</v>
      </c>
      <c r="E888" s="36" t="s">
        <v>284</v>
      </c>
      <c r="F888" s="34" t="s">
        <v>33</v>
      </c>
      <c r="G888" s="37" t="s">
        <v>995</v>
      </c>
      <c r="H888" s="37" t="s">
        <v>1400</v>
      </c>
      <c r="I888" s="35"/>
      <c r="J888" s="35"/>
    </row>
    <row r="889">
      <c r="A889" s="32" t="s">
        <v>1634</v>
      </c>
      <c r="B889" s="32" t="s">
        <v>45</v>
      </c>
      <c r="C889" s="36" t="s">
        <v>33</v>
      </c>
      <c r="D889" s="36" t="s">
        <v>33</v>
      </c>
      <c r="E889" s="36" t="s">
        <v>157</v>
      </c>
      <c r="F889" s="34" t="s">
        <v>33</v>
      </c>
      <c r="G889" s="34" t="s">
        <v>33</v>
      </c>
      <c r="H889" s="37" t="s">
        <v>1189</v>
      </c>
      <c r="I889" s="35"/>
      <c r="J889" s="35"/>
    </row>
    <row r="890">
      <c r="A890" s="32" t="s">
        <v>1635</v>
      </c>
      <c r="B890" s="32" t="s">
        <v>45</v>
      </c>
      <c r="C890" s="36" t="s">
        <v>33</v>
      </c>
      <c r="D890" s="36" t="s">
        <v>33</v>
      </c>
      <c r="E890" s="36" t="s">
        <v>206</v>
      </c>
      <c r="F890" s="34" t="s">
        <v>33</v>
      </c>
      <c r="G890" s="34" t="s">
        <v>33</v>
      </c>
      <c r="H890" s="37" t="s">
        <v>1578</v>
      </c>
      <c r="I890" s="35"/>
      <c r="J890" s="35"/>
    </row>
    <row r="891">
      <c r="A891" s="32" t="s">
        <v>1636</v>
      </c>
      <c r="B891" s="32" t="s">
        <v>45</v>
      </c>
      <c r="C891" s="36" t="s">
        <v>33</v>
      </c>
      <c r="D891" s="36" t="s">
        <v>33</v>
      </c>
      <c r="E891" s="36" t="s">
        <v>187</v>
      </c>
      <c r="F891" s="34" t="s">
        <v>33</v>
      </c>
      <c r="G891" s="34" t="s">
        <v>33</v>
      </c>
      <c r="H891" s="37" t="s">
        <v>1173</v>
      </c>
      <c r="I891" s="35"/>
      <c r="J891" s="35"/>
    </row>
    <row r="892">
      <c r="A892" s="32" t="s">
        <v>1637</v>
      </c>
      <c r="B892" s="32" t="s">
        <v>45</v>
      </c>
      <c r="C892" s="36" t="s">
        <v>33</v>
      </c>
      <c r="D892" s="36" t="s">
        <v>331</v>
      </c>
      <c r="E892" s="36" t="s">
        <v>33</v>
      </c>
      <c r="F892" s="34" t="s">
        <v>33</v>
      </c>
      <c r="G892" s="37" t="s">
        <v>281</v>
      </c>
      <c r="H892" s="34" t="s">
        <v>33</v>
      </c>
      <c r="I892" s="35"/>
      <c r="J892" s="35"/>
    </row>
    <row r="893">
      <c r="A893" s="32" t="s">
        <v>1638</v>
      </c>
      <c r="B893" s="32" t="s">
        <v>45</v>
      </c>
      <c r="C893" s="36" t="s">
        <v>33</v>
      </c>
      <c r="D893" s="36" t="s">
        <v>33</v>
      </c>
      <c r="E893" s="36" t="s">
        <v>371</v>
      </c>
      <c r="F893" s="34" t="s">
        <v>33</v>
      </c>
      <c r="G893" s="34" t="s">
        <v>33</v>
      </c>
      <c r="H893" s="37" t="s">
        <v>1523</v>
      </c>
      <c r="I893" s="35"/>
      <c r="J893" s="35"/>
    </row>
    <row r="894">
      <c r="A894" s="32" t="s">
        <v>1639</v>
      </c>
      <c r="B894" s="32" t="s">
        <v>45</v>
      </c>
      <c r="C894" s="36" t="s">
        <v>33</v>
      </c>
      <c r="D894" s="36" t="s">
        <v>33</v>
      </c>
      <c r="E894" s="36" t="s">
        <v>1240</v>
      </c>
      <c r="F894" s="34" t="s">
        <v>33</v>
      </c>
      <c r="G894" s="34" t="s">
        <v>33</v>
      </c>
      <c r="H894" s="37" t="s">
        <v>1418</v>
      </c>
      <c r="I894" s="35"/>
      <c r="J894" s="35"/>
    </row>
    <row r="895">
      <c r="A895" s="32" t="s">
        <v>1640</v>
      </c>
      <c r="B895" s="32" t="s">
        <v>45</v>
      </c>
      <c r="C895" s="36" t="s">
        <v>33</v>
      </c>
      <c r="D895" s="36" t="s">
        <v>33</v>
      </c>
      <c r="E895" s="36" t="s">
        <v>157</v>
      </c>
      <c r="F895" s="34" t="s">
        <v>33</v>
      </c>
      <c r="G895" s="34" t="s">
        <v>33</v>
      </c>
      <c r="H895" s="37" t="s">
        <v>1301</v>
      </c>
      <c r="I895" s="35"/>
      <c r="J895" s="35"/>
    </row>
    <row r="896">
      <c r="A896" s="32" t="s">
        <v>1641</v>
      </c>
      <c r="B896" s="32" t="s">
        <v>45</v>
      </c>
      <c r="C896" s="36" t="s">
        <v>33</v>
      </c>
      <c r="D896" s="36" t="s">
        <v>854</v>
      </c>
      <c r="E896" s="36" t="s">
        <v>33</v>
      </c>
      <c r="F896" s="34" t="s">
        <v>33</v>
      </c>
      <c r="G896" s="37" t="s">
        <v>1539</v>
      </c>
      <c r="H896" s="34" t="s">
        <v>33</v>
      </c>
      <c r="I896" s="35"/>
      <c r="J896" s="35"/>
    </row>
    <row r="897">
      <c r="A897" s="32" t="s">
        <v>1642</v>
      </c>
      <c r="B897" s="32" t="s">
        <v>45</v>
      </c>
      <c r="C897" s="36" t="s">
        <v>33</v>
      </c>
      <c r="D897" s="36" t="s">
        <v>63</v>
      </c>
      <c r="E897" s="36" t="s">
        <v>33</v>
      </c>
      <c r="F897" s="34" t="s">
        <v>33</v>
      </c>
      <c r="G897" s="37" t="s">
        <v>995</v>
      </c>
      <c r="H897" s="34" t="s">
        <v>33</v>
      </c>
      <c r="I897" s="35"/>
      <c r="J897" s="35"/>
    </row>
    <row r="898">
      <c r="A898" s="32" t="s">
        <v>1643</v>
      </c>
      <c r="B898" s="32" t="s">
        <v>45</v>
      </c>
      <c r="C898" s="36" t="s">
        <v>33</v>
      </c>
      <c r="D898" s="36" t="s">
        <v>466</v>
      </c>
      <c r="E898" s="36" t="s">
        <v>33</v>
      </c>
      <c r="F898" s="34" t="s">
        <v>33</v>
      </c>
      <c r="G898" s="37" t="s">
        <v>281</v>
      </c>
      <c r="H898" s="34" t="s">
        <v>33</v>
      </c>
      <c r="I898" s="35"/>
      <c r="J898" s="35"/>
    </row>
    <row r="899">
      <c r="A899" s="32" t="s">
        <v>1644</v>
      </c>
      <c r="B899" s="32" t="s">
        <v>45</v>
      </c>
      <c r="C899" s="36" t="s">
        <v>33</v>
      </c>
      <c r="D899" s="36" t="s">
        <v>33</v>
      </c>
      <c r="E899" s="36" t="s">
        <v>119</v>
      </c>
      <c r="F899" s="34" t="s">
        <v>33</v>
      </c>
      <c r="G899" s="34" t="s">
        <v>33</v>
      </c>
      <c r="H899" s="37" t="s">
        <v>1403</v>
      </c>
      <c r="I899" s="35"/>
      <c r="J899" s="35"/>
    </row>
    <row r="900">
      <c r="A900" s="32" t="s">
        <v>1645</v>
      </c>
      <c r="B900" s="32" t="s">
        <v>45</v>
      </c>
      <c r="C900" s="36" t="s">
        <v>33</v>
      </c>
      <c r="D900" s="36" t="s">
        <v>33</v>
      </c>
      <c r="E900" s="36" t="s">
        <v>114</v>
      </c>
      <c r="F900" s="34" t="s">
        <v>33</v>
      </c>
      <c r="G900" s="34" t="s">
        <v>33</v>
      </c>
      <c r="H900" s="37" t="s">
        <v>1646</v>
      </c>
      <c r="I900" s="35"/>
      <c r="J900" s="35"/>
    </row>
    <row r="901">
      <c r="A901" s="32" t="s">
        <v>1647</v>
      </c>
      <c r="B901" s="32" t="s">
        <v>45</v>
      </c>
      <c r="C901" s="36" t="s">
        <v>33</v>
      </c>
      <c r="D901" s="36" t="s">
        <v>680</v>
      </c>
      <c r="E901" s="36" t="s">
        <v>389</v>
      </c>
      <c r="F901" s="34" t="s">
        <v>33</v>
      </c>
      <c r="G901" s="37" t="s">
        <v>1459</v>
      </c>
      <c r="H901" s="37" t="s">
        <v>1460</v>
      </c>
      <c r="I901" s="35"/>
      <c r="J901" s="35"/>
    </row>
    <row r="902">
      <c r="A902" s="32" t="s">
        <v>1648</v>
      </c>
      <c r="B902" s="32" t="s">
        <v>45</v>
      </c>
      <c r="C902" s="36" t="s">
        <v>33</v>
      </c>
      <c r="D902" s="36" t="s">
        <v>33</v>
      </c>
      <c r="E902" s="36" t="s">
        <v>68</v>
      </c>
      <c r="F902" s="34" t="s">
        <v>33</v>
      </c>
      <c r="G902" s="34" t="s">
        <v>33</v>
      </c>
      <c r="H902" s="37" t="s">
        <v>1594</v>
      </c>
      <c r="I902" s="35"/>
      <c r="J902" s="35"/>
    </row>
    <row r="903">
      <c r="A903" s="32" t="s">
        <v>1649</v>
      </c>
      <c r="B903" s="32" t="s">
        <v>45</v>
      </c>
      <c r="C903" s="36" t="s">
        <v>33</v>
      </c>
      <c r="D903" s="36" t="s">
        <v>322</v>
      </c>
      <c r="E903" s="36" t="s">
        <v>33</v>
      </c>
      <c r="F903" s="34" t="s">
        <v>33</v>
      </c>
      <c r="G903" s="37" t="s">
        <v>1517</v>
      </c>
      <c r="H903" s="34" t="s">
        <v>33</v>
      </c>
      <c r="I903" s="35"/>
      <c r="J903" s="35"/>
    </row>
    <row r="904">
      <c r="A904" s="32" t="s">
        <v>1650</v>
      </c>
      <c r="B904" s="32" t="s">
        <v>45</v>
      </c>
      <c r="C904" s="36" t="s">
        <v>33</v>
      </c>
      <c r="D904" s="36" t="s">
        <v>33</v>
      </c>
      <c r="E904" s="36" t="s">
        <v>226</v>
      </c>
      <c r="F904" s="34" t="s">
        <v>33</v>
      </c>
      <c r="G904" s="34" t="s">
        <v>33</v>
      </c>
      <c r="H904" s="37" t="s">
        <v>1578</v>
      </c>
      <c r="I904" s="35"/>
      <c r="J904" s="35"/>
    </row>
    <row r="905">
      <c r="A905" s="32" t="s">
        <v>1651</v>
      </c>
      <c r="B905" s="32" t="s">
        <v>45</v>
      </c>
      <c r="C905" s="36" t="s">
        <v>33</v>
      </c>
      <c r="D905" s="36" t="s">
        <v>27</v>
      </c>
      <c r="E905" s="36" t="s">
        <v>33</v>
      </c>
      <c r="F905" s="34" t="s">
        <v>33</v>
      </c>
      <c r="G905" s="37" t="s">
        <v>1652</v>
      </c>
      <c r="H905" s="34" t="s">
        <v>33</v>
      </c>
      <c r="I905" s="35"/>
      <c r="J905" s="35"/>
    </row>
    <row r="906">
      <c r="A906" s="32" t="s">
        <v>1653</v>
      </c>
      <c r="B906" s="32" t="s">
        <v>45</v>
      </c>
      <c r="C906" s="36" t="s">
        <v>33</v>
      </c>
      <c r="D906" s="36" t="s">
        <v>33</v>
      </c>
      <c r="E906" s="36" t="s">
        <v>383</v>
      </c>
      <c r="F906" s="34" t="s">
        <v>33</v>
      </c>
      <c r="G906" s="34" t="s">
        <v>33</v>
      </c>
      <c r="H906" s="37" t="s">
        <v>1409</v>
      </c>
      <c r="I906" s="35"/>
      <c r="J906" s="35"/>
    </row>
    <row r="907">
      <c r="A907" s="32" t="s">
        <v>1654</v>
      </c>
      <c r="B907" s="32" t="s">
        <v>45</v>
      </c>
      <c r="C907" s="36" t="s">
        <v>33</v>
      </c>
      <c r="D907" s="36" t="s">
        <v>33</v>
      </c>
      <c r="E907" s="36" t="s">
        <v>27</v>
      </c>
      <c r="F907" s="34" t="s">
        <v>33</v>
      </c>
      <c r="G907" s="34" t="s">
        <v>33</v>
      </c>
      <c r="H907" s="37" t="s">
        <v>1655</v>
      </c>
      <c r="I907" s="35"/>
      <c r="J907" s="35"/>
    </row>
    <row r="908">
      <c r="A908" s="32" t="s">
        <v>1656</v>
      </c>
      <c r="B908" s="32" t="s">
        <v>45</v>
      </c>
      <c r="C908" s="36" t="s">
        <v>33</v>
      </c>
      <c r="D908" s="36" t="s">
        <v>33</v>
      </c>
      <c r="E908" s="36" t="s">
        <v>419</v>
      </c>
      <c r="F908" s="34" t="s">
        <v>33</v>
      </c>
      <c r="G908" s="34" t="s">
        <v>33</v>
      </c>
      <c r="H908" s="37" t="s">
        <v>1360</v>
      </c>
      <c r="I908" s="35"/>
      <c r="J908" s="35"/>
    </row>
    <row r="909">
      <c r="A909" s="32" t="s">
        <v>1657</v>
      </c>
      <c r="B909" s="32" t="s">
        <v>45</v>
      </c>
      <c r="C909" s="36" t="s">
        <v>33</v>
      </c>
      <c r="D909" s="36" t="s">
        <v>33</v>
      </c>
      <c r="E909" s="36" t="s">
        <v>545</v>
      </c>
      <c r="F909" s="34" t="s">
        <v>33</v>
      </c>
      <c r="G909" s="34" t="s">
        <v>33</v>
      </c>
      <c r="H909" s="37" t="s">
        <v>1414</v>
      </c>
      <c r="I909" s="35"/>
      <c r="J909" s="35"/>
    </row>
    <row r="910">
      <c r="A910" s="32" t="s">
        <v>1658</v>
      </c>
      <c r="B910" s="32" t="s">
        <v>45</v>
      </c>
      <c r="C910" s="36" t="s">
        <v>33</v>
      </c>
      <c r="D910" s="36" t="s">
        <v>33</v>
      </c>
      <c r="E910" s="36" t="s">
        <v>322</v>
      </c>
      <c r="F910" s="34" t="s">
        <v>33</v>
      </c>
      <c r="G910" s="34" t="s">
        <v>33</v>
      </c>
      <c r="H910" s="37" t="s">
        <v>1414</v>
      </c>
      <c r="I910" s="35"/>
      <c r="J910" s="35"/>
    </row>
    <row r="911">
      <c r="A911" s="32" t="s">
        <v>1659</v>
      </c>
      <c r="B911" s="32" t="s">
        <v>45</v>
      </c>
      <c r="C911" s="36" t="s">
        <v>33</v>
      </c>
      <c r="D911" s="36" t="s">
        <v>33</v>
      </c>
      <c r="E911" s="36" t="s">
        <v>450</v>
      </c>
      <c r="F911" s="34" t="s">
        <v>33</v>
      </c>
      <c r="G911" s="34" t="s">
        <v>33</v>
      </c>
      <c r="H911" s="37" t="s">
        <v>1660</v>
      </c>
      <c r="I911" s="35"/>
      <c r="J911" s="35"/>
    </row>
    <row r="912">
      <c r="A912" s="32" t="s">
        <v>1661</v>
      </c>
      <c r="B912" s="32" t="s">
        <v>45</v>
      </c>
      <c r="C912" s="36" t="s">
        <v>33</v>
      </c>
      <c r="D912" s="36" t="s">
        <v>74</v>
      </c>
      <c r="E912" s="36" t="s">
        <v>33</v>
      </c>
      <c r="F912" s="34" t="s">
        <v>33</v>
      </c>
      <c r="G912" s="37" t="s">
        <v>1652</v>
      </c>
      <c r="H912" s="34" t="s">
        <v>33</v>
      </c>
      <c r="I912" s="35"/>
      <c r="J912" s="35"/>
    </row>
    <row r="913">
      <c r="A913" s="32" t="s">
        <v>1662</v>
      </c>
      <c r="B913" s="32" t="s">
        <v>45</v>
      </c>
      <c r="C913" s="36" t="s">
        <v>33</v>
      </c>
      <c r="D913" s="36" t="s">
        <v>33</v>
      </c>
      <c r="E913" s="36" t="s">
        <v>331</v>
      </c>
      <c r="F913" s="34" t="s">
        <v>33</v>
      </c>
      <c r="G913" s="34" t="s">
        <v>33</v>
      </c>
      <c r="H913" s="37" t="s">
        <v>1503</v>
      </c>
      <c r="I913" s="35"/>
      <c r="J913" s="35"/>
    </row>
    <row r="914">
      <c r="A914" s="32" t="s">
        <v>1663</v>
      </c>
      <c r="B914" s="32" t="s">
        <v>45</v>
      </c>
      <c r="C914" s="36" t="s">
        <v>33</v>
      </c>
      <c r="D914" s="36" t="s">
        <v>33</v>
      </c>
      <c r="E914" s="36" t="s">
        <v>1215</v>
      </c>
      <c r="F914" s="34" t="s">
        <v>33</v>
      </c>
      <c r="G914" s="34" t="s">
        <v>33</v>
      </c>
      <c r="H914" s="37" t="s">
        <v>1664</v>
      </c>
      <c r="I914" s="35"/>
      <c r="J914" s="35"/>
    </row>
    <row r="915">
      <c r="A915" s="32" t="s">
        <v>1665</v>
      </c>
      <c r="B915" s="32" t="s">
        <v>45</v>
      </c>
      <c r="C915" s="36" t="s">
        <v>33</v>
      </c>
      <c r="D915" s="36" t="s">
        <v>199</v>
      </c>
      <c r="E915" s="36" t="s">
        <v>33</v>
      </c>
      <c r="F915" s="34" t="s">
        <v>33</v>
      </c>
      <c r="G915" s="37" t="s">
        <v>281</v>
      </c>
      <c r="H915" s="34" t="s">
        <v>33</v>
      </c>
      <c r="I915" s="35"/>
      <c r="J915" s="35"/>
    </row>
    <row r="916">
      <c r="A916" s="32" t="s">
        <v>1666</v>
      </c>
      <c r="B916" s="32" t="s">
        <v>45</v>
      </c>
      <c r="C916" s="36" t="s">
        <v>33</v>
      </c>
      <c r="D916" s="36" t="s">
        <v>33</v>
      </c>
      <c r="E916" s="36" t="s">
        <v>82</v>
      </c>
      <c r="F916" s="34" t="s">
        <v>33</v>
      </c>
      <c r="G916" s="34" t="s">
        <v>33</v>
      </c>
      <c r="H916" s="37" t="s">
        <v>1667</v>
      </c>
      <c r="I916" s="35"/>
      <c r="J916" s="35"/>
    </row>
    <row r="917">
      <c r="A917" s="32" t="s">
        <v>1668</v>
      </c>
      <c r="B917" s="32" t="s">
        <v>45</v>
      </c>
      <c r="C917" s="36" t="s">
        <v>33</v>
      </c>
      <c r="D917" s="36" t="s">
        <v>33</v>
      </c>
      <c r="E917" s="36" t="s">
        <v>226</v>
      </c>
      <c r="F917" s="34" t="s">
        <v>33</v>
      </c>
      <c r="G917" s="34" t="s">
        <v>33</v>
      </c>
      <c r="H917" s="37" t="s">
        <v>1173</v>
      </c>
      <c r="I917" s="35"/>
      <c r="J917" s="35"/>
    </row>
    <row r="918">
      <c r="A918" s="32" t="s">
        <v>1669</v>
      </c>
      <c r="B918" s="32" t="s">
        <v>45</v>
      </c>
      <c r="C918" s="36" t="s">
        <v>33</v>
      </c>
      <c r="D918" s="36" t="s">
        <v>33</v>
      </c>
      <c r="E918" s="36" t="s">
        <v>105</v>
      </c>
      <c r="F918" s="34" t="s">
        <v>33</v>
      </c>
      <c r="G918" s="34" t="s">
        <v>33</v>
      </c>
      <c r="H918" s="37" t="s">
        <v>1173</v>
      </c>
      <c r="I918" s="35"/>
      <c r="J918" s="35"/>
    </row>
    <row r="919">
      <c r="A919" s="32" t="s">
        <v>1670</v>
      </c>
      <c r="B919" s="32" t="s">
        <v>45</v>
      </c>
      <c r="C919" s="36" t="s">
        <v>33</v>
      </c>
      <c r="D919" s="36" t="s">
        <v>113</v>
      </c>
      <c r="E919" s="36" t="s">
        <v>33</v>
      </c>
      <c r="F919" s="34" t="s">
        <v>33</v>
      </c>
      <c r="G919" s="37" t="s">
        <v>1423</v>
      </c>
      <c r="H919" s="34" t="s">
        <v>33</v>
      </c>
      <c r="I919" s="35"/>
      <c r="J919" s="35"/>
    </row>
    <row r="920">
      <c r="A920" s="32" t="s">
        <v>1671</v>
      </c>
      <c r="B920" s="32" t="s">
        <v>45</v>
      </c>
      <c r="C920" s="36" t="s">
        <v>33</v>
      </c>
      <c r="D920" s="36" t="s">
        <v>127</v>
      </c>
      <c r="E920" s="36" t="s">
        <v>511</v>
      </c>
      <c r="F920" s="34" t="s">
        <v>33</v>
      </c>
      <c r="G920" s="37" t="s">
        <v>1423</v>
      </c>
      <c r="H920" s="37" t="s">
        <v>1544</v>
      </c>
      <c r="I920" s="35"/>
      <c r="J920" s="35"/>
    </row>
    <row r="921">
      <c r="A921" s="32" t="s">
        <v>1672</v>
      </c>
      <c r="B921" s="32" t="s">
        <v>57</v>
      </c>
      <c r="C921" s="36" t="s">
        <v>33</v>
      </c>
      <c r="D921" s="36" t="s">
        <v>33</v>
      </c>
      <c r="E921" s="36" t="s">
        <v>178</v>
      </c>
      <c r="F921" s="34" t="s">
        <v>33</v>
      </c>
      <c r="G921" s="34" t="s">
        <v>33</v>
      </c>
      <c r="H921" s="37" t="s">
        <v>1301</v>
      </c>
      <c r="I921" s="35"/>
      <c r="J921" s="35"/>
    </row>
    <row r="922">
      <c r="A922" s="32" t="s">
        <v>1673</v>
      </c>
      <c r="B922" s="32" t="s">
        <v>57</v>
      </c>
      <c r="C922" s="36" t="s">
        <v>33</v>
      </c>
      <c r="D922" s="36" t="s">
        <v>255</v>
      </c>
      <c r="E922" s="36" t="s">
        <v>528</v>
      </c>
      <c r="F922" s="34" t="s">
        <v>33</v>
      </c>
      <c r="G922" s="37" t="s">
        <v>1211</v>
      </c>
      <c r="H922" s="37" t="s">
        <v>1674</v>
      </c>
      <c r="I922" s="35"/>
      <c r="J922" s="35"/>
    </row>
    <row r="923">
      <c r="A923" s="32" t="s">
        <v>1675</v>
      </c>
      <c r="B923" s="32" t="s">
        <v>57</v>
      </c>
      <c r="C923" s="36" t="s">
        <v>33</v>
      </c>
      <c r="D923" s="36" t="s">
        <v>26</v>
      </c>
      <c r="E923" s="36" t="s">
        <v>113</v>
      </c>
      <c r="F923" s="34" t="s">
        <v>33</v>
      </c>
      <c r="G923" s="37" t="s">
        <v>1676</v>
      </c>
      <c r="H923" s="37" t="s">
        <v>1171</v>
      </c>
      <c r="I923" s="35"/>
      <c r="J923" s="35"/>
    </row>
    <row r="924">
      <c r="A924" s="32" t="s">
        <v>1677</v>
      </c>
      <c r="B924" s="32" t="s">
        <v>57</v>
      </c>
      <c r="C924" s="36" t="s">
        <v>33</v>
      </c>
      <c r="D924" s="36" t="s">
        <v>902</v>
      </c>
      <c r="E924" s="36" t="s">
        <v>33</v>
      </c>
      <c r="F924" s="34" t="s">
        <v>33</v>
      </c>
      <c r="G924" s="37" t="s">
        <v>1020</v>
      </c>
      <c r="H924" s="34" t="s">
        <v>33</v>
      </c>
      <c r="I924" s="35"/>
      <c r="J924" s="35"/>
    </row>
    <row r="925">
      <c r="A925" s="32" t="s">
        <v>1678</v>
      </c>
      <c r="B925" s="32" t="s">
        <v>57</v>
      </c>
      <c r="C925" s="36" t="s">
        <v>33</v>
      </c>
      <c r="D925" s="36" t="s">
        <v>113</v>
      </c>
      <c r="E925" s="36" t="s">
        <v>33</v>
      </c>
      <c r="F925" s="34" t="s">
        <v>33</v>
      </c>
      <c r="G925" s="37" t="s">
        <v>727</v>
      </c>
      <c r="H925" s="34" t="s">
        <v>33</v>
      </c>
      <c r="I925" s="35"/>
      <c r="J925" s="35"/>
    </row>
    <row r="926">
      <c r="A926" s="32" t="s">
        <v>1679</v>
      </c>
      <c r="B926" s="32" t="s">
        <v>57</v>
      </c>
      <c r="C926" s="36" t="s">
        <v>33</v>
      </c>
      <c r="D926" s="36" t="s">
        <v>101</v>
      </c>
      <c r="E926" s="36" t="s">
        <v>33</v>
      </c>
      <c r="F926" s="34" t="s">
        <v>33</v>
      </c>
      <c r="G926" s="37" t="s">
        <v>1680</v>
      </c>
      <c r="H926" s="34" t="s">
        <v>33</v>
      </c>
      <c r="I926" s="35"/>
      <c r="J926" s="35"/>
    </row>
    <row r="927">
      <c r="A927" s="32" t="s">
        <v>1681</v>
      </c>
      <c r="B927" s="32" t="s">
        <v>57</v>
      </c>
      <c r="C927" s="36" t="s">
        <v>33</v>
      </c>
      <c r="D927" s="36" t="s">
        <v>63</v>
      </c>
      <c r="E927" s="36" t="s">
        <v>33</v>
      </c>
      <c r="F927" s="34" t="s">
        <v>33</v>
      </c>
      <c r="G927" s="37" t="s">
        <v>1198</v>
      </c>
      <c r="H927" s="34" t="s">
        <v>33</v>
      </c>
      <c r="I927" s="35"/>
      <c r="J927" s="35"/>
    </row>
    <row r="928">
      <c r="A928" s="32" t="s">
        <v>1682</v>
      </c>
      <c r="B928" s="32" t="s">
        <v>57</v>
      </c>
      <c r="C928" s="36" t="s">
        <v>33</v>
      </c>
      <c r="D928" s="36" t="s">
        <v>288</v>
      </c>
      <c r="E928" s="36" t="s">
        <v>33</v>
      </c>
      <c r="F928" s="34" t="s">
        <v>33</v>
      </c>
      <c r="G928" s="37" t="s">
        <v>1198</v>
      </c>
      <c r="H928" s="34" t="s">
        <v>33</v>
      </c>
      <c r="I928" s="35"/>
      <c r="J928" s="35"/>
    </row>
    <row r="929">
      <c r="A929" s="32" t="s">
        <v>1683</v>
      </c>
      <c r="B929" s="32" t="s">
        <v>57</v>
      </c>
      <c r="C929" s="36" t="s">
        <v>33</v>
      </c>
      <c r="D929" s="36" t="s">
        <v>33</v>
      </c>
      <c r="E929" s="36" t="s">
        <v>67</v>
      </c>
      <c r="F929" s="34" t="s">
        <v>33</v>
      </c>
      <c r="G929" s="34" t="s">
        <v>33</v>
      </c>
      <c r="H929" s="37" t="s">
        <v>1684</v>
      </c>
      <c r="I929" s="35"/>
      <c r="J929" s="35"/>
    </row>
    <row r="930">
      <c r="A930" s="32" t="s">
        <v>1685</v>
      </c>
      <c r="B930" s="32" t="s">
        <v>57</v>
      </c>
      <c r="C930" s="36" t="s">
        <v>33</v>
      </c>
      <c r="D930" s="36" t="s">
        <v>178</v>
      </c>
      <c r="E930" s="36" t="s">
        <v>33</v>
      </c>
      <c r="F930" s="34" t="s">
        <v>33</v>
      </c>
      <c r="G930" s="37" t="s">
        <v>877</v>
      </c>
      <c r="H930" s="34" t="s">
        <v>33</v>
      </c>
      <c r="I930" s="35"/>
      <c r="J930" s="35"/>
    </row>
    <row r="931">
      <c r="A931" s="32" t="s">
        <v>1686</v>
      </c>
      <c r="B931" s="32" t="s">
        <v>57</v>
      </c>
      <c r="C931" s="36" t="s">
        <v>33</v>
      </c>
      <c r="D931" s="36" t="s">
        <v>33</v>
      </c>
      <c r="E931" s="36" t="s">
        <v>49</v>
      </c>
      <c r="F931" s="34" t="s">
        <v>33</v>
      </c>
      <c r="G931" s="34" t="s">
        <v>33</v>
      </c>
      <c r="H931" s="37" t="s">
        <v>1483</v>
      </c>
      <c r="I931" s="35"/>
      <c r="J931" s="35"/>
    </row>
    <row r="932">
      <c r="A932" s="32" t="s">
        <v>1687</v>
      </c>
      <c r="B932" s="32" t="s">
        <v>57</v>
      </c>
      <c r="C932" s="36" t="s">
        <v>33</v>
      </c>
      <c r="D932" s="36" t="s">
        <v>105</v>
      </c>
      <c r="E932" s="36" t="s">
        <v>266</v>
      </c>
      <c r="F932" s="34" t="s">
        <v>33</v>
      </c>
      <c r="G932" s="37" t="s">
        <v>1308</v>
      </c>
      <c r="H932" s="37" t="s">
        <v>1451</v>
      </c>
      <c r="I932" s="35"/>
      <c r="J932" s="35"/>
    </row>
    <row r="933">
      <c r="A933" s="32" t="s">
        <v>1688</v>
      </c>
      <c r="B933" s="32" t="s">
        <v>57</v>
      </c>
      <c r="C933" s="36" t="s">
        <v>33</v>
      </c>
      <c r="D933" s="36" t="s">
        <v>33</v>
      </c>
      <c r="E933" s="36" t="s">
        <v>188</v>
      </c>
      <c r="F933" s="34" t="s">
        <v>33</v>
      </c>
      <c r="G933" s="34" t="s">
        <v>33</v>
      </c>
      <c r="H933" s="37" t="s">
        <v>1448</v>
      </c>
      <c r="I933" s="35"/>
      <c r="J933" s="35"/>
    </row>
    <row r="934">
      <c r="A934" s="32" t="s">
        <v>1689</v>
      </c>
      <c r="B934" s="32" t="s">
        <v>57</v>
      </c>
      <c r="C934" s="36" t="s">
        <v>33</v>
      </c>
      <c r="D934" s="36" t="s">
        <v>33</v>
      </c>
      <c r="E934" s="36" t="s">
        <v>114</v>
      </c>
      <c r="F934" s="34" t="s">
        <v>33</v>
      </c>
      <c r="G934" s="34" t="s">
        <v>33</v>
      </c>
      <c r="H934" s="37" t="s">
        <v>912</v>
      </c>
      <c r="I934" s="35"/>
      <c r="J934" s="35"/>
    </row>
    <row r="935">
      <c r="A935" s="32" t="s">
        <v>1690</v>
      </c>
      <c r="B935" s="32" t="s">
        <v>57</v>
      </c>
      <c r="C935" s="36" t="s">
        <v>33</v>
      </c>
      <c r="D935" s="36" t="s">
        <v>528</v>
      </c>
      <c r="E935" s="36" t="s">
        <v>33</v>
      </c>
      <c r="F935" s="34" t="s">
        <v>33</v>
      </c>
      <c r="G935" s="37" t="s">
        <v>1691</v>
      </c>
      <c r="H935" s="34" t="s">
        <v>33</v>
      </c>
      <c r="I935" s="35"/>
      <c r="J935" s="35"/>
    </row>
    <row r="936">
      <c r="A936" s="32" t="s">
        <v>1692</v>
      </c>
      <c r="B936" s="32" t="s">
        <v>57</v>
      </c>
      <c r="C936" s="36" t="s">
        <v>33</v>
      </c>
      <c r="D936" s="36" t="s">
        <v>74</v>
      </c>
      <c r="E936" s="36" t="s">
        <v>33</v>
      </c>
      <c r="F936" s="34" t="s">
        <v>33</v>
      </c>
      <c r="G936" s="37" t="s">
        <v>1693</v>
      </c>
      <c r="H936" s="34" t="s">
        <v>33</v>
      </c>
      <c r="I936" s="35"/>
      <c r="J936" s="35"/>
    </row>
    <row r="937">
      <c r="A937" s="32" t="s">
        <v>1694</v>
      </c>
      <c r="B937" s="32" t="s">
        <v>57</v>
      </c>
      <c r="C937" s="36" t="s">
        <v>33</v>
      </c>
      <c r="D937" s="36" t="s">
        <v>33</v>
      </c>
      <c r="E937" s="36" t="s">
        <v>81</v>
      </c>
      <c r="F937" s="34" t="s">
        <v>33</v>
      </c>
      <c r="G937" s="34" t="s">
        <v>33</v>
      </c>
      <c r="H937" s="37" t="s">
        <v>1628</v>
      </c>
      <c r="I937" s="35"/>
      <c r="J937" s="35"/>
    </row>
    <row r="938">
      <c r="A938" s="32" t="s">
        <v>1695</v>
      </c>
      <c r="B938" s="32" t="s">
        <v>57</v>
      </c>
      <c r="C938" s="36" t="s">
        <v>33</v>
      </c>
      <c r="D938" s="36" t="s">
        <v>33</v>
      </c>
      <c r="E938" s="36" t="s">
        <v>188</v>
      </c>
      <c r="F938" s="34" t="s">
        <v>33</v>
      </c>
      <c r="G938" s="34" t="s">
        <v>33</v>
      </c>
      <c r="H938" s="37" t="s">
        <v>631</v>
      </c>
      <c r="I938" s="35"/>
      <c r="J938" s="35"/>
    </row>
    <row r="939">
      <c r="A939" s="32" t="s">
        <v>1696</v>
      </c>
      <c r="B939" s="32" t="s">
        <v>57</v>
      </c>
      <c r="C939" s="36" t="s">
        <v>33</v>
      </c>
      <c r="D939" s="36" t="s">
        <v>173</v>
      </c>
      <c r="E939" s="36" t="s">
        <v>33</v>
      </c>
      <c r="F939" s="34" t="s">
        <v>33</v>
      </c>
      <c r="G939" s="37" t="s">
        <v>1198</v>
      </c>
      <c r="H939" s="34" t="s">
        <v>33</v>
      </c>
      <c r="I939" s="35"/>
      <c r="J939" s="35"/>
    </row>
    <row r="940">
      <c r="A940" s="32" t="s">
        <v>1697</v>
      </c>
      <c r="B940" s="32" t="s">
        <v>57</v>
      </c>
      <c r="C940" s="36" t="s">
        <v>33</v>
      </c>
      <c r="D940" s="36" t="s">
        <v>232</v>
      </c>
      <c r="E940" s="36" t="s">
        <v>33</v>
      </c>
      <c r="F940" s="34" t="s">
        <v>33</v>
      </c>
      <c r="G940" s="37" t="s">
        <v>216</v>
      </c>
      <c r="H940" s="34" t="s">
        <v>33</v>
      </c>
      <c r="I940" s="35"/>
      <c r="J940" s="35"/>
    </row>
    <row r="941">
      <c r="A941" s="32" t="s">
        <v>1698</v>
      </c>
      <c r="B941" s="32" t="s">
        <v>57</v>
      </c>
      <c r="C941" s="36" t="s">
        <v>33</v>
      </c>
      <c r="D941" s="36" t="s">
        <v>284</v>
      </c>
      <c r="E941" s="36" t="s">
        <v>33</v>
      </c>
      <c r="F941" s="34" t="s">
        <v>33</v>
      </c>
      <c r="G941" s="37" t="s">
        <v>990</v>
      </c>
      <c r="H941" s="34" t="s">
        <v>33</v>
      </c>
      <c r="I941" s="35"/>
      <c r="J941" s="35"/>
    </row>
    <row r="942">
      <c r="A942" s="32" t="s">
        <v>1699</v>
      </c>
      <c r="B942" s="32" t="s">
        <v>57</v>
      </c>
      <c r="C942" s="36" t="s">
        <v>33</v>
      </c>
      <c r="D942" s="36" t="s">
        <v>33</v>
      </c>
      <c r="E942" s="36" t="s">
        <v>81</v>
      </c>
      <c r="F942" s="34" t="s">
        <v>33</v>
      </c>
      <c r="G942" s="34" t="s">
        <v>33</v>
      </c>
      <c r="H942" s="37" t="s">
        <v>1700</v>
      </c>
      <c r="I942" s="35"/>
      <c r="J942" s="35"/>
    </row>
    <row r="943">
      <c r="A943" s="32" t="s">
        <v>1701</v>
      </c>
      <c r="B943" s="32" t="s">
        <v>57</v>
      </c>
      <c r="C943" s="36" t="s">
        <v>33</v>
      </c>
      <c r="D943" s="36" t="s">
        <v>255</v>
      </c>
      <c r="E943" s="36" t="s">
        <v>33</v>
      </c>
      <c r="F943" s="34" t="s">
        <v>33</v>
      </c>
      <c r="G943" s="37" t="s">
        <v>1702</v>
      </c>
      <c r="H943" s="34" t="s">
        <v>33</v>
      </c>
      <c r="I943" s="35"/>
      <c r="J943" s="35"/>
    </row>
    <row r="944">
      <c r="A944" s="32" t="s">
        <v>1703</v>
      </c>
      <c r="B944" s="32" t="s">
        <v>57</v>
      </c>
      <c r="C944" s="36" t="s">
        <v>33</v>
      </c>
      <c r="D944" s="36" t="s">
        <v>385</v>
      </c>
      <c r="E944" s="36" t="s">
        <v>33</v>
      </c>
      <c r="F944" s="34" t="s">
        <v>33</v>
      </c>
      <c r="G944" s="37" t="s">
        <v>337</v>
      </c>
      <c r="H944" s="34" t="s">
        <v>33</v>
      </c>
      <c r="I944" s="35"/>
      <c r="J944" s="35"/>
    </row>
    <row r="945">
      <c r="A945" s="32" t="s">
        <v>1704</v>
      </c>
      <c r="B945" s="32" t="s">
        <v>57</v>
      </c>
      <c r="C945" s="36" t="s">
        <v>33</v>
      </c>
      <c r="D945" s="36" t="s">
        <v>1298</v>
      </c>
      <c r="E945" s="36" t="s">
        <v>188</v>
      </c>
      <c r="F945" s="34" t="s">
        <v>33</v>
      </c>
      <c r="G945" s="37" t="s">
        <v>1223</v>
      </c>
      <c r="H945" s="37" t="s">
        <v>1328</v>
      </c>
      <c r="I945" s="35"/>
      <c r="J945" s="35"/>
    </row>
    <row r="946">
      <c r="A946" s="32" t="s">
        <v>1705</v>
      </c>
      <c r="B946" s="32" t="s">
        <v>57</v>
      </c>
      <c r="C946" s="36" t="s">
        <v>33</v>
      </c>
      <c r="D946" s="36" t="s">
        <v>599</v>
      </c>
      <c r="E946" s="36" t="s">
        <v>33</v>
      </c>
      <c r="F946" s="34" t="s">
        <v>33</v>
      </c>
      <c r="G946" s="37" t="s">
        <v>1223</v>
      </c>
      <c r="H946" s="34" t="s">
        <v>33</v>
      </c>
      <c r="I946" s="35"/>
      <c r="J946" s="35"/>
    </row>
    <row r="947">
      <c r="A947" s="32" t="s">
        <v>1706</v>
      </c>
      <c r="B947" s="32" t="s">
        <v>57</v>
      </c>
      <c r="C947" s="36" t="s">
        <v>33</v>
      </c>
      <c r="D947" s="36" t="s">
        <v>51</v>
      </c>
      <c r="E947" s="36" t="s">
        <v>33</v>
      </c>
      <c r="F947" s="34" t="s">
        <v>33</v>
      </c>
      <c r="G947" s="37" t="s">
        <v>281</v>
      </c>
      <c r="H947" s="34" t="s">
        <v>33</v>
      </c>
      <c r="I947" s="35"/>
      <c r="J947" s="35"/>
    </row>
    <row r="948">
      <c r="A948" s="32" t="s">
        <v>1707</v>
      </c>
      <c r="B948" s="32" t="s">
        <v>57</v>
      </c>
      <c r="C948" s="36" t="s">
        <v>33</v>
      </c>
      <c r="D948" s="36" t="s">
        <v>53</v>
      </c>
      <c r="E948" s="36" t="s">
        <v>33</v>
      </c>
      <c r="F948" s="34" t="s">
        <v>33</v>
      </c>
      <c r="G948" s="37" t="s">
        <v>281</v>
      </c>
      <c r="H948" s="34" t="s">
        <v>33</v>
      </c>
      <c r="I948" s="35"/>
      <c r="J948" s="35"/>
    </row>
    <row r="949">
      <c r="A949" s="32" t="s">
        <v>1708</v>
      </c>
      <c r="B949" s="32" t="s">
        <v>57</v>
      </c>
      <c r="C949" s="36" t="s">
        <v>33</v>
      </c>
      <c r="D949" s="36" t="s">
        <v>113</v>
      </c>
      <c r="E949" s="36" t="s">
        <v>26</v>
      </c>
      <c r="F949" s="34" t="s">
        <v>33</v>
      </c>
      <c r="G949" s="37" t="s">
        <v>1185</v>
      </c>
      <c r="H949" s="37" t="s">
        <v>1443</v>
      </c>
      <c r="I949" s="35"/>
      <c r="J949" s="35"/>
    </row>
    <row r="950">
      <c r="A950" s="32" t="s">
        <v>1709</v>
      </c>
      <c r="B950" s="32" t="s">
        <v>57</v>
      </c>
      <c r="C950" s="36" t="s">
        <v>33</v>
      </c>
      <c r="D950" s="36" t="s">
        <v>33</v>
      </c>
      <c r="E950" s="36" t="s">
        <v>206</v>
      </c>
      <c r="F950" s="34" t="s">
        <v>33</v>
      </c>
      <c r="G950" s="34" t="s">
        <v>33</v>
      </c>
      <c r="H950" s="37" t="s">
        <v>1360</v>
      </c>
      <c r="I950" s="35"/>
      <c r="J950" s="35"/>
    </row>
    <row r="951">
      <c r="A951" s="32" t="s">
        <v>1710</v>
      </c>
      <c r="B951" s="32" t="s">
        <v>57</v>
      </c>
      <c r="C951" s="36" t="s">
        <v>33</v>
      </c>
      <c r="D951" s="36" t="s">
        <v>33</v>
      </c>
      <c r="E951" s="36" t="s">
        <v>288</v>
      </c>
      <c r="F951" s="34" t="s">
        <v>33</v>
      </c>
      <c r="G951" s="34" t="s">
        <v>33</v>
      </c>
      <c r="H951" s="37" t="s">
        <v>1448</v>
      </c>
      <c r="I951" s="35"/>
      <c r="J951" s="35"/>
    </row>
    <row r="952">
      <c r="A952" s="32" t="s">
        <v>1711</v>
      </c>
      <c r="B952" s="32" t="s">
        <v>57</v>
      </c>
      <c r="C952" s="36" t="s">
        <v>33</v>
      </c>
      <c r="D952" s="36" t="s">
        <v>206</v>
      </c>
      <c r="E952" s="36" t="s">
        <v>33</v>
      </c>
      <c r="F952" s="34" t="s">
        <v>33</v>
      </c>
      <c r="G952" s="37" t="s">
        <v>1712</v>
      </c>
      <c r="H952" s="34" t="s">
        <v>33</v>
      </c>
      <c r="I952" s="35"/>
      <c r="J952" s="35"/>
    </row>
    <row r="953">
      <c r="A953" s="32" t="s">
        <v>1713</v>
      </c>
      <c r="B953" s="32" t="s">
        <v>57</v>
      </c>
      <c r="C953" s="36" t="s">
        <v>33</v>
      </c>
      <c r="D953" s="36" t="s">
        <v>377</v>
      </c>
      <c r="E953" s="36" t="s">
        <v>33</v>
      </c>
      <c r="F953" s="34" t="s">
        <v>33</v>
      </c>
      <c r="G953" s="37" t="s">
        <v>1390</v>
      </c>
      <c r="H953" s="34" t="s">
        <v>33</v>
      </c>
      <c r="I953" s="35"/>
      <c r="J953" s="35"/>
    </row>
    <row r="954">
      <c r="A954" s="32" t="s">
        <v>1714</v>
      </c>
      <c r="B954" s="32" t="s">
        <v>57</v>
      </c>
      <c r="C954" s="36" t="s">
        <v>33</v>
      </c>
      <c r="D954" s="36" t="s">
        <v>288</v>
      </c>
      <c r="E954" s="36" t="s">
        <v>33</v>
      </c>
      <c r="F954" s="34" t="s">
        <v>33</v>
      </c>
      <c r="G954" s="37" t="s">
        <v>1564</v>
      </c>
      <c r="H954" s="34" t="s">
        <v>33</v>
      </c>
      <c r="I954" s="35"/>
      <c r="J954" s="35"/>
    </row>
    <row r="955">
      <c r="A955" s="32" t="s">
        <v>1715</v>
      </c>
      <c r="B955" s="32" t="s">
        <v>57</v>
      </c>
      <c r="C955" s="36" t="s">
        <v>33</v>
      </c>
      <c r="D955" s="36" t="s">
        <v>66</v>
      </c>
      <c r="E955" s="36" t="s">
        <v>127</v>
      </c>
      <c r="F955" s="34" t="s">
        <v>33</v>
      </c>
      <c r="G955" s="37" t="s">
        <v>1209</v>
      </c>
      <c r="H955" s="37" t="s">
        <v>1716</v>
      </c>
      <c r="I955" s="35"/>
      <c r="J955" s="35"/>
    </row>
    <row r="956">
      <c r="A956" s="32" t="s">
        <v>1717</v>
      </c>
      <c r="B956" s="32" t="s">
        <v>57</v>
      </c>
      <c r="C956" s="36" t="s">
        <v>33</v>
      </c>
      <c r="D956" s="36" t="s">
        <v>33</v>
      </c>
      <c r="E956" s="36" t="s">
        <v>146</v>
      </c>
      <c r="F956" s="34" t="s">
        <v>33</v>
      </c>
      <c r="G956" s="34" t="s">
        <v>33</v>
      </c>
      <c r="H956" s="37" t="s">
        <v>1258</v>
      </c>
      <c r="I956" s="35"/>
      <c r="J956" s="35"/>
    </row>
    <row r="957">
      <c r="A957" s="32" t="s">
        <v>1718</v>
      </c>
      <c r="B957" s="32" t="s">
        <v>57</v>
      </c>
      <c r="C957" s="36" t="s">
        <v>33</v>
      </c>
      <c r="D957" s="36" t="s">
        <v>33</v>
      </c>
      <c r="E957" s="36" t="s">
        <v>114</v>
      </c>
      <c r="F957" s="34" t="s">
        <v>33</v>
      </c>
      <c r="G957" s="34" t="s">
        <v>33</v>
      </c>
      <c r="H957" s="37" t="s">
        <v>1432</v>
      </c>
      <c r="I957" s="35"/>
      <c r="J957" s="35"/>
    </row>
    <row r="958">
      <c r="A958" s="32" t="s">
        <v>1719</v>
      </c>
      <c r="B958" s="32" t="s">
        <v>57</v>
      </c>
      <c r="C958" s="36" t="s">
        <v>33</v>
      </c>
      <c r="D958" s="36" t="s">
        <v>33</v>
      </c>
      <c r="E958" s="36" t="s">
        <v>87</v>
      </c>
      <c r="F958" s="34" t="s">
        <v>33</v>
      </c>
      <c r="G958" s="34" t="s">
        <v>33</v>
      </c>
      <c r="H958" s="37" t="s">
        <v>1578</v>
      </c>
      <c r="I958" s="35"/>
      <c r="J958" s="35"/>
    </row>
    <row r="959">
      <c r="A959" s="32" t="s">
        <v>1720</v>
      </c>
      <c r="B959" s="32" t="s">
        <v>57</v>
      </c>
      <c r="C959" s="36" t="s">
        <v>33</v>
      </c>
      <c r="D959" s="36" t="s">
        <v>322</v>
      </c>
      <c r="E959" s="36" t="s">
        <v>33</v>
      </c>
      <c r="F959" s="34" t="s">
        <v>33</v>
      </c>
      <c r="G959" s="37" t="s">
        <v>990</v>
      </c>
      <c r="H959" s="34" t="s">
        <v>33</v>
      </c>
      <c r="I959" s="35"/>
      <c r="J959" s="35"/>
    </row>
    <row r="960">
      <c r="A960" s="32" t="s">
        <v>1721</v>
      </c>
      <c r="B960" s="32" t="s">
        <v>57</v>
      </c>
      <c r="C960" s="36" t="s">
        <v>33</v>
      </c>
      <c r="D960" s="36" t="s">
        <v>33</v>
      </c>
      <c r="E960" s="36" t="s">
        <v>545</v>
      </c>
      <c r="F960" s="34" t="s">
        <v>33</v>
      </c>
      <c r="G960" s="34" t="s">
        <v>33</v>
      </c>
      <c r="H960" s="37" t="s">
        <v>1376</v>
      </c>
      <c r="I960" s="35"/>
      <c r="J960" s="35"/>
    </row>
    <row r="961">
      <c r="A961" s="32" t="s">
        <v>1722</v>
      </c>
      <c r="B961" s="32" t="s">
        <v>57</v>
      </c>
      <c r="C961" s="36" t="s">
        <v>33</v>
      </c>
      <c r="D961" s="36" t="s">
        <v>33</v>
      </c>
      <c r="E961" s="36" t="s">
        <v>199</v>
      </c>
      <c r="F961" s="34" t="s">
        <v>33</v>
      </c>
      <c r="G961" s="34" t="s">
        <v>33</v>
      </c>
      <c r="H961" s="37" t="s">
        <v>1080</v>
      </c>
      <c r="I961" s="35"/>
      <c r="J961" s="35"/>
    </row>
    <row r="962">
      <c r="A962" s="32" t="s">
        <v>1723</v>
      </c>
      <c r="B962" s="32" t="s">
        <v>57</v>
      </c>
      <c r="C962" s="36" t="s">
        <v>33</v>
      </c>
      <c r="D962" s="36" t="s">
        <v>385</v>
      </c>
      <c r="E962" s="36" t="s">
        <v>33</v>
      </c>
      <c r="F962" s="34" t="s">
        <v>33</v>
      </c>
      <c r="G962" s="37" t="s">
        <v>1233</v>
      </c>
      <c r="H962" s="34" t="s">
        <v>33</v>
      </c>
      <c r="I962" s="35"/>
      <c r="J962" s="35"/>
    </row>
    <row r="963">
      <c r="A963" s="32" t="s">
        <v>1724</v>
      </c>
      <c r="B963" s="32" t="s">
        <v>57</v>
      </c>
      <c r="C963" s="36" t="s">
        <v>33</v>
      </c>
      <c r="D963" s="36" t="s">
        <v>33</v>
      </c>
      <c r="E963" s="36" t="s">
        <v>63</v>
      </c>
      <c r="F963" s="34" t="s">
        <v>33</v>
      </c>
      <c r="G963" s="34" t="s">
        <v>33</v>
      </c>
      <c r="H963" s="37" t="s">
        <v>1519</v>
      </c>
      <c r="I963" s="35"/>
      <c r="J963" s="35"/>
    </row>
    <row r="964">
      <c r="A964" s="32" t="s">
        <v>1725</v>
      </c>
      <c r="B964" s="32" t="s">
        <v>57</v>
      </c>
      <c r="C964" s="36" t="s">
        <v>33</v>
      </c>
      <c r="D964" s="36" t="s">
        <v>33</v>
      </c>
      <c r="E964" s="36" t="s">
        <v>173</v>
      </c>
      <c r="F964" s="34" t="s">
        <v>33</v>
      </c>
      <c r="G964" s="34" t="s">
        <v>33</v>
      </c>
      <c r="H964" s="37" t="s">
        <v>1113</v>
      </c>
      <c r="I964" s="35"/>
      <c r="J964" s="35"/>
    </row>
    <row r="965">
      <c r="A965" s="32" t="s">
        <v>1726</v>
      </c>
      <c r="B965" s="32" t="s">
        <v>57</v>
      </c>
      <c r="C965" s="36" t="s">
        <v>33</v>
      </c>
      <c r="D965" s="36" t="s">
        <v>33</v>
      </c>
      <c r="E965" s="36" t="s">
        <v>91</v>
      </c>
      <c r="F965" s="34" t="s">
        <v>33</v>
      </c>
      <c r="G965" s="34" t="s">
        <v>33</v>
      </c>
      <c r="H965" s="37" t="s">
        <v>1727</v>
      </c>
      <c r="I965" s="35"/>
      <c r="J965" s="35"/>
    </row>
    <row r="966">
      <c r="A966" s="32" t="s">
        <v>1728</v>
      </c>
      <c r="B966" s="32" t="s">
        <v>57</v>
      </c>
      <c r="C966" s="36" t="s">
        <v>33</v>
      </c>
      <c r="D966" s="36" t="s">
        <v>33</v>
      </c>
      <c r="E966" s="36" t="s">
        <v>450</v>
      </c>
      <c r="F966" s="34" t="s">
        <v>33</v>
      </c>
      <c r="G966" s="34" t="s">
        <v>33</v>
      </c>
      <c r="H966" s="37" t="s">
        <v>1729</v>
      </c>
      <c r="I966" s="35"/>
      <c r="J966" s="35"/>
    </row>
    <row r="967">
      <c r="A967" s="32" t="s">
        <v>1730</v>
      </c>
      <c r="B967" s="32" t="s">
        <v>57</v>
      </c>
      <c r="C967" s="36" t="s">
        <v>33</v>
      </c>
      <c r="D967" s="36" t="s">
        <v>188</v>
      </c>
      <c r="E967" s="36" t="s">
        <v>33</v>
      </c>
      <c r="F967" s="34" t="s">
        <v>33</v>
      </c>
      <c r="G967" s="37" t="s">
        <v>281</v>
      </c>
      <c r="H967" s="34" t="s">
        <v>33</v>
      </c>
      <c r="I967" s="35"/>
      <c r="J967" s="35"/>
    </row>
    <row r="968">
      <c r="A968" s="32" t="s">
        <v>1731</v>
      </c>
      <c r="B968" s="32" t="s">
        <v>57</v>
      </c>
      <c r="C968" s="36" t="s">
        <v>33</v>
      </c>
      <c r="D968" s="36" t="s">
        <v>511</v>
      </c>
      <c r="E968" s="36" t="s">
        <v>33</v>
      </c>
      <c r="F968" s="34" t="s">
        <v>33</v>
      </c>
      <c r="G968" s="37" t="s">
        <v>1732</v>
      </c>
      <c r="H968" s="34" t="s">
        <v>33</v>
      </c>
      <c r="I968" s="35"/>
      <c r="J968" s="35"/>
    </row>
    <row r="969">
      <c r="A969" s="32" t="s">
        <v>1733</v>
      </c>
      <c r="B969" s="32" t="s">
        <v>57</v>
      </c>
      <c r="C969" s="36" t="s">
        <v>33</v>
      </c>
      <c r="D969" s="36" t="s">
        <v>33</v>
      </c>
      <c r="E969" s="36" t="s">
        <v>450</v>
      </c>
      <c r="F969" s="34" t="s">
        <v>33</v>
      </c>
      <c r="G969" s="34" t="s">
        <v>33</v>
      </c>
      <c r="H969" s="37" t="s">
        <v>1660</v>
      </c>
      <c r="I969" s="35"/>
      <c r="J969" s="35"/>
    </row>
    <row r="970">
      <c r="A970" s="32" t="s">
        <v>1734</v>
      </c>
      <c r="B970" s="32" t="s">
        <v>57</v>
      </c>
      <c r="C970" s="36" t="s">
        <v>33</v>
      </c>
      <c r="D970" s="36" t="s">
        <v>33</v>
      </c>
      <c r="E970" s="36" t="s">
        <v>101</v>
      </c>
      <c r="F970" s="34" t="s">
        <v>33</v>
      </c>
      <c r="G970" s="34" t="s">
        <v>33</v>
      </c>
      <c r="H970" s="37" t="s">
        <v>1414</v>
      </c>
      <c r="I970" s="35"/>
      <c r="J970" s="35"/>
    </row>
    <row r="971">
      <c r="A971" s="32" t="s">
        <v>1735</v>
      </c>
      <c r="B971" s="32" t="s">
        <v>57</v>
      </c>
      <c r="C971" s="36" t="s">
        <v>33</v>
      </c>
      <c r="D971" s="36" t="s">
        <v>33</v>
      </c>
      <c r="E971" s="36" t="s">
        <v>179</v>
      </c>
      <c r="F971" s="34" t="s">
        <v>33</v>
      </c>
      <c r="G971" s="34" t="s">
        <v>33</v>
      </c>
      <c r="H971" s="37" t="s">
        <v>1582</v>
      </c>
      <c r="I971" s="35"/>
      <c r="J971" s="35"/>
    </row>
    <row r="972">
      <c r="A972" s="32" t="s">
        <v>1736</v>
      </c>
      <c r="B972" s="32" t="s">
        <v>57</v>
      </c>
      <c r="C972" s="36" t="s">
        <v>33</v>
      </c>
      <c r="D972" s="36" t="s">
        <v>34</v>
      </c>
      <c r="E972" s="36" t="s">
        <v>68</v>
      </c>
      <c r="F972" s="34" t="s">
        <v>33</v>
      </c>
      <c r="G972" s="37" t="s">
        <v>1308</v>
      </c>
      <c r="H972" s="37" t="s">
        <v>1451</v>
      </c>
      <c r="I972" s="35"/>
      <c r="J972" s="35"/>
    </row>
    <row r="973">
      <c r="A973" s="32" t="s">
        <v>1737</v>
      </c>
      <c r="B973" s="32" t="s">
        <v>57</v>
      </c>
      <c r="C973" s="36" t="s">
        <v>33</v>
      </c>
      <c r="D973" s="36" t="s">
        <v>213</v>
      </c>
      <c r="E973" s="36" t="s">
        <v>33</v>
      </c>
      <c r="F973" s="34" t="s">
        <v>33</v>
      </c>
      <c r="G973" s="37" t="s">
        <v>1354</v>
      </c>
      <c r="H973" s="34" t="s">
        <v>33</v>
      </c>
      <c r="I973" s="35"/>
      <c r="J973" s="35"/>
    </row>
    <row r="974">
      <c r="A974" s="32" t="s">
        <v>1738</v>
      </c>
      <c r="B974" s="32" t="s">
        <v>57</v>
      </c>
      <c r="C974" s="36" t="s">
        <v>33</v>
      </c>
      <c r="D974" s="36" t="s">
        <v>33</v>
      </c>
      <c r="E974" s="36" t="s">
        <v>27</v>
      </c>
      <c r="F974" s="34" t="s">
        <v>33</v>
      </c>
      <c r="G974" s="34" t="s">
        <v>33</v>
      </c>
      <c r="H974" s="37" t="s">
        <v>392</v>
      </c>
      <c r="I974" s="35"/>
      <c r="J974" s="35"/>
    </row>
    <row r="975">
      <c r="A975" s="32" t="s">
        <v>1739</v>
      </c>
      <c r="B975" s="32" t="s">
        <v>57</v>
      </c>
      <c r="C975" s="36" t="s">
        <v>33</v>
      </c>
      <c r="D975" s="36" t="s">
        <v>33</v>
      </c>
      <c r="E975" s="36" t="s">
        <v>157</v>
      </c>
      <c r="F975" s="34" t="s">
        <v>33</v>
      </c>
      <c r="G975" s="34" t="s">
        <v>33</v>
      </c>
      <c r="H975" s="37" t="s">
        <v>1330</v>
      </c>
      <c r="I975" s="35"/>
      <c r="J975" s="35"/>
    </row>
    <row r="976">
      <c r="A976" s="32" t="s">
        <v>1740</v>
      </c>
      <c r="B976" s="32" t="s">
        <v>57</v>
      </c>
      <c r="C976" s="36" t="s">
        <v>33</v>
      </c>
      <c r="D976" s="36" t="s">
        <v>545</v>
      </c>
      <c r="E976" s="36" t="s">
        <v>137</v>
      </c>
      <c r="F976" s="34" t="s">
        <v>33</v>
      </c>
      <c r="G976" s="37" t="s">
        <v>521</v>
      </c>
      <c r="H976" s="37" t="s">
        <v>524</v>
      </c>
      <c r="I976" s="35"/>
      <c r="J976" s="35"/>
    </row>
    <row r="977">
      <c r="A977" s="32" t="s">
        <v>1741</v>
      </c>
      <c r="B977" s="32" t="s">
        <v>57</v>
      </c>
      <c r="C977" s="36" t="s">
        <v>33</v>
      </c>
      <c r="D977" s="36" t="s">
        <v>545</v>
      </c>
      <c r="E977" s="36" t="s">
        <v>288</v>
      </c>
      <c r="F977" s="34" t="s">
        <v>33</v>
      </c>
      <c r="G977" s="37" t="s">
        <v>976</v>
      </c>
      <c r="H977" s="37" t="s">
        <v>1742</v>
      </c>
      <c r="I977" s="35"/>
      <c r="J977" s="35"/>
    </row>
    <row r="978">
      <c r="A978" s="32" t="s">
        <v>1743</v>
      </c>
      <c r="B978" s="32" t="s">
        <v>57</v>
      </c>
      <c r="C978" s="36" t="s">
        <v>33</v>
      </c>
      <c r="D978" s="36" t="s">
        <v>450</v>
      </c>
      <c r="E978" s="36" t="s">
        <v>178</v>
      </c>
      <c r="F978" s="34" t="s">
        <v>33</v>
      </c>
      <c r="G978" s="37" t="s">
        <v>995</v>
      </c>
      <c r="H978" s="37" t="s">
        <v>1173</v>
      </c>
      <c r="I978" s="35"/>
      <c r="J978" s="35"/>
    </row>
    <row r="979">
      <c r="A979" s="32" t="s">
        <v>1744</v>
      </c>
      <c r="B979" s="32" t="s">
        <v>57</v>
      </c>
      <c r="C979" s="36" t="s">
        <v>33</v>
      </c>
      <c r="D979" s="36" t="s">
        <v>33</v>
      </c>
      <c r="E979" s="36" t="s">
        <v>187</v>
      </c>
      <c r="F979" s="34" t="s">
        <v>33</v>
      </c>
      <c r="G979" s="34" t="s">
        <v>33</v>
      </c>
      <c r="H979" s="37" t="s">
        <v>1173</v>
      </c>
      <c r="I979" s="35"/>
      <c r="J979" s="35"/>
    </row>
    <row r="980">
      <c r="A980" s="32" t="s">
        <v>1745</v>
      </c>
      <c r="B980" s="32" t="s">
        <v>57</v>
      </c>
      <c r="C980" s="36" t="s">
        <v>33</v>
      </c>
      <c r="D980" s="36" t="s">
        <v>152</v>
      </c>
      <c r="E980" s="36" t="s">
        <v>33</v>
      </c>
      <c r="F980" s="34" t="s">
        <v>33</v>
      </c>
      <c r="G980" s="37" t="s">
        <v>1423</v>
      </c>
      <c r="H980" s="34" t="s">
        <v>33</v>
      </c>
      <c r="I980" s="35"/>
      <c r="J980" s="35"/>
    </row>
    <row r="981">
      <c r="A981" s="32" t="s">
        <v>1746</v>
      </c>
      <c r="B981" s="32" t="s">
        <v>57</v>
      </c>
      <c r="C981" s="36" t="s">
        <v>33</v>
      </c>
      <c r="D981" s="36" t="s">
        <v>201</v>
      </c>
      <c r="E981" s="36" t="s">
        <v>377</v>
      </c>
      <c r="F981" s="34" t="s">
        <v>33</v>
      </c>
      <c r="G981" s="37" t="s">
        <v>1423</v>
      </c>
      <c r="H981" s="37" t="s">
        <v>1544</v>
      </c>
      <c r="I981" s="35"/>
      <c r="J981" s="35"/>
    </row>
    <row r="982">
      <c r="A982" s="32" t="s">
        <v>1747</v>
      </c>
      <c r="B982" s="32" t="s">
        <v>57</v>
      </c>
      <c r="C982" s="36" t="s">
        <v>33</v>
      </c>
      <c r="D982" s="36" t="s">
        <v>46</v>
      </c>
      <c r="E982" s="36" t="s">
        <v>33</v>
      </c>
      <c r="F982" s="34" t="s">
        <v>33</v>
      </c>
      <c r="G982" s="37" t="s">
        <v>1712</v>
      </c>
      <c r="H982" s="34" t="s">
        <v>33</v>
      </c>
      <c r="I982" s="35"/>
      <c r="J982" s="35"/>
    </row>
    <row r="983">
      <c r="A983" s="32" t="s">
        <v>1748</v>
      </c>
      <c r="B983" s="32" t="s">
        <v>109</v>
      </c>
      <c r="C983" s="36" t="s">
        <v>33</v>
      </c>
      <c r="D983" s="36" t="s">
        <v>240</v>
      </c>
      <c r="E983" s="36" t="s">
        <v>66</v>
      </c>
      <c r="F983" s="34" t="s">
        <v>33</v>
      </c>
      <c r="G983" s="37" t="s">
        <v>1749</v>
      </c>
      <c r="H983" s="37" t="s">
        <v>1750</v>
      </c>
      <c r="I983" s="35"/>
      <c r="J983" s="35"/>
    </row>
    <row r="984">
      <c r="A984" s="32" t="s">
        <v>1751</v>
      </c>
      <c r="B984" s="32" t="s">
        <v>109</v>
      </c>
      <c r="C984" s="36" t="s">
        <v>33</v>
      </c>
      <c r="D984" s="36" t="s">
        <v>288</v>
      </c>
      <c r="E984" s="36" t="s">
        <v>515</v>
      </c>
      <c r="F984" s="34" t="s">
        <v>33</v>
      </c>
      <c r="G984" s="37" t="s">
        <v>241</v>
      </c>
      <c r="H984" s="37" t="s">
        <v>1752</v>
      </c>
      <c r="I984" s="35"/>
      <c r="J984" s="35"/>
    </row>
    <row r="985">
      <c r="A985" s="32" t="s">
        <v>1753</v>
      </c>
      <c r="B985" s="32" t="s">
        <v>109</v>
      </c>
      <c r="C985" s="36" t="s">
        <v>33</v>
      </c>
      <c r="D985" s="36" t="s">
        <v>33</v>
      </c>
      <c r="E985" s="36" t="s">
        <v>58</v>
      </c>
      <c r="F985" s="34" t="s">
        <v>33</v>
      </c>
      <c r="G985" s="34" t="s">
        <v>33</v>
      </c>
      <c r="H985" s="37" t="s">
        <v>1754</v>
      </c>
      <c r="I985" s="35"/>
      <c r="J985" s="35"/>
    </row>
    <row r="986">
      <c r="A986" s="32" t="s">
        <v>1755</v>
      </c>
      <c r="B986" s="32" t="s">
        <v>109</v>
      </c>
      <c r="C986" s="36" t="s">
        <v>33</v>
      </c>
      <c r="D986" s="36" t="s">
        <v>442</v>
      </c>
      <c r="E986" s="36" t="s">
        <v>157</v>
      </c>
      <c r="F986" s="34" t="s">
        <v>33</v>
      </c>
      <c r="G986" s="37" t="s">
        <v>1749</v>
      </c>
      <c r="H986" s="37" t="s">
        <v>1756</v>
      </c>
      <c r="I986" s="35"/>
      <c r="J986" s="35"/>
    </row>
    <row r="987">
      <c r="A987" s="32" t="s">
        <v>1757</v>
      </c>
      <c r="B987" s="32" t="s">
        <v>109</v>
      </c>
      <c r="C987" s="36" t="s">
        <v>33</v>
      </c>
      <c r="D987" s="36" t="s">
        <v>51</v>
      </c>
      <c r="E987" s="36" t="s">
        <v>377</v>
      </c>
      <c r="F987" s="34" t="s">
        <v>33</v>
      </c>
      <c r="G987" s="37" t="s">
        <v>1366</v>
      </c>
      <c r="H987" s="37" t="s">
        <v>1480</v>
      </c>
      <c r="I987" s="35"/>
      <c r="J987" s="35"/>
    </row>
    <row r="988">
      <c r="A988" s="32" t="s">
        <v>1758</v>
      </c>
      <c r="B988" s="32" t="s">
        <v>109</v>
      </c>
      <c r="C988" s="36" t="s">
        <v>33</v>
      </c>
      <c r="D988" s="36" t="s">
        <v>33</v>
      </c>
      <c r="E988" s="36" t="s">
        <v>419</v>
      </c>
      <c r="F988" s="34" t="s">
        <v>33</v>
      </c>
      <c r="G988" s="34" t="s">
        <v>33</v>
      </c>
      <c r="H988" s="37" t="s">
        <v>969</v>
      </c>
      <c r="I988" s="35"/>
      <c r="J988" s="35"/>
    </row>
    <row r="989">
      <c r="A989" s="32" t="s">
        <v>1759</v>
      </c>
      <c r="B989" s="32" t="s">
        <v>109</v>
      </c>
      <c r="C989" s="36" t="s">
        <v>33</v>
      </c>
      <c r="D989" s="36" t="s">
        <v>26</v>
      </c>
      <c r="E989" s="36" t="s">
        <v>105</v>
      </c>
      <c r="F989" s="34" t="s">
        <v>33</v>
      </c>
      <c r="G989" s="37" t="s">
        <v>1051</v>
      </c>
      <c r="H989" s="37" t="s">
        <v>1335</v>
      </c>
      <c r="I989" s="35"/>
      <c r="J989" s="35"/>
    </row>
    <row r="990">
      <c r="A990" s="32" t="s">
        <v>1760</v>
      </c>
      <c r="B990" s="32" t="s">
        <v>109</v>
      </c>
      <c r="C990" s="36" t="s">
        <v>33</v>
      </c>
      <c r="D990" s="36" t="s">
        <v>152</v>
      </c>
      <c r="E990" s="36" t="s">
        <v>49</v>
      </c>
      <c r="F990" s="34" t="s">
        <v>33</v>
      </c>
      <c r="G990" s="37" t="s">
        <v>347</v>
      </c>
      <c r="H990" s="37" t="s">
        <v>1761</v>
      </c>
      <c r="I990" s="35"/>
      <c r="J990" s="35"/>
    </row>
    <row r="991">
      <c r="A991" s="32" t="s">
        <v>1762</v>
      </c>
      <c r="B991" s="32" t="s">
        <v>109</v>
      </c>
      <c r="C991" s="36" t="s">
        <v>33</v>
      </c>
      <c r="D991" s="36" t="s">
        <v>33</v>
      </c>
      <c r="E991" s="36" t="s">
        <v>226</v>
      </c>
      <c r="F991" s="34" t="s">
        <v>33</v>
      </c>
      <c r="G991" s="34" t="s">
        <v>33</v>
      </c>
      <c r="H991" s="37" t="s">
        <v>1763</v>
      </c>
      <c r="I991" s="35"/>
      <c r="J991" s="35"/>
    </row>
    <row r="992">
      <c r="A992" s="32" t="s">
        <v>1764</v>
      </c>
      <c r="B992" s="32" t="s">
        <v>109</v>
      </c>
      <c r="C992" s="36" t="s">
        <v>33</v>
      </c>
      <c r="D992" s="36" t="s">
        <v>187</v>
      </c>
      <c r="E992" s="36" t="s">
        <v>66</v>
      </c>
      <c r="F992" s="34" t="s">
        <v>33</v>
      </c>
      <c r="G992" s="37" t="s">
        <v>454</v>
      </c>
      <c r="H992" s="37" t="s">
        <v>455</v>
      </c>
      <c r="I992" s="35"/>
      <c r="J992" s="35"/>
    </row>
    <row r="993">
      <c r="A993" s="32" t="s">
        <v>1765</v>
      </c>
      <c r="B993" s="32" t="s">
        <v>109</v>
      </c>
      <c r="C993" s="36" t="s">
        <v>33</v>
      </c>
      <c r="D993" s="36" t="s">
        <v>49</v>
      </c>
      <c r="E993" s="36" t="s">
        <v>33</v>
      </c>
      <c r="F993" s="34" t="s">
        <v>33</v>
      </c>
      <c r="G993" s="37" t="s">
        <v>727</v>
      </c>
      <c r="H993" s="34" t="s">
        <v>33</v>
      </c>
      <c r="I993" s="35"/>
      <c r="J993" s="35"/>
    </row>
    <row r="994">
      <c r="A994" s="32" t="s">
        <v>1766</v>
      </c>
      <c r="B994" s="32" t="s">
        <v>109</v>
      </c>
      <c r="C994" s="36" t="s">
        <v>33</v>
      </c>
      <c r="D994" s="36" t="s">
        <v>25</v>
      </c>
      <c r="E994" s="36" t="s">
        <v>245</v>
      </c>
      <c r="F994" s="34" t="s">
        <v>33</v>
      </c>
      <c r="G994" s="37" t="s">
        <v>818</v>
      </c>
      <c r="H994" s="37" t="s">
        <v>819</v>
      </c>
      <c r="I994" s="35"/>
      <c r="J994" s="35"/>
    </row>
    <row r="995">
      <c r="A995" s="32" t="s">
        <v>1767</v>
      </c>
      <c r="B995" s="32" t="s">
        <v>109</v>
      </c>
      <c r="C995" s="36" t="s">
        <v>33</v>
      </c>
      <c r="D995" s="36" t="s">
        <v>33</v>
      </c>
      <c r="E995" s="36" t="s">
        <v>419</v>
      </c>
      <c r="F995" s="34" t="s">
        <v>33</v>
      </c>
      <c r="G995" s="34" t="s">
        <v>33</v>
      </c>
      <c r="H995" s="37" t="s">
        <v>1768</v>
      </c>
      <c r="I995" s="35"/>
      <c r="J995" s="35"/>
    </row>
    <row r="996">
      <c r="A996" s="32" t="s">
        <v>1769</v>
      </c>
      <c r="B996" s="32" t="s">
        <v>109</v>
      </c>
      <c r="C996" s="36" t="s">
        <v>33</v>
      </c>
      <c r="D996" s="36" t="s">
        <v>41</v>
      </c>
      <c r="E996" s="36" t="s">
        <v>33</v>
      </c>
      <c r="F996" s="34" t="s">
        <v>33</v>
      </c>
      <c r="G996" s="37" t="s">
        <v>1770</v>
      </c>
      <c r="H996" s="34" t="s">
        <v>33</v>
      </c>
      <c r="I996" s="35"/>
      <c r="J996" s="35"/>
    </row>
    <row r="997">
      <c r="A997" s="32" t="s">
        <v>1771</v>
      </c>
      <c r="B997" s="32" t="s">
        <v>109</v>
      </c>
      <c r="C997" s="36" t="s">
        <v>33</v>
      </c>
      <c r="D997" s="36" t="s">
        <v>385</v>
      </c>
      <c r="E997" s="36" t="s">
        <v>33</v>
      </c>
      <c r="F997" s="34" t="s">
        <v>33</v>
      </c>
      <c r="G997" s="37" t="s">
        <v>919</v>
      </c>
      <c r="H997" s="34" t="s">
        <v>33</v>
      </c>
      <c r="I997" s="35"/>
      <c r="J997" s="35"/>
    </row>
    <row r="998">
      <c r="A998" s="32" t="s">
        <v>1772</v>
      </c>
      <c r="B998" s="32" t="s">
        <v>109</v>
      </c>
      <c r="C998" s="36" t="s">
        <v>33</v>
      </c>
      <c r="D998" s="36" t="s">
        <v>113</v>
      </c>
      <c r="E998" s="36" t="s">
        <v>33</v>
      </c>
      <c r="F998" s="34" t="s">
        <v>33</v>
      </c>
      <c r="G998" s="37" t="s">
        <v>1270</v>
      </c>
      <c r="H998" s="34" t="s">
        <v>33</v>
      </c>
      <c r="I998" s="35"/>
      <c r="J998" s="35"/>
    </row>
    <row r="999">
      <c r="A999" s="32" t="s">
        <v>1773</v>
      </c>
      <c r="B999" s="32" t="s">
        <v>109</v>
      </c>
      <c r="C999" s="36" t="s">
        <v>33</v>
      </c>
      <c r="D999" s="36" t="s">
        <v>754</v>
      </c>
      <c r="E999" s="36" t="s">
        <v>33</v>
      </c>
      <c r="F999" s="34" t="s">
        <v>33</v>
      </c>
      <c r="G999" s="37" t="s">
        <v>818</v>
      </c>
      <c r="H999" s="34" t="s">
        <v>33</v>
      </c>
      <c r="I999" s="35"/>
      <c r="J999" s="35"/>
    </row>
    <row r="1000">
      <c r="A1000" s="32" t="s">
        <v>1774</v>
      </c>
      <c r="B1000" s="32" t="s">
        <v>109</v>
      </c>
      <c r="C1000" s="36" t="s">
        <v>33</v>
      </c>
      <c r="D1000" s="36" t="s">
        <v>33</v>
      </c>
      <c r="E1000" s="36" t="s">
        <v>46</v>
      </c>
      <c r="F1000" s="34" t="s">
        <v>33</v>
      </c>
      <c r="G1000" s="34" t="s">
        <v>33</v>
      </c>
      <c r="H1000" s="37" t="s">
        <v>1318</v>
      </c>
      <c r="I1000" s="35"/>
      <c r="J1000" s="35"/>
    </row>
    <row r="1001">
      <c r="A1001" s="32" t="s">
        <v>1775</v>
      </c>
      <c r="B1001" s="32" t="s">
        <v>109</v>
      </c>
      <c r="C1001" s="36" t="s">
        <v>33</v>
      </c>
      <c r="D1001" s="36" t="s">
        <v>96</v>
      </c>
      <c r="E1001" s="36" t="s">
        <v>33</v>
      </c>
      <c r="F1001" s="34" t="s">
        <v>33</v>
      </c>
      <c r="G1001" s="37" t="s">
        <v>163</v>
      </c>
      <c r="H1001" s="34" t="s">
        <v>33</v>
      </c>
      <c r="I1001" s="35"/>
      <c r="J1001" s="35"/>
    </row>
    <row r="1002">
      <c r="A1002" s="32" t="s">
        <v>1776</v>
      </c>
      <c r="B1002" s="32" t="s">
        <v>109</v>
      </c>
      <c r="C1002" s="36" t="s">
        <v>33</v>
      </c>
      <c r="D1002" s="36" t="s">
        <v>33</v>
      </c>
      <c r="E1002" s="36" t="s">
        <v>114</v>
      </c>
      <c r="F1002" s="34" t="s">
        <v>33</v>
      </c>
      <c r="G1002" s="34" t="s">
        <v>33</v>
      </c>
      <c r="H1002" s="37" t="s">
        <v>1432</v>
      </c>
      <c r="I1002" s="35"/>
      <c r="J1002" s="35"/>
    </row>
    <row r="1003">
      <c r="A1003" s="32" t="s">
        <v>1777</v>
      </c>
      <c r="B1003" s="32" t="s">
        <v>109</v>
      </c>
      <c r="C1003" s="36" t="s">
        <v>33</v>
      </c>
      <c r="D1003" s="36" t="s">
        <v>599</v>
      </c>
      <c r="E1003" s="36" t="s">
        <v>223</v>
      </c>
      <c r="F1003" s="34" t="s">
        <v>33</v>
      </c>
      <c r="G1003" s="37" t="s">
        <v>1778</v>
      </c>
      <c r="H1003" s="37" t="s">
        <v>1403</v>
      </c>
      <c r="I1003" s="35"/>
      <c r="J1003" s="35"/>
    </row>
    <row r="1004">
      <c r="A1004" s="32" t="s">
        <v>1779</v>
      </c>
      <c r="B1004" s="32" t="s">
        <v>109</v>
      </c>
      <c r="C1004" s="36" t="s">
        <v>33</v>
      </c>
      <c r="D1004" s="36" t="s">
        <v>33</v>
      </c>
      <c r="E1004" s="36" t="s">
        <v>53</v>
      </c>
      <c r="F1004" s="34" t="s">
        <v>33</v>
      </c>
      <c r="G1004" s="34" t="s">
        <v>33</v>
      </c>
      <c r="H1004" s="37" t="s">
        <v>1189</v>
      </c>
      <c r="I1004" s="35"/>
      <c r="J1004" s="35"/>
    </row>
    <row r="1005">
      <c r="A1005" s="32" t="s">
        <v>1780</v>
      </c>
      <c r="B1005" s="32" t="s">
        <v>109</v>
      </c>
      <c r="C1005" s="36" t="s">
        <v>33</v>
      </c>
      <c r="D1005" s="36" t="s">
        <v>33</v>
      </c>
      <c r="E1005" s="36" t="s">
        <v>1068</v>
      </c>
      <c r="F1005" s="34" t="s">
        <v>33</v>
      </c>
      <c r="G1005" s="34" t="s">
        <v>33</v>
      </c>
      <c r="H1005" s="37" t="s">
        <v>1418</v>
      </c>
      <c r="I1005" s="35"/>
      <c r="J1005" s="35"/>
    </row>
    <row r="1006">
      <c r="A1006" s="32" t="s">
        <v>1781</v>
      </c>
      <c r="B1006" s="32" t="s">
        <v>109</v>
      </c>
      <c r="C1006" s="36" t="s">
        <v>33</v>
      </c>
      <c r="D1006" s="36" t="s">
        <v>545</v>
      </c>
      <c r="E1006" s="36" t="s">
        <v>157</v>
      </c>
      <c r="F1006" s="34" t="s">
        <v>33</v>
      </c>
      <c r="G1006" s="37" t="s">
        <v>995</v>
      </c>
      <c r="H1006" s="37" t="s">
        <v>1173</v>
      </c>
      <c r="I1006" s="35"/>
      <c r="J1006" s="35"/>
    </row>
    <row r="1007">
      <c r="A1007" s="32" t="s">
        <v>1782</v>
      </c>
      <c r="B1007" s="32" t="s">
        <v>109</v>
      </c>
      <c r="C1007" s="36" t="s">
        <v>33</v>
      </c>
      <c r="D1007" s="36" t="s">
        <v>179</v>
      </c>
      <c r="E1007" s="36" t="s">
        <v>33</v>
      </c>
      <c r="F1007" s="34" t="s">
        <v>33</v>
      </c>
      <c r="G1007" s="37" t="s">
        <v>1423</v>
      </c>
      <c r="H1007" s="34" t="s">
        <v>33</v>
      </c>
      <c r="I1007" s="35"/>
      <c r="J1007" s="35"/>
    </row>
    <row r="1008">
      <c r="A1008" s="32" t="s">
        <v>1783</v>
      </c>
      <c r="B1008" s="32" t="s">
        <v>109</v>
      </c>
      <c r="C1008" s="36" t="s">
        <v>33</v>
      </c>
      <c r="D1008" s="36" t="s">
        <v>218</v>
      </c>
      <c r="E1008" s="36" t="s">
        <v>33</v>
      </c>
      <c r="F1008" s="34" t="s">
        <v>33</v>
      </c>
      <c r="G1008" s="37" t="s">
        <v>1423</v>
      </c>
      <c r="H1008" s="34" t="s">
        <v>33</v>
      </c>
      <c r="I1008" s="35"/>
      <c r="J1008" s="35"/>
    </row>
    <row r="1009">
      <c r="A1009" s="32" t="s">
        <v>1784</v>
      </c>
      <c r="B1009" s="32" t="s">
        <v>109</v>
      </c>
      <c r="C1009" s="36" t="s">
        <v>33</v>
      </c>
      <c r="D1009" s="36" t="s">
        <v>53</v>
      </c>
      <c r="E1009" s="36" t="s">
        <v>33</v>
      </c>
      <c r="F1009" s="34" t="s">
        <v>33</v>
      </c>
      <c r="G1009" s="37" t="s">
        <v>318</v>
      </c>
      <c r="H1009" s="34" t="s">
        <v>33</v>
      </c>
      <c r="I1009" s="35"/>
      <c r="J1009" s="35"/>
    </row>
    <row r="1010">
      <c r="A1010" s="32" t="s">
        <v>1785</v>
      </c>
      <c r="B1010" s="32" t="s">
        <v>109</v>
      </c>
      <c r="C1010" s="36" t="s">
        <v>33</v>
      </c>
      <c r="D1010" s="36" t="s">
        <v>82</v>
      </c>
      <c r="E1010" s="36" t="s">
        <v>33</v>
      </c>
      <c r="F1010" s="34" t="s">
        <v>33</v>
      </c>
      <c r="G1010" s="37" t="s">
        <v>995</v>
      </c>
      <c r="H1010" s="34" t="s">
        <v>33</v>
      </c>
      <c r="I1010" s="35"/>
      <c r="J1010" s="35"/>
    </row>
    <row r="1011">
      <c r="A1011" s="32" t="s">
        <v>1786</v>
      </c>
      <c r="B1011" s="32" t="s">
        <v>109</v>
      </c>
      <c r="C1011" s="36" t="s">
        <v>33</v>
      </c>
      <c r="D1011" s="36" t="s">
        <v>33</v>
      </c>
      <c r="E1011" s="36" t="s">
        <v>371</v>
      </c>
      <c r="F1011" s="34" t="s">
        <v>33</v>
      </c>
      <c r="G1011" s="34" t="s">
        <v>33</v>
      </c>
      <c r="H1011" s="37" t="s">
        <v>1523</v>
      </c>
      <c r="I1011" s="35"/>
      <c r="J1011" s="35"/>
    </row>
    <row r="1012">
      <c r="A1012" s="32" t="s">
        <v>1787</v>
      </c>
      <c r="B1012" s="32" t="s">
        <v>109</v>
      </c>
      <c r="C1012" s="36" t="s">
        <v>33</v>
      </c>
      <c r="D1012" s="36" t="s">
        <v>591</v>
      </c>
      <c r="E1012" s="36" t="s">
        <v>385</v>
      </c>
      <c r="F1012" s="34" t="s">
        <v>33</v>
      </c>
      <c r="G1012" s="37" t="s">
        <v>1223</v>
      </c>
      <c r="H1012" s="37" t="s">
        <v>1578</v>
      </c>
      <c r="I1012" s="35"/>
      <c r="J1012" s="35"/>
    </row>
    <row r="1013">
      <c r="A1013" s="32" t="s">
        <v>1788</v>
      </c>
      <c r="B1013" s="32" t="s">
        <v>109</v>
      </c>
      <c r="C1013" s="36" t="s">
        <v>33</v>
      </c>
      <c r="D1013" s="36" t="s">
        <v>33</v>
      </c>
      <c r="E1013" s="36" t="s">
        <v>365</v>
      </c>
      <c r="F1013" s="34" t="s">
        <v>33</v>
      </c>
      <c r="G1013" s="34" t="s">
        <v>33</v>
      </c>
      <c r="H1013" s="37" t="s">
        <v>1189</v>
      </c>
      <c r="I1013" s="35"/>
      <c r="J1013" s="35"/>
    </row>
    <row r="1014">
      <c r="A1014" s="32" t="s">
        <v>1789</v>
      </c>
      <c r="B1014" s="32" t="s">
        <v>109</v>
      </c>
      <c r="C1014" s="36" t="s">
        <v>33</v>
      </c>
      <c r="D1014" s="36" t="s">
        <v>1215</v>
      </c>
      <c r="E1014" s="36" t="s">
        <v>27</v>
      </c>
      <c r="F1014" s="34" t="s">
        <v>33</v>
      </c>
      <c r="G1014" s="37" t="s">
        <v>1069</v>
      </c>
      <c r="H1014" s="37" t="s">
        <v>1477</v>
      </c>
      <c r="I1014" s="35"/>
      <c r="J1014" s="35"/>
    </row>
    <row r="1015">
      <c r="A1015" s="32" t="s">
        <v>1790</v>
      </c>
      <c r="B1015" s="32" t="s">
        <v>109</v>
      </c>
      <c r="C1015" s="36" t="s">
        <v>33</v>
      </c>
      <c r="D1015" s="36" t="s">
        <v>165</v>
      </c>
      <c r="E1015" s="36" t="s">
        <v>33</v>
      </c>
      <c r="F1015" s="34" t="s">
        <v>33</v>
      </c>
      <c r="G1015" s="37" t="s">
        <v>1517</v>
      </c>
      <c r="H1015" s="34" t="s">
        <v>33</v>
      </c>
      <c r="I1015" s="35"/>
      <c r="J1015" s="35"/>
    </row>
    <row r="1016">
      <c r="A1016" s="32" t="s">
        <v>1791</v>
      </c>
      <c r="B1016" s="32" t="s">
        <v>109</v>
      </c>
      <c r="C1016" s="36" t="s">
        <v>33</v>
      </c>
      <c r="D1016" s="36" t="s">
        <v>33</v>
      </c>
      <c r="E1016" s="36" t="s">
        <v>101</v>
      </c>
      <c r="F1016" s="34" t="s">
        <v>33</v>
      </c>
      <c r="G1016" s="34" t="s">
        <v>33</v>
      </c>
      <c r="H1016" s="37" t="s">
        <v>1113</v>
      </c>
      <c r="I1016" s="35"/>
      <c r="J1016" s="35"/>
    </row>
    <row r="1017">
      <c r="A1017" s="32" t="s">
        <v>1792</v>
      </c>
      <c r="B1017" s="32" t="s">
        <v>109</v>
      </c>
      <c r="C1017" s="36" t="s">
        <v>33</v>
      </c>
      <c r="D1017" s="36" t="s">
        <v>545</v>
      </c>
      <c r="E1017" s="36" t="s">
        <v>33</v>
      </c>
      <c r="F1017" s="34" t="s">
        <v>33</v>
      </c>
      <c r="G1017" s="37" t="s">
        <v>1652</v>
      </c>
      <c r="H1017" s="34" t="s">
        <v>33</v>
      </c>
      <c r="I1017" s="35"/>
      <c r="J1017" s="35"/>
    </row>
    <row r="1018">
      <c r="A1018" s="32" t="s">
        <v>1793</v>
      </c>
      <c r="B1018" s="32" t="s">
        <v>109</v>
      </c>
      <c r="C1018" s="36" t="s">
        <v>33</v>
      </c>
      <c r="D1018" s="36" t="s">
        <v>128</v>
      </c>
      <c r="E1018" s="36" t="s">
        <v>101</v>
      </c>
      <c r="F1018" s="34" t="s">
        <v>33</v>
      </c>
      <c r="G1018" s="37" t="s">
        <v>1423</v>
      </c>
      <c r="H1018" s="37" t="s">
        <v>1544</v>
      </c>
      <c r="I1018" s="35"/>
      <c r="J1018" s="35"/>
    </row>
    <row r="1019">
      <c r="A1019" s="32" t="s">
        <v>1794</v>
      </c>
      <c r="B1019" s="32" t="s">
        <v>109</v>
      </c>
      <c r="C1019" s="36" t="s">
        <v>33</v>
      </c>
      <c r="D1019" s="36" t="s">
        <v>528</v>
      </c>
      <c r="E1019" s="36" t="s">
        <v>33</v>
      </c>
      <c r="F1019" s="34" t="s">
        <v>33</v>
      </c>
      <c r="G1019" s="37" t="s">
        <v>614</v>
      </c>
      <c r="H1019" s="34" t="s">
        <v>33</v>
      </c>
      <c r="I1019" s="35"/>
      <c r="J1019" s="35"/>
    </row>
    <row r="1020">
      <c r="A1020" s="32" t="s">
        <v>1795</v>
      </c>
      <c r="B1020" s="32" t="s">
        <v>109</v>
      </c>
      <c r="C1020" s="36" t="s">
        <v>33</v>
      </c>
      <c r="D1020" s="36" t="s">
        <v>33</v>
      </c>
      <c r="E1020" s="36" t="s">
        <v>799</v>
      </c>
      <c r="F1020" s="34" t="s">
        <v>33</v>
      </c>
      <c r="G1020" s="34" t="s">
        <v>33</v>
      </c>
      <c r="H1020" s="37" t="s">
        <v>1360</v>
      </c>
      <c r="I1020" s="35"/>
      <c r="J1020" s="35"/>
    </row>
    <row r="1021">
      <c r="A1021" s="32" t="s">
        <v>1796</v>
      </c>
      <c r="B1021" s="32" t="s">
        <v>109</v>
      </c>
      <c r="C1021" s="36" t="s">
        <v>33</v>
      </c>
      <c r="D1021" s="36" t="s">
        <v>33</v>
      </c>
      <c r="E1021" s="36" t="s">
        <v>718</v>
      </c>
      <c r="F1021" s="34" t="s">
        <v>33</v>
      </c>
      <c r="G1021" s="34" t="s">
        <v>33</v>
      </c>
      <c r="H1021" s="37" t="s">
        <v>1372</v>
      </c>
      <c r="I1021" s="35"/>
      <c r="J1021" s="35"/>
    </row>
    <row r="1022">
      <c r="A1022" s="32" t="s">
        <v>1797</v>
      </c>
      <c r="B1022" s="32" t="s">
        <v>109</v>
      </c>
      <c r="C1022" s="36" t="s">
        <v>33</v>
      </c>
      <c r="D1022" s="36" t="s">
        <v>25</v>
      </c>
      <c r="E1022" s="36" t="s">
        <v>114</v>
      </c>
      <c r="F1022" s="34" t="s">
        <v>33</v>
      </c>
      <c r="G1022" s="37" t="s">
        <v>1209</v>
      </c>
      <c r="H1022" s="37" t="s">
        <v>1716</v>
      </c>
      <c r="I1022" s="35"/>
      <c r="J1022" s="35"/>
    </row>
    <row r="1023">
      <c r="A1023" s="32" t="s">
        <v>1798</v>
      </c>
      <c r="B1023" s="32" t="s">
        <v>109</v>
      </c>
      <c r="C1023" s="36" t="s">
        <v>33</v>
      </c>
      <c r="D1023" s="36" t="s">
        <v>33</v>
      </c>
      <c r="E1023" s="36" t="s">
        <v>91</v>
      </c>
      <c r="F1023" s="34" t="s">
        <v>33</v>
      </c>
      <c r="G1023" s="34" t="s">
        <v>33</v>
      </c>
      <c r="H1023" s="37" t="s">
        <v>1448</v>
      </c>
      <c r="I1023" s="35"/>
      <c r="J1023" s="35"/>
    </row>
    <row r="1024">
      <c r="A1024" s="32" t="s">
        <v>1799</v>
      </c>
      <c r="B1024" s="32" t="s">
        <v>109</v>
      </c>
      <c r="C1024" s="36" t="s">
        <v>33</v>
      </c>
      <c r="D1024" s="36" t="s">
        <v>33</v>
      </c>
      <c r="E1024" s="36" t="s">
        <v>157</v>
      </c>
      <c r="F1024" s="34" t="s">
        <v>33</v>
      </c>
      <c r="G1024" s="34" t="s">
        <v>33</v>
      </c>
      <c r="H1024" s="37" t="s">
        <v>1301</v>
      </c>
      <c r="I1024" s="35"/>
      <c r="J1024" s="35"/>
    </row>
    <row r="1025">
      <c r="A1025" s="32" t="s">
        <v>1800</v>
      </c>
      <c r="B1025" s="32" t="s">
        <v>109</v>
      </c>
      <c r="C1025" s="36" t="s">
        <v>33</v>
      </c>
      <c r="D1025" s="36" t="s">
        <v>63</v>
      </c>
      <c r="E1025" s="36" t="s">
        <v>33</v>
      </c>
      <c r="F1025" s="34" t="s">
        <v>33</v>
      </c>
      <c r="G1025" s="37" t="s">
        <v>43</v>
      </c>
      <c r="H1025" s="34" t="s">
        <v>33</v>
      </c>
      <c r="I1025" s="35"/>
      <c r="J1025" s="35"/>
    </row>
    <row r="1026">
      <c r="A1026" s="32" t="s">
        <v>1801</v>
      </c>
      <c r="B1026" s="32" t="s">
        <v>109</v>
      </c>
      <c r="C1026" s="36" t="s">
        <v>33</v>
      </c>
      <c r="D1026" s="36" t="s">
        <v>33</v>
      </c>
      <c r="E1026" s="36" t="s">
        <v>322</v>
      </c>
      <c r="F1026" s="34" t="s">
        <v>33</v>
      </c>
      <c r="G1026" s="34" t="s">
        <v>33</v>
      </c>
      <c r="H1026" s="37" t="s">
        <v>1802</v>
      </c>
      <c r="I1026" s="35"/>
      <c r="J1026" s="35"/>
    </row>
    <row r="1027">
      <c r="A1027" s="32" t="s">
        <v>1803</v>
      </c>
      <c r="B1027" s="32" t="s">
        <v>109</v>
      </c>
      <c r="C1027" s="36" t="s">
        <v>33</v>
      </c>
      <c r="D1027" s="36" t="s">
        <v>1293</v>
      </c>
      <c r="E1027" s="36" t="s">
        <v>33</v>
      </c>
      <c r="F1027" s="34" t="s">
        <v>33</v>
      </c>
      <c r="G1027" s="37" t="s">
        <v>216</v>
      </c>
      <c r="H1027" s="34" t="s">
        <v>33</v>
      </c>
      <c r="I1027" s="35"/>
      <c r="J1027" s="35"/>
    </row>
    <row r="1028">
      <c r="A1028" s="32" t="s">
        <v>1804</v>
      </c>
      <c r="B1028" s="32" t="s">
        <v>109</v>
      </c>
      <c r="C1028" s="36" t="s">
        <v>33</v>
      </c>
      <c r="D1028" s="36" t="s">
        <v>157</v>
      </c>
      <c r="E1028" s="36" t="s">
        <v>369</v>
      </c>
      <c r="F1028" s="34" t="s">
        <v>33</v>
      </c>
      <c r="G1028" s="37" t="s">
        <v>1805</v>
      </c>
      <c r="H1028" s="37" t="s">
        <v>1393</v>
      </c>
      <c r="I1028" s="35"/>
      <c r="J1028" s="35"/>
    </row>
    <row r="1029">
      <c r="A1029" s="32" t="s">
        <v>1806</v>
      </c>
      <c r="B1029" s="32" t="s">
        <v>109</v>
      </c>
      <c r="C1029" s="36" t="s">
        <v>33</v>
      </c>
      <c r="D1029" s="36" t="s">
        <v>33</v>
      </c>
      <c r="E1029" s="36" t="s">
        <v>419</v>
      </c>
      <c r="F1029" s="34" t="s">
        <v>33</v>
      </c>
      <c r="G1029" s="34" t="s">
        <v>33</v>
      </c>
      <c r="H1029" s="37" t="s">
        <v>1403</v>
      </c>
      <c r="I1029" s="35"/>
      <c r="J1029" s="35"/>
    </row>
    <row r="1030">
      <c r="A1030" s="32" t="s">
        <v>1807</v>
      </c>
      <c r="B1030" s="32" t="s">
        <v>109</v>
      </c>
      <c r="C1030" s="36" t="s">
        <v>33</v>
      </c>
      <c r="D1030" s="36" t="s">
        <v>33</v>
      </c>
      <c r="E1030" s="36" t="s">
        <v>284</v>
      </c>
      <c r="F1030" s="34" t="s">
        <v>33</v>
      </c>
      <c r="G1030" s="34" t="s">
        <v>33</v>
      </c>
      <c r="H1030" s="37" t="s">
        <v>1808</v>
      </c>
      <c r="I1030" s="35"/>
      <c r="J1030" s="35"/>
    </row>
    <row r="1031">
      <c r="A1031" s="32" t="s">
        <v>1809</v>
      </c>
      <c r="B1031" s="32" t="s">
        <v>109</v>
      </c>
      <c r="C1031" s="36" t="s">
        <v>33</v>
      </c>
      <c r="D1031" s="36" t="s">
        <v>680</v>
      </c>
      <c r="E1031" s="36" t="s">
        <v>33</v>
      </c>
      <c r="F1031" s="34" t="s">
        <v>33</v>
      </c>
      <c r="G1031" s="37" t="s">
        <v>818</v>
      </c>
      <c r="H1031" s="34" t="s">
        <v>33</v>
      </c>
      <c r="I1031" s="35"/>
      <c r="J1031" s="35"/>
    </row>
    <row r="1032">
      <c r="A1032" s="32" t="s">
        <v>1810</v>
      </c>
      <c r="B1032" s="32" t="s">
        <v>109</v>
      </c>
      <c r="C1032" s="36" t="s">
        <v>33</v>
      </c>
      <c r="D1032" s="36" t="s">
        <v>66</v>
      </c>
      <c r="E1032" s="36" t="s">
        <v>33</v>
      </c>
      <c r="F1032" s="34" t="s">
        <v>33</v>
      </c>
      <c r="G1032" s="37" t="s">
        <v>585</v>
      </c>
      <c r="H1032" s="34" t="s">
        <v>33</v>
      </c>
      <c r="I1032" s="35"/>
      <c r="J1032" s="35"/>
    </row>
    <row r="1033">
      <c r="A1033" s="32" t="s">
        <v>1811</v>
      </c>
      <c r="B1033" s="32" t="s">
        <v>109</v>
      </c>
      <c r="C1033" s="36" t="s">
        <v>33</v>
      </c>
      <c r="D1033" s="36" t="s">
        <v>188</v>
      </c>
      <c r="E1033" s="36" t="s">
        <v>114</v>
      </c>
      <c r="F1033" s="34" t="s">
        <v>33</v>
      </c>
      <c r="G1033" s="37" t="s">
        <v>1116</v>
      </c>
      <c r="H1033" s="37" t="s">
        <v>455</v>
      </c>
      <c r="I1033" s="35"/>
      <c r="J1033" s="35"/>
    </row>
    <row r="1034">
      <c r="A1034" s="32" t="s">
        <v>1812</v>
      </c>
      <c r="B1034" s="32" t="s">
        <v>109</v>
      </c>
      <c r="C1034" s="36" t="s">
        <v>33</v>
      </c>
      <c r="D1034" s="36" t="s">
        <v>33</v>
      </c>
      <c r="E1034" s="36" t="s">
        <v>533</v>
      </c>
      <c r="F1034" s="34" t="s">
        <v>33</v>
      </c>
      <c r="G1034" s="34" t="s">
        <v>33</v>
      </c>
      <c r="H1034" s="37" t="s">
        <v>1411</v>
      </c>
      <c r="I1034" s="35"/>
      <c r="J1034" s="35"/>
    </row>
    <row r="1035">
      <c r="A1035" s="32" t="s">
        <v>1813</v>
      </c>
      <c r="B1035" s="32" t="s">
        <v>109</v>
      </c>
      <c r="C1035" s="36" t="s">
        <v>33</v>
      </c>
      <c r="D1035" s="36" t="s">
        <v>33</v>
      </c>
      <c r="E1035" s="36" t="s">
        <v>122</v>
      </c>
      <c r="F1035" s="34" t="s">
        <v>33</v>
      </c>
      <c r="G1035" s="34" t="s">
        <v>33</v>
      </c>
      <c r="H1035" s="37" t="s">
        <v>1620</v>
      </c>
      <c r="I1035" s="35"/>
      <c r="J1035" s="35"/>
    </row>
    <row r="1036">
      <c r="A1036" s="32" t="s">
        <v>1814</v>
      </c>
      <c r="B1036" s="32" t="s">
        <v>109</v>
      </c>
      <c r="C1036" s="36" t="s">
        <v>33</v>
      </c>
      <c r="D1036" s="36" t="s">
        <v>33</v>
      </c>
      <c r="E1036" s="36" t="s">
        <v>188</v>
      </c>
      <c r="F1036" s="34" t="s">
        <v>33</v>
      </c>
      <c r="G1036" s="34" t="s">
        <v>33</v>
      </c>
      <c r="H1036" s="37" t="s">
        <v>1414</v>
      </c>
      <c r="I1036" s="35"/>
      <c r="J1036" s="35"/>
    </row>
    <row r="1037">
      <c r="A1037" s="32" t="s">
        <v>1815</v>
      </c>
      <c r="B1037" s="32" t="s">
        <v>109</v>
      </c>
      <c r="C1037" s="36" t="s">
        <v>33</v>
      </c>
      <c r="D1037" s="36" t="s">
        <v>206</v>
      </c>
      <c r="E1037" s="36" t="s">
        <v>288</v>
      </c>
      <c r="F1037" s="34" t="s">
        <v>33</v>
      </c>
      <c r="G1037" s="37" t="s">
        <v>1223</v>
      </c>
      <c r="H1037" s="37" t="s">
        <v>1414</v>
      </c>
      <c r="I1037" s="35"/>
      <c r="J1037" s="35"/>
    </row>
    <row r="1038">
      <c r="A1038" s="32" t="s">
        <v>1816</v>
      </c>
      <c r="B1038" s="32" t="s">
        <v>109</v>
      </c>
      <c r="C1038" s="36" t="s">
        <v>33</v>
      </c>
      <c r="D1038" s="36" t="s">
        <v>131</v>
      </c>
      <c r="E1038" s="36" t="s">
        <v>33</v>
      </c>
      <c r="F1038" s="34" t="s">
        <v>33</v>
      </c>
      <c r="G1038" s="37" t="s">
        <v>1223</v>
      </c>
      <c r="H1038" s="34" t="s">
        <v>33</v>
      </c>
      <c r="I1038" s="35"/>
      <c r="J1038" s="35"/>
    </row>
    <row r="1039">
      <c r="A1039" s="32" t="s">
        <v>1817</v>
      </c>
      <c r="B1039" s="32" t="s">
        <v>109</v>
      </c>
      <c r="C1039" s="36" t="s">
        <v>33</v>
      </c>
      <c r="D1039" s="36" t="s">
        <v>33</v>
      </c>
      <c r="E1039" s="36" t="s">
        <v>283</v>
      </c>
      <c r="F1039" s="34" t="s">
        <v>33</v>
      </c>
      <c r="G1039" s="34" t="s">
        <v>33</v>
      </c>
      <c r="H1039" s="37" t="s">
        <v>1360</v>
      </c>
      <c r="I1039" s="35"/>
      <c r="J1039" s="35"/>
    </row>
    <row r="1040">
      <c r="A1040" s="32" t="s">
        <v>1818</v>
      </c>
      <c r="B1040" s="32" t="s">
        <v>109</v>
      </c>
      <c r="C1040" s="36" t="s">
        <v>33</v>
      </c>
      <c r="D1040" s="36" t="s">
        <v>33</v>
      </c>
      <c r="E1040" s="36" t="s">
        <v>383</v>
      </c>
      <c r="F1040" s="34" t="s">
        <v>33</v>
      </c>
      <c r="G1040" s="34" t="s">
        <v>33</v>
      </c>
      <c r="H1040" s="37" t="s">
        <v>1360</v>
      </c>
      <c r="I1040" s="35"/>
      <c r="J1040" s="35"/>
    </row>
    <row r="1041">
      <c r="A1041" s="32" t="s">
        <v>1819</v>
      </c>
      <c r="B1041" s="32" t="s">
        <v>109</v>
      </c>
      <c r="C1041" s="36" t="s">
        <v>33</v>
      </c>
      <c r="D1041" s="36" t="s">
        <v>33</v>
      </c>
      <c r="E1041" s="36" t="s">
        <v>114</v>
      </c>
      <c r="F1041" s="34" t="s">
        <v>33</v>
      </c>
      <c r="G1041" s="34" t="s">
        <v>33</v>
      </c>
      <c r="H1041" s="37" t="s">
        <v>1414</v>
      </c>
      <c r="I1041" s="35"/>
      <c r="J1041" s="35"/>
    </row>
    <row r="1042">
      <c r="A1042" s="32" t="s">
        <v>1820</v>
      </c>
      <c r="B1042" s="32" t="s">
        <v>109</v>
      </c>
      <c r="C1042" s="36" t="s">
        <v>33</v>
      </c>
      <c r="D1042" s="36" t="s">
        <v>33</v>
      </c>
      <c r="E1042" s="36" t="s">
        <v>284</v>
      </c>
      <c r="F1042" s="34" t="s">
        <v>33</v>
      </c>
      <c r="G1042" s="34" t="s">
        <v>33</v>
      </c>
      <c r="H1042" s="37" t="s">
        <v>1660</v>
      </c>
      <c r="I1042" s="35"/>
      <c r="J1042" s="35"/>
    </row>
    <row r="1043">
      <c r="A1043" s="32" t="s">
        <v>1821</v>
      </c>
      <c r="B1043" s="32" t="s">
        <v>109</v>
      </c>
      <c r="C1043" s="36" t="s">
        <v>33</v>
      </c>
      <c r="D1043" s="36" t="s">
        <v>33</v>
      </c>
      <c r="E1043" s="36" t="s">
        <v>442</v>
      </c>
      <c r="F1043" s="34" t="s">
        <v>33</v>
      </c>
      <c r="G1043" s="34" t="s">
        <v>33</v>
      </c>
      <c r="H1043" s="37" t="s">
        <v>1360</v>
      </c>
      <c r="I1043" s="35"/>
      <c r="J1043" s="35"/>
    </row>
    <row r="1044">
      <c r="A1044" s="32" t="s">
        <v>1822</v>
      </c>
      <c r="B1044" s="32" t="s">
        <v>109</v>
      </c>
      <c r="C1044" s="36" t="s">
        <v>33</v>
      </c>
      <c r="D1044" s="36" t="s">
        <v>870</v>
      </c>
      <c r="E1044" s="36" t="s">
        <v>33</v>
      </c>
      <c r="F1044" s="34" t="s">
        <v>33</v>
      </c>
      <c r="G1044" s="37" t="s">
        <v>995</v>
      </c>
      <c r="H1044" s="34" t="s">
        <v>33</v>
      </c>
      <c r="I1044" s="35"/>
      <c r="J1044" s="35"/>
    </row>
    <row r="1045">
      <c r="A1045" s="32" t="s">
        <v>1823</v>
      </c>
      <c r="B1045" s="32" t="s">
        <v>109</v>
      </c>
      <c r="C1045" s="36" t="s">
        <v>33</v>
      </c>
      <c r="D1045" s="36" t="s">
        <v>33</v>
      </c>
      <c r="E1045" s="36" t="s">
        <v>854</v>
      </c>
      <c r="F1045" s="34" t="s">
        <v>33</v>
      </c>
      <c r="G1045" s="34" t="s">
        <v>33</v>
      </c>
      <c r="H1045" s="37" t="s">
        <v>1824</v>
      </c>
      <c r="I1045" s="35"/>
      <c r="J1045" s="35"/>
    </row>
    <row r="1046">
      <c r="A1046" s="32" t="s">
        <v>1825</v>
      </c>
      <c r="B1046" s="32" t="s">
        <v>109</v>
      </c>
      <c r="C1046" s="36" t="s">
        <v>33</v>
      </c>
      <c r="D1046" s="36" t="s">
        <v>137</v>
      </c>
      <c r="E1046" s="36" t="s">
        <v>33</v>
      </c>
      <c r="F1046" s="34" t="s">
        <v>33</v>
      </c>
      <c r="G1046" s="37" t="s">
        <v>281</v>
      </c>
      <c r="H1046" s="34" t="s">
        <v>33</v>
      </c>
      <c r="I1046" s="35"/>
      <c r="J1046" s="35"/>
    </row>
    <row r="1047">
      <c r="A1047" s="32" t="s">
        <v>1826</v>
      </c>
      <c r="B1047" s="32" t="s">
        <v>109</v>
      </c>
      <c r="C1047" s="36" t="s">
        <v>33</v>
      </c>
      <c r="D1047" s="36" t="s">
        <v>33</v>
      </c>
      <c r="E1047" s="36" t="s">
        <v>1040</v>
      </c>
      <c r="F1047" s="34" t="s">
        <v>33</v>
      </c>
      <c r="G1047" s="34" t="s">
        <v>33</v>
      </c>
      <c r="H1047" s="37" t="s">
        <v>1523</v>
      </c>
      <c r="I1047" s="35"/>
      <c r="J1047" s="35"/>
    </row>
    <row r="1048">
      <c r="A1048" s="32" t="s">
        <v>1827</v>
      </c>
      <c r="B1048" s="32" t="s">
        <v>109</v>
      </c>
      <c r="C1048" s="36" t="s">
        <v>33</v>
      </c>
      <c r="D1048" s="36" t="s">
        <v>33</v>
      </c>
      <c r="E1048" s="36" t="s">
        <v>173</v>
      </c>
      <c r="F1048" s="34" t="s">
        <v>33</v>
      </c>
      <c r="G1048" s="34" t="s">
        <v>33</v>
      </c>
      <c r="H1048" s="37" t="s">
        <v>1418</v>
      </c>
      <c r="I1048" s="35"/>
      <c r="J1048" s="35"/>
    </row>
    <row r="1049">
      <c r="A1049" s="32" t="s">
        <v>1828</v>
      </c>
      <c r="B1049" s="32" t="s">
        <v>109</v>
      </c>
      <c r="C1049" s="36" t="s">
        <v>33</v>
      </c>
      <c r="D1049" s="36" t="s">
        <v>41</v>
      </c>
      <c r="E1049" s="36" t="s">
        <v>33</v>
      </c>
      <c r="F1049" s="34" t="s">
        <v>33</v>
      </c>
      <c r="G1049" s="37" t="s">
        <v>990</v>
      </c>
      <c r="H1049" s="34" t="s">
        <v>33</v>
      </c>
      <c r="I1049" s="35"/>
      <c r="J1049" s="35"/>
    </row>
    <row r="1050">
      <c r="A1050" s="32" t="s">
        <v>1829</v>
      </c>
      <c r="B1050" s="32" t="s">
        <v>109</v>
      </c>
      <c r="C1050" s="36" t="s">
        <v>33</v>
      </c>
      <c r="D1050" s="36" t="s">
        <v>33</v>
      </c>
      <c r="E1050" s="36" t="s">
        <v>165</v>
      </c>
      <c r="F1050" s="34" t="s">
        <v>33</v>
      </c>
      <c r="G1050" s="34" t="s">
        <v>33</v>
      </c>
      <c r="H1050" s="37" t="s">
        <v>1312</v>
      </c>
      <c r="I1050" s="35"/>
      <c r="J1050" s="35"/>
    </row>
    <row r="1051">
      <c r="A1051" s="32" t="s">
        <v>1830</v>
      </c>
      <c r="B1051" s="32" t="s">
        <v>109</v>
      </c>
      <c r="C1051" s="36" t="s">
        <v>33</v>
      </c>
      <c r="D1051" s="36" t="s">
        <v>33</v>
      </c>
      <c r="E1051" s="36" t="s">
        <v>67</v>
      </c>
      <c r="F1051" s="34" t="s">
        <v>33</v>
      </c>
      <c r="G1051" s="34" t="s">
        <v>33</v>
      </c>
      <c r="H1051" s="37" t="s">
        <v>1305</v>
      </c>
      <c r="I1051" s="35"/>
      <c r="J1051" s="35"/>
    </row>
    <row r="1052">
      <c r="A1052" s="32" t="s">
        <v>1831</v>
      </c>
      <c r="B1052" s="32" t="s">
        <v>109</v>
      </c>
      <c r="C1052" s="36" t="s">
        <v>33</v>
      </c>
      <c r="D1052" s="36" t="s">
        <v>33</v>
      </c>
      <c r="E1052" s="36" t="s">
        <v>232</v>
      </c>
      <c r="F1052" s="34" t="s">
        <v>33</v>
      </c>
      <c r="G1052" s="34" t="s">
        <v>33</v>
      </c>
      <c r="H1052" s="37" t="s">
        <v>770</v>
      </c>
      <c r="I1052" s="35"/>
      <c r="J1052" s="35"/>
    </row>
    <row r="1053">
      <c r="A1053" s="32" t="s">
        <v>1832</v>
      </c>
      <c r="B1053" s="32" t="s">
        <v>109</v>
      </c>
      <c r="C1053" s="36" t="s">
        <v>33</v>
      </c>
      <c r="D1053" s="36" t="s">
        <v>33</v>
      </c>
      <c r="E1053" s="36" t="s">
        <v>545</v>
      </c>
      <c r="F1053" s="34" t="s">
        <v>33</v>
      </c>
      <c r="G1053" s="34" t="s">
        <v>33</v>
      </c>
      <c r="H1053" s="37" t="s">
        <v>1833</v>
      </c>
      <c r="I1053" s="35"/>
      <c r="J1053" s="35"/>
    </row>
    <row r="1054">
      <c r="A1054" s="32" t="s">
        <v>1834</v>
      </c>
      <c r="B1054" s="32" t="s">
        <v>109</v>
      </c>
      <c r="C1054" s="36" t="s">
        <v>33</v>
      </c>
      <c r="D1054" s="36" t="s">
        <v>442</v>
      </c>
      <c r="E1054" s="36" t="s">
        <v>33</v>
      </c>
      <c r="F1054" s="34" t="s">
        <v>33</v>
      </c>
      <c r="G1054" s="37" t="s">
        <v>1339</v>
      </c>
      <c r="H1054" s="34" t="s">
        <v>33</v>
      </c>
      <c r="I1054" s="35"/>
      <c r="J1054" s="35"/>
    </row>
    <row r="1055">
      <c r="A1055" s="32" t="s">
        <v>1835</v>
      </c>
      <c r="B1055" s="32" t="s">
        <v>109</v>
      </c>
      <c r="C1055" s="36" t="s">
        <v>33</v>
      </c>
      <c r="D1055" s="36" t="s">
        <v>146</v>
      </c>
      <c r="E1055" s="36" t="s">
        <v>33</v>
      </c>
      <c r="F1055" s="34" t="s">
        <v>33</v>
      </c>
      <c r="G1055" s="37" t="s">
        <v>1836</v>
      </c>
      <c r="H1055" s="34" t="s">
        <v>33</v>
      </c>
      <c r="I1055" s="35"/>
      <c r="J1055" s="35"/>
    </row>
    <row r="1056">
      <c r="A1056" s="32" t="s">
        <v>1837</v>
      </c>
      <c r="B1056" s="32" t="s">
        <v>109</v>
      </c>
      <c r="C1056" s="36" t="s">
        <v>33</v>
      </c>
      <c r="D1056" s="36" t="s">
        <v>870</v>
      </c>
      <c r="E1056" s="36" t="s">
        <v>33</v>
      </c>
      <c r="F1056" s="34" t="s">
        <v>33</v>
      </c>
      <c r="G1056" s="37" t="s">
        <v>1354</v>
      </c>
      <c r="H1056" s="34" t="s">
        <v>33</v>
      </c>
      <c r="I1056" s="35"/>
      <c r="J1056" s="35"/>
    </row>
    <row r="1057">
      <c r="A1057" s="32" t="s">
        <v>1838</v>
      </c>
      <c r="B1057" s="32" t="s">
        <v>109</v>
      </c>
      <c r="C1057" s="36" t="s">
        <v>33</v>
      </c>
      <c r="D1057" s="36" t="s">
        <v>1240</v>
      </c>
      <c r="E1057" s="36" t="s">
        <v>33</v>
      </c>
      <c r="F1057" s="34" t="s">
        <v>33</v>
      </c>
      <c r="G1057" s="37" t="s">
        <v>1839</v>
      </c>
      <c r="H1057" s="34" t="s">
        <v>33</v>
      </c>
      <c r="I1057" s="35"/>
      <c r="J1057" s="35"/>
    </row>
    <row r="1058">
      <c r="A1058" s="32" t="s">
        <v>1840</v>
      </c>
      <c r="B1058" s="32" t="s">
        <v>109</v>
      </c>
      <c r="C1058" s="36" t="s">
        <v>33</v>
      </c>
      <c r="D1058" s="36" t="s">
        <v>754</v>
      </c>
      <c r="E1058" s="36" t="s">
        <v>254</v>
      </c>
      <c r="F1058" s="34" t="s">
        <v>33</v>
      </c>
      <c r="G1058" s="37" t="s">
        <v>1069</v>
      </c>
      <c r="H1058" s="37" t="s">
        <v>1477</v>
      </c>
      <c r="I1058" s="35"/>
      <c r="J1058" s="35"/>
    </row>
    <row r="1059">
      <c r="A1059" s="32" t="s">
        <v>1841</v>
      </c>
      <c r="B1059" s="32" t="s">
        <v>109</v>
      </c>
      <c r="C1059" s="36" t="s">
        <v>33</v>
      </c>
      <c r="D1059" s="36" t="s">
        <v>645</v>
      </c>
      <c r="E1059" s="36" t="s">
        <v>33</v>
      </c>
      <c r="F1059" s="34" t="s">
        <v>33</v>
      </c>
      <c r="G1059" s="37" t="s">
        <v>818</v>
      </c>
      <c r="H1059" s="34" t="s">
        <v>33</v>
      </c>
      <c r="I1059" s="35"/>
      <c r="J1059" s="35"/>
    </row>
    <row r="1060">
      <c r="A1060" s="32" t="s">
        <v>1842</v>
      </c>
      <c r="B1060" s="32" t="s">
        <v>109</v>
      </c>
      <c r="C1060" s="36" t="s">
        <v>33</v>
      </c>
      <c r="D1060" s="36" t="s">
        <v>33</v>
      </c>
      <c r="E1060" s="36" t="s">
        <v>652</v>
      </c>
      <c r="F1060" s="34" t="s">
        <v>33</v>
      </c>
      <c r="G1060" s="34" t="s">
        <v>33</v>
      </c>
      <c r="H1060" s="37" t="s">
        <v>1600</v>
      </c>
      <c r="I1060" s="35"/>
      <c r="J1060" s="35"/>
    </row>
    <row r="1061">
      <c r="A1061" s="32" t="s">
        <v>1843</v>
      </c>
      <c r="B1061" s="32" t="s">
        <v>109</v>
      </c>
      <c r="C1061" s="36" t="s">
        <v>33</v>
      </c>
      <c r="D1061" s="36" t="s">
        <v>213</v>
      </c>
      <c r="E1061" s="36" t="s">
        <v>33</v>
      </c>
      <c r="F1061" s="34" t="s">
        <v>33</v>
      </c>
      <c r="G1061" s="37" t="s">
        <v>1844</v>
      </c>
      <c r="H1061" s="34" t="s">
        <v>33</v>
      </c>
      <c r="I1061" s="35"/>
      <c r="J1061" s="35"/>
    </row>
    <row r="1062">
      <c r="A1062" s="32" t="s">
        <v>1845</v>
      </c>
      <c r="B1062" s="32" t="s">
        <v>109</v>
      </c>
      <c r="C1062" s="36" t="s">
        <v>33</v>
      </c>
      <c r="D1062" s="36" t="s">
        <v>188</v>
      </c>
      <c r="E1062" s="36" t="s">
        <v>33</v>
      </c>
      <c r="F1062" s="34" t="s">
        <v>33</v>
      </c>
      <c r="G1062" s="37" t="s">
        <v>1846</v>
      </c>
      <c r="H1062" s="34" t="s">
        <v>33</v>
      </c>
      <c r="I1062" s="35"/>
      <c r="J1062" s="35"/>
    </row>
    <row r="1063">
      <c r="A1063" s="32" t="s">
        <v>1847</v>
      </c>
      <c r="B1063" s="32" t="s">
        <v>109</v>
      </c>
      <c r="C1063" s="36" t="s">
        <v>33</v>
      </c>
      <c r="D1063" s="36" t="s">
        <v>1240</v>
      </c>
      <c r="E1063" s="36" t="s">
        <v>95</v>
      </c>
      <c r="F1063" s="34" t="s">
        <v>33</v>
      </c>
      <c r="G1063" s="37" t="s">
        <v>1848</v>
      </c>
      <c r="H1063" s="37" t="s">
        <v>1189</v>
      </c>
      <c r="I1063" s="35"/>
      <c r="J1063" s="35"/>
    </row>
    <row r="1064">
      <c r="A1064" s="32" t="s">
        <v>1849</v>
      </c>
      <c r="B1064" s="32" t="s">
        <v>109</v>
      </c>
      <c r="C1064" s="36" t="s">
        <v>33</v>
      </c>
      <c r="D1064" s="36" t="s">
        <v>33</v>
      </c>
      <c r="E1064" s="36" t="s">
        <v>91</v>
      </c>
      <c r="F1064" s="34" t="s">
        <v>33</v>
      </c>
      <c r="G1064" s="34" t="s">
        <v>33</v>
      </c>
      <c r="H1064" s="37" t="s">
        <v>1189</v>
      </c>
      <c r="I1064" s="35"/>
      <c r="J1064" s="35"/>
    </row>
    <row r="1065">
      <c r="A1065" s="32" t="s">
        <v>1850</v>
      </c>
      <c r="B1065" s="32" t="s">
        <v>109</v>
      </c>
      <c r="C1065" s="36" t="s">
        <v>33</v>
      </c>
      <c r="D1065" s="36" t="s">
        <v>33</v>
      </c>
      <c r="E1065" s="36" t="s">
        <v>255</v>
      </c>
      <c r="F1065" s="34" t="s">
        <v>33</v>
      </c>
      <c r="G1065" s="34" t="s">
        <v>33</v>
      </c>
      <c r="H1065" s="37" t="s">
        <v>1189</v>
      </c>
      <c r="I1065" s="35"/>
      <c r="J1065" s="35"/>
    </row>
    <row r="1066">
      <c r="A1066" s="32" t="s">
        <v>1851</v>
      </c>
      <c r="B1066" s="32" t="s">
        <v>109</v>
      </c>
      <c r="C1066" s="36" t="s">
        <v>33</v>
      </c>
      <c r="D1066" s="36" t="s">
        <v>33</v>
      </c>
      <c r="E1066" s="36" t="s">
        <v>74</v>
      </c>
      <c r="F1066" s="34" t="s">
        <v>33</v>
      </c>
      <c r="G1066" s="34" t="s">
        <v>33</v>
      </c>
      <c r="H1066" s="37" t="s">
        <v>1301</v>
      </c>
      <c r="I1066" s="35"/>
      <c r="J1066" s="35"/>
    </row>
    <row r="1067">
      <c r="A1067" s="32" t="s">
        <v>1852</v>
      </c>
      <c r="B1067" s="32" t="s">
        <v>109</v>
      </c>
      <c r="C1067" s="36" t="s">
        <v>33</v>
      </c>
      <c r="D1067" s="36" t="s">
        <v>33</v>
      </c>
      <c r="E1067" s="36" t="s">
        <v>58</v>
      </c>
      <c r="F1067" s="34" t="s">
        <v>33</v>
      </c>
      <c r="G1067" s="34" t="s">
        <v>33</v>
      </c>
      <c r="H1067" s="37" t="s">
        <v>1432</v>
      </c>
      <c r="I1067" s="35"/>
      <c r="J1067" s="35"/>
    </row>
    <row r="1068">
      <c r="A1068" s="32" t="s">
        <v>1853</v>
      </c>
      <c r="B1068" s="32" t="s">
        <v>109</v>
      </c>
      <c r="C1068" s="36" t="s">
        <v>33</v>
      </c>
      <c r="D1068" s="36" t="s">
        <v>66</v>
      </c>
      <c r="E1068" s="36" t="s">
        <v>152</v>
      </c>
      <c r="F1068" s="34" t="s">
        <v>33</v>
      </c>
      <c r="G1068" s="37" t="s">
        <v>585</v>
      </c>
      <c r="H1068" s="37" t="s">
        <v>1358</v>
      </c>
      <c r="I1068" s="35"/>
      <c r="J1068" s="35"/>
    </row>
    <row r="1069">
      <c r="A1069" s="32" t="s">
        <v>1854</v>
      </c>
      <c r="B1069" s="32" t="s">
        <v>109</v>
      </c>
      <c r="C1069" s="36" t="s">
        <v>33</v>
      </c>
      <c r="D1069" s="36" t="s">
        <v>33</v>
      </c>
      <c r="E1069" s="36" t="s">
        <v>399</v>
      </c>
      <c r="F1069" s="34" t="s">
        <v>33</v>
      </c>
      <c r="G1069" s="34" t="s">
        <v>33</v>
      </c>
      <c r="H1069" s="37" t="s">
        <v>1855</v>
      </c>
      <c r="I1069" s="35"/>
      <c r="J1069" s="35"/>
    </row>
    <row r="1070">
      <c r="A1070" s="32" t="s">
        <v>1856</v>
      </c>
      <c r="B1070" s="32" t="s">
        <v>109</v>
      </c>
      <c r="C1070" s="36" t="s">
        <v>33</v>
      </c>
      <c r="D1070" s="36" t="s">
        <v>1240</v>
      </c>
      <c r="E1070" s="36" t="s">
        <v>33</v>
      </c>
      <c r="F1070" s="34" t="s">
        <v>33</v>
      </c>
      <c r="G1070" s="37" t="s">
        <v>1390</v>
      </c>
      <c r="H1070" s="34" t="s">
        <v>33</v>
      </c>
      <c r="I1070" s="35"/>
      <c r="J1070" s="35"/>
    </row>
    <row r="1071">
      <c r="A1071" s="32" t="s">
        <v>1857</v>
      </c>
      <c r="B1071" s="32" t="s">
        <v>109</v>
      </c>
      <c r="C1071" s="36" t="s">
        <v>33</v>
      </c>
      <c r="D1071" s="36" t="s">
        <v>33</v>
      </c>
      <c r="E1071" s="36" t="s">
        <v>302</v>
      </c>
      <c r="F1071" s="34" t="s">
        <v>33</v>
      </c>
      <c r="G1071" s="34" t="s">
        <v>33</v>
      </c>
      <c r="H1071" s="37" t="s">
        <v>1858</v>
      </c>
      <c r="I1071" s="35"/>
      <c r="J1071" s="35"/>
    </row>
    <row r="1072">
      <c r="A1072" s="32" t="s">
        <v>1859</v>
      </c>
      <c r="B1072" s="32" t="s">
        <v>62</v>
      </c>
      <c r="C1072" s="36" t="s">
        <v>33</v>
      </c>
      <c r="D1072" s="36" t="s">
        <v>33</v>
      </c>
      <c r="E1072" s="36" t="s">
        <v>902</v>
      </c>
      <c r="F1072" s="34" t="s">
        <v>33</v>
      </c>
      <c r="G1072" s="34" t="s">
        <v>33</v>
      </c>
      <c r="H1072" s="37" t="s">
        <v>1860</v>
      </c>
      <c r="I1072" s="35"/>
      <c r="J1072" s="35"/>
    </row>
    <row r="1073">
      <c r="A1073" s="32" t="s">
        <v>1861</v>
      </c>
      <c r="B1073" s="32" t="s">
        <v>62</v>
      </c>
      <c r="C1073" s="36" t="s">
        <v>33</v>
      </c>
      <c r="D1073" s="36" t="s">
        <v>389</v>
      </c>
      <c r="E1073" s="36" t="s">
        <v>288</v>
      </c>
      <c r="F1073" s="34" t="s">
        <v>33</v>
      </c>
      <c r="G1073" s="37" t="s">
        <v>347</v>
      </c>
      <c r="H1073" s="37" t="s">
        <v>1862</v>
      </c>
      <c r="I1073" s="35"/>
      <c r="J1073" s="35"/>
    </row>
    <row r="1074">
      <c r="A1074" s="32" t="s">
        <v>1863</v>
      </c>
      <c r="B1074" s="32" t="s">
        <v>62</v>
      </c>
      <c r="C1074" s="36" t="s">
        <v>33</v>
      </c>
      <c r="D1074" s="36" t="s">
        <v>33</v>
      </c>
      <c r="E1074" s="36" t="s">
        <v>226</v>
      </c>
      <c r="F1074" s="34" t="s">
        <v>33</v>
      </c>
      <c r="G1074" s="34" t="s">
        <v>33</v>
      </c>
      <c r="H1074" s="37" t="s">
        <v>1312</v>
      </c>
      <c r="I1074" s="35"/>
      <c r="J1074" s="35"/>
    </row>
    <row r="1075">
      <c r="A1075" s="32" t="s">
        <v>1864</v>
      </c>
      <c r="B1075" s="32" t="s">
        <v>62</v>
      </c>
      <c r="C1075" s="36" t="s">
        <v>33</v>
      </c>
      <c r="D1075" s="36" t="s">
        <v>33</v>
      </c>
      <c r="E1075" s="36" t="s">
        <v>46</v>
      </c>
      <c r="F1075" s="34" t="s">
        <v>33</v>
      </c>
      <c r="G1075" s="34" t="s">
        <v>33</v>
      </c>
      <c r="H1075" s="37" t="s">
        <v>1865</v>
      </c>
      <c r="I1075" s="35"/>
      <c r="J1075" s="35"/>
    </row>
    <row r="1076">
      <c r="A1076" s="32" t="s">
        <v>1866</v>
      </c>
      <c r="B1076" s="32" t="s">
        <v>62</v>
      </c>
      <c r="C1076" s="36" t="s">
        <v>33</v>
      </c>
      <c r="D1076" s="36" t="s">
        <v>33</v>
      </c>
      <c r="E1076" s="36" t="s">
        <v>101</v>
      </c>
      <c r="F1076" s="34" t="s">
        <v>33</v>
      </c>
      <c r="G1076" s="34" t="s">
        <v>33</v>
      </c>
      <c r="H1076" s="37" t="s">
        <v>303</v>
      </c>
      <c r="I1076" s="35"/>
      <c r="J1076" s="35"/>
    </row>
    <row r="1077">
      <c r="A1077" s="32" t="s">
        <v>1867</v>
      </c>
      <c r="B1077" s="32" t="s">
        <v>62</v>
      </c>
      <c r="C1077" s="36" t="s">
        <v>33</v>
      </c>
      <c r="D1077" s="36" t="s">
        <v>33</v>
      </c>
      <c r="E1077" s="36" t="s">
        <v>199</v>
      </c>
      <c r="F1077" s="34" t="s">
        <v>33</v>
      </c>
      <c r="G1077" s="34" t="s">
        <v>33</v>
      </c>
      <c r="H1077" s="37" t="s">
        <v>1868</v>
      </c>
      <c r="I1077" s="35"/>
      <c r="J1077" s="35"/>
    </row>
    <row r="1078">
      <c r="A1078" s="32" t="s">
        <v>1869</v>
      </c>
      <c r="B1078" s="32" t="s">
        <v>62</v>
      </c>
      <c r="C1078" s="36" t="s">
        <v>33</v>
      </c>
      <c r="D1078" s="36" t="s">
        <v>157</v>
      </c>
      <c r="E1078" s="36" t="s">
        <v>114</v>
      </c>
      <c r="F1078" s="34" t="s">
        <v>33</v>
      </c>
      <c r="G1078" s="37" t="s">
        <v>818</v>
      </c>
      <c r="H1078" s="37" t="s">
        <v>819</v>
      </c>
      <c r="I1078" s="35"/>
      <c r="J1078" s="35"/>
    </row>
    <row r="1079">
      <c r="A1079" s="32" t="s">
        <v>1870</v>
      </c>
      <c r="B1079" s="32" t="s">
        <v>62</v>
      </c>
      <c r="C1079" s="36" t="s">
        <v>33</v>
      </c>
      <c r="D1079" s="36" t="s">
        <v>33</v>
      </c>
      <c r="E1079" s="36" t="s">
        <v>34</v>
      </c>
      <c r="F1079" s="34" t="s">
        <v>33</v>
      </c>
      <c r="G1079" s="34" t="s">
        <v>33</v>
      </c>
      <c r="H1079" s="37" t="s">
        <v>1483</v>
      </c>
      <c r="I1079" s="35"/>
      <c r="J1079" s="35"/>
    </row>
    <row r="1080">
      <c r="A1080" s="32" t="s">
        <v>1871</v>
      </c>
      <c r="B1080" s="32" t="s">
        <v>62</v>
      </c>
      <c r="C1080" s="36" t="s">
        <v>33</v>
      </c>
      <c r="D1080" s="36" t="s">
        <v>26</v>
      </c>
      <c r="E1080" s="36" t="s">
        <v>105</v>
      </c>
      <c r="F1080" s="34" t="s">
        <v>33</v>
      </c>
      <c r="G1080" s="37" t="s">
        <v>1051</v>
      </c>
      <c r="H1080" s="37" t="s">
        <v>560</v>
      </c>
      <c r="I1080" s="35"/>
      <c r="J1080" s="35"/>
    </row>
    <row r="1081">
      <c r="A1081" s="32" t="s">
        <v>1872</v>
      </c>
      <c r="B1081" s="32" t="s">
        <v>62</v>
      </c>
      <c r="C1081" s="36" t="s">
        <v>33</v>
      </c>
      <c r="D1081" s="36" t="s">
        <v>187</v>
      </c>
      <c r="E1081" s="36" t="s">
        <v>33</v>
      </c>
      <c r="F1081" s="34" t="s">
        <v>33</v>
      </c>
      <c r="G1081" s="37" t="s">
        <v>1873</v>
      </c>
      <c r="H1081" s="34" t="s">
        <v>33</v>
      </c>
      <c r="I1081" s="35"/>
      <c r="J1081" s="35"/>
    </row>
    <row r="1082">
      <c r="A1082" s="32" t="s">
        <v>1874</v>
      </c>
      <c r="B1082" s="32" t="s">
        <v>62</v>
      </c>
      <c r="C1082" s="36" t="s">
        <v>33</v>
      </c>
      <c r="D1082" s="36" t="s">
        <v>187</v>
      </c>
      <c r="E1082" s="36" t="s">
        <v>33</v>
      </c>
      <c r="F1082" s="34" t="s">
        <v>33</v>
      </c>
      <c r="G1082" s="37" t="s">
        <v>1211</v>
      </c>
      <c r="H1082" s="34" t="s">
        <v>33</v>
      </c>
      <c r="I1082" s="35"/>
      <c r="J1082" s="35"/>
    </row>
    <row r="1083">
      <c r="A1083" s="32" t="s">
        <v>1875</v>
      </c>
      <c r="B1083" s="32" t="s">
        <v>62</v>
      </c>
      <c r="C1083" s="36" t="s">
        <v>33</v>
      </c>
      <c r="D1083" s="36" t="s">
        <v>107</v>
      </c>
      <c r="E1083" s="36" t="s">
        <v>33</v>
      </c>
      <c r="F1083" s="34" t="s">
        <v>33</v>
      </c>
      <c r="G1083" s="37" t="s">
        <v>1270</v>
      </c>
      <c r="H1083" s="34" t="s">
        <v>33</v>
      </c>
      <c r="I1083" s="35"/>
      <c r="J1083" s="35"/>
    </row>
    <row r="1084">
      <c r="A1084" s="32" t="s">
        <v>1876</v>
      </c>
      <c r="B1084" s="32" t="s">
        <v>62</v>
      </c>
      <c r="C1084" s="36" t="s">
        <v>33</v>
      </c>
      <c r="D1084" s="36" t="s">
        <v>33</v>
      </c>
      <c r="E1084" s="36" t="s">
        <v>53</v>
      </c>
      <c r="F1084" s="34" t="s">
        <v>33</v>
      </c>
      <c r="G1084" s="34" t="s">
        <v>33</v>
      </c>
      <c r="H1084" s="37" t="s">
        <v>1877</v>
      </c>
      <c r="I1084" s="35"/>
      <c r="J1084" s="35"/>
    </row>
    <row r="1085">
      <c r="A1085" s="32" t="s">
        <v>1878</v>
      </c>
      <c r="B1085" s="32" t="s">
        <v>62</v>
      </c>
      <c r="C1085" s="36" t="s">
        <v>33</v>
      </c>
      <c r="D1085" s="36" t="s">
        <v>33</v>
      </c>
      <c r="E1085" s="36" t="s">
        <v>902</v>
      </c>
      <c r="F1085" s="34" t="s">
        <v>33</v>
      </c>
      <c r="G1085" s="34" t="s">
        <v>33</v>
      </c>
      <c r="H1085" s="37" t="s">
        <v>1384</v>
      </c>
      <c r="I1085" s="35"/>
      <c r="J1085" s="35"/>
    </row>
    <row r="1086">
      <c r="A1086" s="32" t="s">
        <v>1879</v>
      </c>
      <c r="B1086" s="32" t="s">
        <v>62</v>
      </c>
      <c r="C1086" s="36" t="s">
        <v>33</v>
      </c>
      <c r="D1086" s="36" t="s">
        <v>33</v>
      </c>
      <c r="E1086" s="36" t="s">
        <v>46</v>
      </c>
      <c r="F1086" s="34" t="s">
        <v>33</v>
      </c>
      <c r="G1086" s="34" t="s">
        <v>33</v>
      </c>
      <c r="H1086" s="37" t="s">
        <v>1301</v>
      </c>
      <c r="I1086" s="35"/>
      <c r="J1086" s="35"/>
    </row>
    <row r="1087">
      <c r="A1087" s="32" t="s">
        <v>1880</v>
      </c>
      <c r="B1087" s="32" t="s">
        <v>62</v>
      </c>
      <c r="C1087" s="36" t="s">
        <v>33</v>
      </c>
      <c r="D1087" s="36" t="s">
        <v>528</v>
      </c>
      <c r="E1087" s="36" t="s">
        <v>223</v>
      </c>
      <c r="F1087" s="34" t="s">
        <v>33</v>
      </c>
      <c r="G1087" s="37" t="s">
        <v>1020</v>
      </c>
      <c r="H1087" s="37" t="s">
        <v>1881</v>
      </c>
      <c r="I1087" s="35"/>
      <c r="J1087" s="35"/>
    </row>
    <row r="1088">
      <c r="A1088" s="32" t="s">
        <v>1882</v>
      </c>
      <c r="B1088" s="32" t="s">
        <v>62</v>
      </c>
      <c r="C1088" s="36" t="s">
        <v>33</v>
      </c>
      <c r="D1088" s="36" t="s">
        <v>187</v>
      </c>
      <c r="E1088" s="36" t="s">
        <v>33</v>
      </c>
      <c r="F1088" s="34" t="s">
        <v>33</v>
      </c>
      <c r="G1088" s="37" t="s">
        <v>1883</v>
      </c>
      <c r="H1088" s="34" t="s">
        <v>33</v>
      </c>
      <c r="I1088" s="35"/>
      <c r="J1088" s="35"/>
    </row>
    <row r="1089">
      <c r="A1089" s="32" t="s">
        <v>1884</v>
      </c>
      <c r="B1089" s="32" t="s">
        <v>62</v>
      </c>
      <c r="C1089" s="36" t="s">
        <v>33</v>
      </c>
      <c r="D1089" s="36" t="s">
        <v>515</v>
      </c>
      <c r="E1089" s="36" t="s">
        <v>173</v>
      </c>
      <c r="F1089" s="34" t="s">
        <v>33</v>
      </c>
      <c r="G1089" s="37" t="s">
        <v>347</v>
      </c>
      <c r="H1089" s="37" t="s">
        <v>1885</v>
      </c>
      <c r="I1089" s="35"/>
      <c r="J1089" s="35"/>
    </row>
    <row r="1090">
      <c r="A1090" s="32" t="s">
        <v>1886</v>
      </c>
      <c r="B1090" s="32" t="s">
        <v>62</v>
      </c>
      <c r="C1090" s="36" t="s">
        <v>33</v>
      </c>
      <c r="D1090" s="36" t="s">
        <v>26</v>
      </c>
      <c r="E1090" s="36" t="s">
        <v>66</v>
      </c>
      <c r="F1090" s="34" t="s">
        <v>33</v>
      </c>
      <c r="G1090" s="37" t="s">
        <v>454</v>
      </c>
      <c r="H1090" s="37" t="s">
        <v>455</v>
      </c>
      <c r="I1090" s="35"/>
      <c r="J1090" s="35"/>
    </row>
    <row r="1091">
      <c r="A1091" s="32" t="s">
        <v>1887</v>
      </c>
      <c r="B1091" s="32" t="s">
        <v>62</v>
      </c>
      <c r="C1091" s="36" t="s">
        <v>33</v>
      </c>
      <c r="D1091" s="36" t="s">
        <v>371</v>
      </c>
      <c r="E1091" s="36" t="s">
        <v>33</v>
      </c>
      <c r="F1091" s="34" t="s">
        <v>33</v>
      </c>
      <c r="G1091" s="37" t="s">
        <v>1888</v>
      </c>
      <c r="H1091" s="34" t="s">
        <v>33</v>
      </c>
      <c r="I1091" s="35"/>
      <c r="J1091" s="35"/>
    </row>
    <row r="1092">
      <c r="A1092" s="32" t="s">
        <v>1889</v>
      </c>
      <c r="B1092" s="32" t="s">
        <v>62</v>
      </c>
      <c r="C1092" s="36" t="s">
        <v>33</v>
      </c>
      <c r="D1092" s="36" t="s">
        <v>87</v>
      </c>
      <c r="E1092" s="36" t="s">
        <v>187</v>
      </c>
      <c r="F1092" s="34" t="s">
        <v>33</v>
      </c>
      <c r="G1092" s="37" t="s">
        <v>818</v>
      </c>
      <c r="H1092" s="37" t="s">
        <v>819</v>
      </c>
      <c r="I1092" s="35"/>
      <c r="J1092" s="35"/>
    </row>
    <row r="1093">
      <c r="A1093" s="32" t="s">
        <v>1890</v>
      </c>
      <c r="B1093" s="32" t="s">
        <v>62</v>
      </c>
      <c r="C1093" s="36" t="s">
        <v>33</v>
      </c>
      <c r="D1093" s="36" t="s">
        <v>27</v>
      </c>
      <c r="E1093" s="36" t="s">
        <v>33</v>
      </c>
      <c r="F1093" s="34" t="s">
        <v>33</v>
      </c>
      <c r="G1093" s="37" t="s">
        <v>990</v>
      </c>
      <c r="H1093" s="34" t="s">
        <v>33</v>
      </c>
      <c r="I1093" s="35"/>
      <c r="J1093" s="35"/>
    </row>
    <row r="1094">
      <c r="A1094" s="32" t="s">
        <v>1891</v>
      </c>
      <c r="B1094" s="32" t="s">
        <v>62</v>
      </c>
      <c r="C1094" s="36" t="s">
        <v>33</v>
      </c>
      <c r="D1094" s="36" t="s">
        <v>81</v>
      </c>
      <c r="E1094" s="36" t="s">
        <v>33</v>
      </c>
      <c r="F1094" s="34" t="s">
        <v>33</v>
      </c>
      <c r="G1094" s="37" t="s">
        <v>521</v>
      </c>
      <c r="H1094" s="34" t="s">
        <v>33</v>
      </c>
      <c r="I1094" s="35"/>
      <c r="J1094" s="35"/>
    </row>
    <row r="1095">
      <c r="A1095" s="32" t="s">
        <v>1892</v>
      </c>
      <c r="B1095" s="32" t="s">
        <v>62</v>
      </c>
      <c r="C1095" s="36" t="s">
        <v>33</v>
      </c>
      <c r="D1095" s="36" t="s">
        <v>188</v>
      </c>
      <c r="E1095" s="36" t="s">
        <v>157</v>
      </c>
      <c r="F1095" s="34" t="s">
        <v>33</v>
      </c>
      <c r="G1095" s="37" t="s">
        <v>700</v>
      </c>
      <c r="H1095" s="37" t="s">
        <v>303</v>
      </c>
      <c r="I1095" s="35"/>
      <c r="J1095" s="35"/>
    </row>
    <row r="1096">
      <c r="A1096" s="32" t="s">
        <v>1893</v>
      </c>
      <c r="B1096" s="32" t="s">
        <v>62</v>
      </c>
      <c r="C1096" s="36" t="s">
        <v>33</v>
      </c>
      <c r="D1096" s="36" t="s">
        <v>399</v>
      </c>
      <c r="E1096" s="36" t="s">
        <v>33</v>
      </c>
      <c r="F1096" s="34" t="s">
        <v>33</v>
      </c>
      <c r="G1096" s="37" t="s">
        <v>135</v>
      </c>
      <c r="H1096" s="34" t="s">
        <v>33</v>
      </c>
      <c r="I1096" s="35"/>
      <c r="J1096" s="35"/>
    </row>
    <row r="1097">
      <c r="A1097" s="32" t="s">
        <v>1894</v>
      </c>
      <c r="B1097" s="32" t="s">
        <v>62</v>
      </c>
      <c r="C1097" s="36" t="s">
        <v>33</v>
      </c>
      <c r="D1097" s="36" t="s">
        <v>34</v>
      </c>
      <c r="E1097" s="36" t="s">
        <v>91</v>
      </c>
      <c r="F1097" s="34" t="s">
        <v>33</v>
      </c>
      <c r="G1097" s="37" t="s">
        <v>1110</v>
      </c>
      <c r="H1097" s="37" t="s">
        <v>1895</v>
      </c>
      <c r="I1097" s="35"/>
      <c r="J1097" s="35"/>
    </row>
    <row r="1098">
      <c r="A1098" s="32" t="s">
        <v>1896</v>
      </c>
      <c r="B1098" s="32" t="s">
        <v>62</v>
      </c>
      <c r="C1098" s="36" t="s">
        <v>33</v>
      </c>
      <c r="D1098" s="36" t="s">
        <v>389</v>
      </c>
      <c r="E1098" s="36" t="s">
        <v>33</v>
      </c>
      <c r="F1098" s="34" t="s">
        <v>33</v>
      </c>
      <c r="G1098" s="37" t="s">
        <v>1883</v>
      </c>
      <c r="H1098" s="34" t="s">
        <v>33</v>
      </c>
      <c r="I1098" s="35"/>
      <c r="J1098" s="35"/>
    </row>
    <row r="1099">
      <c r="A1099" s="32" t="s">
        <v>1897</v>
      </c>
      <c r="B1099" s="32" t="s">
        <v>62</v>
      </c>
      <c r="C1099" s="36" t="s">
        <v>33</v>
      </c>
      <c r="D1099" s="36" t="s">
        <v>33</v>
      </c>
      <c r="E1099" s="36" t="s">
        <v>450</v>
      </c>
      <c r="F1099" s="34" t="s">
        <v>33</v>
      </c>
      <c r="G1099" s="34" t="s">
        <v>33</v>
      </c>
      <c r="H1099" s="37" t="s">
        <v>1898</v>
      </c>
      <c r="I1099" s="35"/>
      <c r="J1099" s="35"/>
    </row>
    <row r="1100">
      <c r="A1100" s="32" t="s">
        <v>1899</v>
      </c>
      <c r="B1100" s="32" t="s">
        <v>62</v>
      </c>
      <c r="C1100" s="36" t="s">
        <v>33</v>
      </c>
      <c r="D1100" s="36" t="s">
        <v>152</v>
      </c>
      <c r="E1100" s="36" t="s">
        <v>33</v>
      </c>
      <c r="F1100" s="34" t="s">
        <v>33</v>
      </c>
      <c r="G1100" s="37" t="s">
        <v>256</v>
      </c>
      <c r="H1100" s="34" t="s">
        <v>33</v>
      </c>
      <c r="I1100" s="35"/>
      <c r="J1100" s="35"/>
    </row>
    <row r="1101">
      <c r="A1101" s="32" t="s">
        <v>1900</v>
      </c>
      <c r="B1101" s="32" t="s">
        <v>62</v>
      </c>
      <c r="C1101" s="36" t="s">
        <v>33</v>
      </c>
      <c r="D1101" s="36" t="s">
        <v>67</v>
      </c>
      <c r="E1101" s="36" t="s">
        <v>245</v>
      </c>
      <c r="F1101" s="34" t="s">
        <v>33</v>
      </c>
      <c r="G1101" s="37" t="s">
        <v>915</v>
      </c>
      <c r="H1101" s="37" t="s">
        <v>969</v>
      </c>
      <c r="I1101" s="35"/>
      <c r="J1101" s="35"/>
    </row>
    <row r="1102">
      <c r="A1102" s="32" t="s">
        <v>1901</v>
      </c>
      <c r="B1102" s="32" t="s">
        <v>62</v>
      </c>
      <c r="C1102" s="36" t="s">
        <v>33</v>
      </c>
      <c r="D1102" s="36" t="s">
        <v>91</v>
      </c>
      <c r="E1102" s="36" t="s">
        <v>157</v>
      </c>
      <c r="F1102" s="34" t="s">
        <v>33</v>
      </c>
      <c r="G1102" s="37" t="s">
        <v>968</v>
      </c>
      <c r="H1102" s="37" t="s">
        <v>1902</v>
      </c>
      <c r="I1102" s="35"/>
      <c r="J1102" s="35"/>
    </row>
    <row r="1103">
      <c r="A1103" s="32" t="s">
        <v>1903</v>
      </c>
      <c r="B1103" s="32" t="s">
        <v>62</v>
      </c>
      <c r="C1103" s="36" t="s">
        <v>33</v>
      </c>
      <c r="D1103" s="36" t="s">
        <v>33</v>
      </c>
      <c r="E1103" s="36" t="s">
        <v>201</v>
      </c>
      <c r="F1103" s="34" t="s">
        <v>33</v>
      </c>
      <c r="G1103" s="34" t="s">
        <v>33</v>
      </c>
      <c r="H1103" s="37" t="s">
        <v>1902</v>
      </c>
      <c r="I1103" s="35"/>
      <c r="J1103" s="35"/>
    </row>
    <row r="1104">
      <c r="A1104" s="32" t="s">
        <v>1904</v>
      </c>
      <c r="B1104" s="32" t="s">
        <v>62</v>
      </c>
      <c r="C1104" s="36" t="s">
        <v>33</v>
      </c>
      <c r="D1104" s="36" t="s">
        <v>122</v>
      </c>
      <c r="E1104" s="36" t="s">
        <v>33</v>
      </c>
      <c r="F1104" s="34" t="s">
        <v>33</v>
      </c>
      <c r="G1104" s="37" t="s">
        <v>281</v>
      </c>
      <c r="H1104" s="34" t="s">
        <v>33</v>
      </c>
      <c r="I1104" s="35"/>
      <c r="J1104" s="35"/>
    </row>
    <row r="1105">
      <c r="A1105" s="32" t="s">
        <v>1905</v>
      </c>
      <c r="B1105" s="32" t="s">
        <v>62</v>
      </c>
      <c r="C1105" s="36" t="s">
        <v>33</v>
      </c>
      <c r="D1105" s="36" t="s">
        <v>591</v>
      </c>
      <c r="E1105" s="36" t="s">
        <v>33</v>
      </c>
      <c r="F1105" s="34" t="s">
        <v>33</v>
      </c>
      <c r="G1105" s="37" t="s">
        <v>1906</v>
      </c>
      <c r="H1105" s="34" t="s">
        <v>33</v>
      </c>
      <c r="I1105" s="35"/>
      <c r="J1105" s="35"/>
    </row>
    <row r="1106">
      <c r="A1106" s="32" t="s">
        <v>1907</v>
      </c>
      <c r="B1106" s="32" t="s">
        <v>62</v>
      </c>
      <c r="C1106" s="36" t="s">
        <v>33</v>
      </c>
      <c r="D1106" s="36" t="s">
        <v>240</v>
      </c>
      <c r="E1106" s="36" t="s">
        <v>854</v>
      </c>
      <c r="F1106" s="34" t="s">
        <v>33</v>
      </c>
      <c r="G1106" s="37" t="s">
        <v>1366</v>
      </c>
      <c r="H1106" s="37" t="s">
        <v>1480</v>
      </c>
      <c r="I1106" s="35"/>
      <c r="J1106" s="35"/>
    </row>
    <row r="1107">
      <c r="A1107" s="32" t="s">
        <v>1908</v>
      </c>
      <c r="B1107" s="32" t="s">
        <v>62</v>
      </c>
      <c r="C1107" s="36" t="s">
        <v>33</v>
      </c>
      <c r="D1107" s="36" t="s">
        <v>33</v>
      </c>
      <c r="E1107" s="36" t="s">
        <v>58</v>
      </c>
      <c r="F1107" s="34" t="s">
        <v>33</v>
      </c>
      <c r="G1107" s="34" t="s">
        <v>33</v>
      </c>
      <c r="H1107" s="37" t="s">
        <v>1393</v>
      </c>
      <c r="I1107" s="35"/>
      <c r="J1107" s="35"/>
    </row>
    <row r="1108">
      <c r="A1108" s="32" t="s">
        <v>1909</v>
      </c>
      <c r="B1108" s="32" t="s">
        <v>62</v>
      </c>
      <c r="C1108" s="36" t="s">
        <v>33</v>
      </c>
      <c r="D1108" s="36" t="s">
        <v>131</v>
      </c>
      <c r="E1108" s="36" t="s">
        <v>854</v>
      </c>
      <c r="F1108" s="34" t="s">
        <v>33</v>
      </c>
      <c r="G1108" s="37" t="s">
        <v>1223</v>
      </c>
      <c r="H1108" s="37" t="s">
        <v>1414</v>
      </c>
      <c r="I1108" s="35"/>
      <c r="J1108" s="35"/>
    </row>
    <row r="1109">
      <c r="A1109" s="32" t="s">
        <v>1910</v>
      </c>
      <c r="B1109" s="32" t="s">
        <v>62</v>
      </c>
      <c r="C1109" s="36" t="s">
        <v>33</v>
      </c>
      <c r="D1109" s="36" t="s">
        <v>33</v>
      </c>
      <c r="E1109" s="36" t="s">
        <v>902</v>
      </c>
      <c r="F1109" s="34" t="s">
        <v>33</v>
      </c>
      <c r="G1109" s="34" t="s">
        <v>33</v>
      </c>
      <c r="H1109" s="37" t="s">
        <v>1418</v>
      </c>
      <c r="I1109" s="35"/>
      <c r="J1109" s="35"/>
    </row>
    <row r="1110">
      <c r="A1110" s="32" t="s">
        <v>1911</v>
      </c>
      <c r="B1110" s="32" t="s">
        <v>62</v>
      </c>
      <c r="C1110" s="36" t="s">
        <v>33</v>
      </c>
      <c r="D1110" s="36" t="s">
        <v>33</v>
      </c>
      <c r="E1110" s="36" t="s">
        <v>137</v>
      </c>
      <c r="F1110" s="34" t="s">
        <v>33</v>
      </c>
      <c r="G1110" s="34" t="s">
        <v>33</v>
      </c>
      <c r="H1110" s="37" t="s">
        <v>1376</v>
      </c>
      <c r="I1110" s="35"/>
      <c r="J1110" s="35"/>
    </row>
    <row r="1111">
      <c r="A1111" s="32" t="s">
        <v>1912</v>
      </c>
      <c r="B1111" s="32" t="s">
        <v>62</v>
      </c>
      <c r="C1111" s="36" t="s">
        <v>33</v>
      </c>
      <c r="D1111" s="36" t="s">
        <v>33</v>
      </c>
      <c r="E1111" s="36" t="s">
        <v>680</v>
      </c>
      <c r="F1111" s="34" t="s">
        <v>33</v>
      </c>
      <c r="G1111" s="34" t="s">
        <v>33</v>
      </c>
      <c r="H1111" s="37" t="s">
        <v>1523</v>
      </c>
      <c r="I1111" s="35"/>
      <c r="J1111" s="35"/>
    </row>
    <row r="1112">
      <c r="A1112" s="32" t="s">
        <v>1913</v>
      </c>
      <c r="B1112" s="32" t="s">
        <v>62</v>
      </c>
      <c r="C1112" s="36" t="s">
        <v>33</v>
      </c>
      <c r="D1112" s="36" t="s">
        <v>218</v>
      </c>
      <c r="E1112" s="36" t="s">
        <v>213</v>
      </c>
      <c r="F1112" s="34" t="s">
        <v>33</v>
      </c>
      <c r="G1112" s="37" t="s">
        <v>1914</v>
      </c>
      <c r="H1112" s="37" t="s">
        <v>1376</v>
      </c>
      <c r="I1112" s="35"/>
      <c r="J1112" s="35"/>
    </row>
    <row r="1113">
      <c r="A1113" s="32" t="s">
        <v>1915</v>
      </c>
      <c r="B1113" s="32" t="s">
        <v>62</v>
      </c>
      <c r="C1113" s="36" t="s">
        <v>33</v>
      </c>
      <c r="D1113" s="36" t="s">
        <v>591</v>
      </c>
      <c r="E1113" s="36" t="s">
        <v>1040</v>
      </c>
      <c r="F1113" s="34" t="s">
        <v>33</v>
      </c>
      <c r="G1113" s="37" t="s">
        <v>1916</v>
      </c>
      <c r="H1113" s="37" t="s">
        <v>1173</v>
      </c>
      <c r="I1113" s="35"/>
      <c r="J1113" s="35"/>
    </row>
    <row r="1114">
      <c r="A1114" s="32" t="s">
        <v>1917</v>
      </c>
      <c r="B1114" s="32" t="s">
        <v>62</v>
      </c>
      <c r="C1114" s="36" t="s">
        <v>33</v>
      </c>
      <c r="D1114" s="36" t="s">
        <v>58</v>
      </c>
      <c r="E1114" s="36" t="s">
        <v>33</v>
      </c>
      <c r="F1114" s="34" t="s">
        <v>33</v>
      </c>
      <c r="G1114" s="37" t="s">
        <v>1062</v>
      </c>
      <c r="H1114" s="34" t="s">
        <v>33</v>
      </c>
      <c r="I1114" s="35"/>
      <c r="J1114" s="35"/>
    </row>
    <row r="1115">
      <c r="A1115" s="32" t="s">
        <v>1918</v>
      </c>
      <c r="B1115" s="32" t="s">
        <v>62</v>
      </c>
      <c r="C1115" s="36" t="s">
        <v>33</v>
      </c>
      <c r="D1115" s="36" t="s">
        <v>377</v>
      </c>
      <c r="E1115" s="36" t="s">
        <v>33</v>
      </c>
      <c r="F1115" s="34" t="s">
        <v>33</v>
      </c>
      <c r="G1115" s="37" t="s">
        <v>1423</v>
      </c>
      <c r="H1115" s="34" t="s">
        <v>33</v>
      </c>
      <c r="I1115" s="35"/>
      <c r="J1115" s="35"/>
    </row>
    <row r="1116">
      <c r="A1116" s="32" t="s">
        <v>1919</v>
      </c>
      <c r="B1116" s="32" t="s">
        <v>62</v>
      </c>
      <c r="C1116" s="36" t="s">
        <v>33</v>
      </c>
      <c r="D1116" s="36" t="s">
        <v>645</v>
      </c>
      <c r="E1116" s="36" t="s">
        <v>33</v>
      </c>
      <c r="F1116" s="34" t="s">
        <v>33</v>
      </c>
      <c r="G1116" s="37" t="s">
        <v>1223</v>
      </c>
      <c r="H1116" s="34" t="s">
        <v>33</v>
      </c>
      <c r="I1116" s="35"/>
      <c r="J1116" s="35"/>
    </row>
    <row r="1117">
      <c r="A1117" s="32" t="s">
        <v>1920</v>
      </c>
      <c r="B1117" s="32" t="s">
        <v>62</v>
      </c>
      <c r="C1117" s="36" t="s">
        <v>33</v>
      </c>
      <c r="D1117" s="36" t="s">
        <v>179</v>
      </c>
      <c r="E1117" s="36" t="s">
        <v>33</v>
      </c>
      <c r="F1117" s="34" t="s">
        <v>33</v>
      </c>
      <c r="G1117" s="37" t="s">
        <v>521</v>
      </c>
      <c r="H1117" s="34" t="s">
        <v>33</v>
      </c>
      <c r="I1117" s="35"/>
      <c r="J1117" s="35"/>
    </row>
    <row r="1118">
      <c r="A1118" s="32" t="s">
        <v>1921</v>
      </c>
      <c r="B1118" s="32" t="s">
        <v>62</v>
      </c>
      <c r="C1118" s="36" t="s">
        <v>33</v>
      </c>
      <c r="D1118" s="36" t="s">
        <v>1215</v>
      </c>
      <c r="E1118" s="36" t="s">
        <v>33</v>
      </c>
      <c r="F1118" s="34" t="s">
        <v>33</v>
      </c>
      <c r="G1118" s="37" t="s">
        <v>990</v>
      </c>
      <c r="H1118" s="34" t="s">
        <v>33</v>
      </c>
      <c r="I1118" s="35"/>
      <c r="J1118" s="35"/>
    </row>
    <row r="1119">
      <c r="A1119" s="32" t="s">
        <v>1922</v>
      </c>
      <c r="B1119" s="32" t="s">
        <v>62</v>
      </c>
      <c r="C1119" s="36" t="s">
        <v>33</v>
      </c>
      <c r="D1119" s="36" t="s">
        <v>383</v>
      </c>
      <c r="E1119" s="36" t="s">
        <v>33</v>
      </c>
      <c r="F1119" s="34" t="s">
        <v>33</v>
      </c>
      <c r="G1119" s="37" t="s">
        <v>1436</v>
      </c>
      <c r="H1119" s="34" t="s">
        <v>33</v>
      </c>
      <c r="I1119" s="35"/>
      <c r="J1119" s="35"/>
    </row>
    <row r="1120">
      <c r="A1120" s="32" t="s">
        <v>1923</v>
      </c>
      <c r="B1120" s="32" t="s">
        <v>62</v>
      </c>
      <c r="C1120" s="36" t="s">
        <v>33</v>
      </c>
      <c r="D1120" s="36" t="s">
        <v>33</v>
      </c>
      <c r="E1120" s="36" t="s">
        <v>466</v>
      </c>
      <c r="F1120" s="34" t="s">
        <v>33</v>
      </c>
      <c r="G1120" s="34" t="s">
        <v>33</v>
      </c>
      <c r="H1120" s="37" t="s">
        <v>1523</v>
      </c>
      <c r="I1120" s="35"/>
      <c r="J1120" s="35"/>
    </row>
    <row r="1121">
      <c r="A1121" s="32" t="s">
        <v>1924</v>
      </c>
      <c r="B1121" s="32" t="s">
        <v>62</v>
      </c>
      <c r="C1121" s="36" t="s">
        <v>33</v>
      </c>
      <c r="D1121" s="36" t="s">
        <v>33</v>
      </c>
      <c r="E1121" s="36" t="s">
        <v>49</v>
      </c>
      <c r="F1121" s="34" t="s">
        <v>33</v>
      </c>
      <c r="G1121" s="34" t="s">
        <v>33</v>
      </c>
      <c r="H1121" s="37" t="s">
        <v>1403</v>
      </c>
      <c r="I1121" s="35"/>
      <c r="J1121" s="35"/>
    </row>
    <row r="1122">
      <c r="A1122" s="32" t="s">
        <v>1925</v>
      </c>
      <c r="B1122" s="32" t="s">
        <v>62</v>
      </c>
      <c r="C1122" s="36" t="s">
        <v>33</v>
      </c>
      <c r="D1122" s="36" t="s">
        <v>450</v>
      </c>
      <c r="E1122" s="36" t="s">
        <v>302</v>
      </c>
      <c r="F1122" s="34" t="s">
        <v>33</v>
      </c>
      <c r="G1122" s="37" t="s">
        <v>995</v>
      </c>
      <c r="H1122" s="37" t="s">
        <v>1400</v>
      </c>
      <c r="I1122" s="35"/>
      <c r="J1122" s="35"/>
    </row>
    <row r="1123">
      <c r="A1123" s="32" t="s">
        <v>1926</v>
      </c>
      <c r="B1123" s="32" t="s">
        <v>62</v>
      </c>
      <c r="C1123" s="36" t="s">
        <v>33</v>
      </c>
      <c r="D1123" s="36" t="s">
        <v>33</v>
      </c>
      <c r="E1123" s="36" t="s">
        <v>652</v>
      </c>
      <c r="F1123" s="34" t="s">
        <v>33</v>
      </c>
      <c r="G1123" s="34" t="s">
        <v>33</v>
      </c>
      <c r="H1123" s="37" t="s">
        <v>1414</v>
      </c>
      <c r="I1123" s="35"/>
      <c r="J1123" s="35"/>
    </row>
    <row r="1124">
      <c r="A1124" s="32" t="s">
        <v>1927</v>
      </c>
      <c r="B1124" s="32" t="s">
        <v>62</v>
      </c>
      <c r="C1124" s="36" t="s">
        <v>33</v>
      </c>
      <c r="D1124" s="36" t="s">
        <v>33</v>
      </c>
      <c r="E1124" s="36" t="s">
        <v>131</v>
      </c>
      <c r="F1124" s="34" t="s">
        <v>33</v>
      </c>
      <c r="G1124" s="34" t="s">
        <v>33</v>
      </c>
      <c r="H1124" s="37" t="s">
        <v>1928</v>
      </c>
      <c r="I1124" s="35"/>
      <c r="J1124" s="35"/>
    </row>
    <row r="1125">
      <c r="A1125" s="32" t="s">
        <v>1929</v>
      </c>
      <c r="B1125" s="32" t="s">
        <v>62</v>
      </c>
      <c r="C1125" s="36" t="s">
        <v>33</v>
      </c>
      <c r="D1125" s="36" t="s">
        <v>33</v>
      </c>
      <c r="E1125" s="36" t="s">
        <v>141</v>
      </c>
      <c r="F1125" s="34" t="s">
        <v>33</v>
      </c>
      <c r="G1125" s="34" t="s">
        <v>33</v>
      </c>
      <c r="H1125" s="37" t="s">
        <v>1928</v>
      </c>
      <c r="I1125" s="35"/>
      <c r="J1125" s="35"/>
    </row>
    <row r="1126">
      <c r="A1126" s="32" t="s">
        <v>1930</v>
      </c>
      <c r="B1126" s="32" t="s">
        <v>62</v>
      </c>
      <c r="C1126" s="36" t="s">
        <v>33</v>
      </c>
      <c r="D1126" s="36" t="s">
        <v>754</v>
      </c>
      <c r="E1126" s="36" t="s">
        <v>140</v>
      </c>
      <c r="F1126" s="34" t="s">
        <v>33</v>
      </c>
      <c r="G1126" s="37" t="s">
        <v>1069</v>
      </c>
      <c r="H1126" s="37" t="s">
        <v>1477</v>
      </c>
      <c r="I1126" s="35"/>
      <c r="J1126" s="35"/>
    </row>
    <row r="1127">
      <c r="A1127" s="32" t="s">
        <v>1931</v>
      </c>
      <c r="B1127" s="32" t="s">
        <v>62</v>
      </c>
      <c r="C1127" s="36" t="s">
        <v>33</v>
      </c>
      <c r="D1127" s="36" t="s">
        <v>33</v>
      </c>
      <c r="E1127" s="36" t="s">
        <v>389</v>
      </c>
      <c r="F1127" s="34" t="s">
        <v>33</v>
      </c>
      <c r="G1127" s="34" t="s">
        <v>33</v>
      </c>
      <c r="H1127" s="37" t="s">
        <v>1411</v>
      </c>
      <c r="I1127" s="35"/>
      <c r="J1127" s="35"/>
    </row>
    <row r="1128">
      <c r="A1128" s="32" t="s">
        <v>1932</v>
      </c>
      <c r="B1128" s="32" t="s">
        <v>62</v>
      </c>
      <c r="C1128" s="36" t="s">
        <v>33</v>
      </c>
      <c r="D1128" s="36" t="s">
        <v>33</v>
      </c>
      <c r="E1128" s="36" t="s">
        <v>331</v>
      </c>
      <c r="F1128" s="34" t="s">
        <v>33</v>
      </c>
      <c r="G1128" s="34" t="s">
        <v>33</v>
      </c>
      <c r="H1128" s="37" t="s">
        <v>1414</v>
      </c>
      <c r="I1128" s="35"/>
      <c r="J1128" s="35"/>
    </row>
    <row r="1129">
      <c r="A1129" s="32" t="s">
        <v>1933</v>
      </c>
      <c r="B1129" s="32" t="s">
        <v>62</v>
      </c>
      <c r="C1129" s="36" t="s">
        <v>33</v>
      </c>
      <c r="D1129" s="36" t="s">
        <v>245</v>
      </c>
      <c r="E1129" s="36" t="s">
        <v>33</v>
      </c>
      <c r="F1129" s="34" t="s">
        <v>33</v>
      </c>
      <c r="G1129" s="37" t="s">
        <v>281</v>
      </c>
      <c r="H1129" s="34" t="s">
        <v>33</v>
      </c>
      <c r="I1129" s="35"/>
      <c r="J1129" s="35"/>
    </row>
    <row r="1130">
      <c r="A1130" s="32" t="s">
        <v>1934</v>
      </c>
      <c r="B1130" s="32" t="s">
        <v>62</v>
      </c>
      <c r="C1130" s="36" t="s">
        <v>33</v>
      </c>
      <c r="D1130" s="36" t="s">
        <v>33</v>
      </c>
      <c r="E1130" s="36" t="s">
        <v>476</v>
      </c>
      <c r="F1130" s="34" t="s">
        <v>33</v>
      </c>
      <c r="G1130" s="34" t="s">
        <v>33</v>
      </c>
      <c r="H1130" s="37" t="s">
        <v>1477</v>
      </c>
      <c r="I1130" s="35"/>
      <c r="J1130" s="35"/>
    </row>
    <row r="1131">
      <c r="A1131" s="32" t="s">
        <v>1935</v>
      </c>
      <c r="B1131" s="32" t="s">
        <v>62</v>
      </c>
      <c r="C1131" s="36" t="s">
        <v>33</v>
      </c>
      <c r="D1131" s="36" t="s">
        <v>33</v>
      </c>
      <c r="E1131" s="36" t="s">
        <v>66</v>
      </c>
      <c r="F1131" s="34" t="s">
        <v>33</v>
      </c>
      <c r="G1131" s="34" t="s">
        <v>33</v>
      </c>
      <c r="H1131" s="37" t="s">
        <v>303</v>
      </c>
      <c r="I1131" s="35"/>
      <c r="J1131" s="35"/>
    </row>
    <row r="1132">
      <c r="A1132" s="32" t="s">
        <v>1936</v>
      </c>
      <c r="B1132" s="32" t="s">
        <v>62</v>
      </c>
      <c r="C1132" s="36" t="s">
        <v>33</v>
      </c>
      <c r="D1132" s="36" t="s">
        <v>33</v>
      </c>
      <c r="E1132" s="36" t="s">
        <v>113</v>
      </c>
      <c r="F1132" s="34" t="s">
        <v>33</v>
      </c>
      <c r="G1132" s="34" t="s">
        <v>33</v>
      </c>
      <c r="H1132" s="37" t="s">
        <v>1578</v>
      </c>
      <c r="I1132" s="35"/>
      <c r="J1132" s="35"/>
    </row>
    <row r="1133">
      <c r="A1133" s="32" t="s">
        <v>1937</v>
      </c>
      <c r="B1133" s="32" t="s">
        <v>62</v>
      </c>
      <c r="C1133" s="36" t="s">
        <v>33</v>
      </c>
      <c r="D1133" s="36" t="s">
        <v>533</v>
      </c>
      <c r="E1133" s="36" t="s">
        <v>33</v>
      </c>
      <c r="F1133" s="34" t="s">
        <v>33</v>
      </c>
      <c r="G1133" s="37" t="s">
        <v>1938</v>
      </c>
      <c r="H1133" s="34" t="s">
        <v>33</v>
      </c>
      <c r="I1133" s="35"/>
      <c r="J1133" s="35"/>
    </row>
    <row r="1134">
      <c r="A1134" s="32" t="s">
        <v>1939</v>
      </c>
      <c r="B1134" s="32" t="s">
        <v>62</v>
      </c>
      <c r="C1134" s="36" t="s">
        <v>33</v>
      </c>
      <c r="D1134" s="36" t="s">
        <v>33</v>
      </c>
      <c r="E1134" s="36" t="s">
        <v>87</v>
      </c>
      <c r="F1134" s="34" t="s">
        <v>33</v>
      </c>
      <c r="G1134" s="34" t="s">
        <v>33</v>
      </c>
      <c r="H1134" s="37" t="s">
        <v>1360</v>
      </c>
      <c r="I1134" s="35"/>
      <c r="J1134" s="35"/>
    </row>
    <row r="1135">
      <c r="A1135" s="32" t="s">
        <v>1940</v>
      </c>
      <c r="B1135" s="32" t="s">
        <v>62</v>
      </c>
      <c r="C1135" s="36" t="s">
        <v>33</v>
      </c>
      <c r="D1135" s="36" t="s">
        <v>450</v>
      </c>
      <c r="E1135" s="36" t="s">
        <v>33</v>
      </c>
      <c r="F1135" s="34" t="s">
        <v>33</v>
      </c>
      <c r="G1135" s="37" t="s">
        <v>1390</v>
      </c>
      <c r="H1135" s="34" t="s">
        <v>33</v>
      </c>
      <c r="I1135" s="35"/>
      <c r="J1135" s="35"/>
    </row>
    <row r="1136">
      <c r="A1136" s="32" t="s">
        <v>1941</v>
      </c>
      <c r="B1136" s="32" t="s">
        <v>62</v>
      </c>
      <c r="C1136" s="36" t="s">
        <v>33</v>
      </c>
      <c r="D1136" s="36" t="s">
        <v>33</v>
      </c>
      <c r="E1136" s="36" t="s">
        <v>187</v>
      </c>
      <c r="F1136" s="34" t="s">
        <v>33</v>
      </c>
      <c r="G1136" s="34" t="s">
        <v>33</v>
      </c>
      <c r="H1136" s="37" t="s">
        <v>770</v>
      </c>
      <c r="I1136" s="35"/>
      <c r="J1136" s="35"/>
    </row>
    <row r="1137">
      <c r="A1137" s="32" t="s">
        <v>1942</v>
      </c>
      <c r="B1137" s="32" t="s">
        <v>62</v>
      </c>
      <c r="C1137" s="36" t="s">
        <v>33</v>
      </c>
      <c r="D1137" s="36" t="s">
        <v>33</v>
      </c>
      <c r="E1137" s="36" t="s">
        <v>173</v>
      </c>
      <c r="F1137" s="34" t="s">
        <v>33</v>
      </c>
      <c r="G1137" s="34" t="s">
        <v>33</v>
      </c>
      <c r="H1137" s="37" t="s">
        <v>1414</v>
      </c>
      <c r="I1137" s="35"/>
      <c r="J1137" s="35"/>
    </row>
    <row r="1138">
      <c r="A1138" s="32" t="s">
        <v>1943</v>
      </c>
      <c r="B1138" s="32" t="s">
        <v>62</v>
      </c>
      <c r="C1138" s="36" t="s">
        <v>33</v>
      </c>
      <c r="D1138" s="36" t="s">
        <v>652</v>
      </c>
      <c r="E1138" s="36" t="s">
        <v>33</v>
      </c>
      <c r="F1138" s="34" t="s">
        <v>33</v>
      </c>
      <c r="G1138" s="37" t="s">
        <v>818</v>
      </c>
      <c r="H1138" s="34" t="s">
        <v>33</v>
      </c>
      <c r="I1138" s="35"/>
      <c r="J1138" s="35"/>
    </row>
    <row r="1139">
      <c r="A1139" s="32" t="s">
        <v>1944</v>
      </c>
      <c r="B1139" s="32" t="s">
        <v>62</v>
      </c>
      <c r="C1139" s="36" t="s">
        <v>33</v>
      </c>
      <c r="D1139" s="36" t="s">
        <v>33</v>
      </c>
      <c r="E1139" s="36" t="s">
        <v>140</v>
      </c>
      <c r="F1139" s="34" t="s">
        <v>33</v>
      </c>
      <c r="G1139" s="34" t="s">
        <v>33</v>
      </c>
      <c r="H1139" s="37" t="s">
        <v>1945</v>
      </c>
      <c r="I1139" s="35"/>
      <c r="J1139" s="35"/>
    </row>
    <row r="1140">
      <c r="A1140" s="32" t="s">
        <v>1946</v>
      </c>
      <c r="B1140" s="32" t="s">
        <v>62</v>
      </c>
      <c r="C1140" s="36" t="s">
        <v>33</v>
      </c>
      <c r="D1140" s="36" t="s">
        <v>81</v>
      </c>
      <c r="E1140" s="36" t="s">
        <v>33</v>
      </c>
      <c r="F1140" s="34" t="s">
        <v>33</v>
      </c>
      <c r="G1140" s="37" t="s">
        <v>634</v>
      </c>
      <c r="H1140" s="34" t="s">
        <v>33</v>
      </c>
      <c r="I1140" s="35"/>
      <c r="J1140" s="35"/>
    </row>
    <row r="1141">
      <c r="A1141" s="32" t="s">
        <v>1947</v>
      </c>
      <c r="B1141" s="32" t="s">
        <v>62</v>
      </c>
      <c r="C1141" s="36" t="s">
        <v>33</v>
      </c>
      <c r="D1141" s="36" t="s">
        <v>113</v>
      </c>
      <c r="E1141" s="36" t="s">
        <v>33</v>
      </c>
      <c r="F1141" s="34" t="s">
        <v>33</v>
      </c>
      <c r="G1141" s="37" t="s">
        <v>1310</v>
      </c>
      <c r="H1141" s="34" t="s">
        <v>33</v>
      </c>
      <c r="I1141" s="35"/>
      <c r="J1141" s="35"/>
    </row>
    <row r="1142">
      <c r="A1142" s="32" t="s">
        <v>1948</v>
      </c>
      <c r="B1142" s="32" t="s">
        <v>62</v>
      </c>
      <c r="C1142" s="36" t="s">
        <v>33</v>
      </c>
      <c r="D1142" s="36" t="s">
        <v>49</v>
      </c>
      <c r="E1142" s="36" t="s">
        <v>33</v>
      </c>
      <c r="F1142" s="34" t="s">
        <v>33</v>
      </c>
      <c r="G1142" s="37" t="s">
        <v>1310</v>
      </c>
      <c r="H1142" s="34" t="s">
        <v>33</v>
      </c>
      <c r="I1142" s="35"/>
      <c r="J1142" s="35"/>
    </row>
    <row r="1143">
      <c r="A1143" s="32" t="s">
        <v>1949</v>
      </c>
      <c r="B1143" s="32" t="s">
        <v>62</v>
      </c>
      <c r="C1143" s="36" t="s">
        <v>33</v>
      </c>
      <c r="D1143" s="36" t="s">
        <v>33</v>
      </c>
      <c r="E1143" s="36" t="s">
        <v>533</v>
      </c>
      <c r="F1143" s="34" t="s">
        <v>33</v>
      </c>
      <c r="G1143" s="34" t="s">
        <v>33</v>
      </c>
      <c r="H1143" s="37" t="s">
        <v>1950</v>
      </c>
      <c r="I1143" s="35"/>
      <c r="J1143" s="35"/>
    </row>
    <row r="1144">
      <c r="A1144" s="32" t="s">
        <v>1951</v>
      </c>
      <c r="B1144" s="32" t="s">
        <v>62</v>
      </c>
      <c r="C1144" s="36" t="s">
        <v>33</v>
      </c>
      <c r="D1144" s="36" t="s">
        <v>1068</v>
      </c>
      <c r="E1144" s="36" t="s">
        <v>33</v>
      </c>
      <c r="F1144" s="34" t="s">
        <v>33</v>
      </c>
      <c r="G1144" s="37" t="s">
        <v>1339</v>
      </c>
      <c r="H1144" s="34" t="s">
        <v>33</v>
      </c>
      <c r="I1144" s="35"/>
      <c r="J1144" s="35"/>
    </row>
    <row r="1145">
      <c r="A1145" s="32" t="s">
        <v>1952</v>
      </c>
      <c r="B1145" s="32" t="s">
        <v>62</v>
      </c>
      <c r="C1145" s="36" t="s">
        <v>33</v>
      </c>
      <c r="D1145" s="36" t="s">
        <v>119</v>
      </c>
      <c r="E1145" s="36" t="s">
        <v>545</v>
      </c>
      <c r="F1145" s="34" t="s">
        <v>33</v>
      </c>
      <c r="G1145" s="37" t="s">
        <v>1339</v>
      </c>
      <c r="H1145" s="37" t="s">
        <v>1398</v>
      </c>
      <c r="I1145" s="35"/>
      <c r="J1145" s="35"/>
    </row>
    <row r="1146">
      <c r="A1146" s="32" t="s">
        <v>1953</v>
      </c>
      <c r="B1146" s="32" t="s">
        <v>62</v>
      </c>
      <c r="C1146" s="36" t="s">
        <v>33</v>
      </c>
      <c r="D1146" s="36" t="s">
        <v>399</v>
      </c>
      <c r="E1146" s="36" t="s">
        <v>33</v>
      </c>
      <c r="F1146" s="34" t="s">
        <v>33</v>
      </c>
      <c r="G1146" s="37" t="s">
        <v>995</v>
      </c>
      <c r="H1146" s="34" t="s">
        <v>33</v>
      </c>
      <c r="I1146" s="35"/>
      <c r="J1146" s="35"/>
    </row>
    <row r="1147">
      <c r="A1147" s="32" t="s">
        <v>1954</v>
      </c>
      <c r="B1147" s="32" t="s">
        <v>62</v>
      </c>
      <c r="C1147" s="36" t="s">
        <v>33</v>
      </c>
      <c r="D1147" s="36" t="s">
        <v>63</v>
      </c>
      <c r="E1147" s="36" t="s">
        <v>33</v>
      </c>
      <c r="F1147" s="34" t="s">
        <v>33</v>
      </c>
      <c r="G1147" s="37" t="s">
        <v>1955</v>
      </c>
      <c r="H1147" s="34" t="s">
        <v>33</v>
      </c>
      <c r="I1147" s="35"/>
      <c r="J1147" s="35"/>
    </row>
    <row r="1148">
      <c r="A1148" s="32" t="s">
        <v>1956</v>
      </c>
      <c r="B1148" s="32" t="s">
        <v>62</v>
      </c>
      <c r="C1148" s="36" t="s">
        <v>33</v>
      </c>
      <c r="D1148" s="36" t="s">
        <v>365</v>
      </c>
      <c r="E1148" s="36" t="s">
        <v>49</v>
      </c>
      <c r="F1148" s="34" t="s">
        <v>33</v>
      </c>
      <c r="G1148" s="37" t="s">
        <v>1308</v>
      </c>
      <c r="H1148" s="37" t="s">
        <v>1957</v>
      </c>
      <c r="I1148" s="35"/>
      <c r="J1148" s="35"/>
    </row>
    <row r="1149">
      <c r="A1149" s="32" t="s">
        <v>1958</v>
      </c>
      <c r="B1149" s="32" t="s">
        <v>62</v>
      </c>
      <c r="C1149" s="36" t="s">
        <v>33</v>
      </c>
      <c r="D1149" s="36" t="s">
        <v>58</v>
      </c>
      <c r="E1149" s="36" t="s">
        <v>81</v>
      </c>
      <c r="F1149" s="34" t="s">
        <v>33</v>
      </c>
      <c r="G1149" s="37" t="s">
        <v>585</v>
      </c>
      <c r="H1149" s="37" t="s">
        <v>1358</v>
      </c>
      <c r="I1149" s="35"/>
      <c r="J1149" s="35"/>
    </row>
    <row r="1150">
      <c r="A1150" s="32" t="s">
        <v>1959</v>
      </c>
      <c r="B1150" s="32" t="s">
        <v>62</v>
      </c>
      <c r="C1150" s="36" t="s">
        <v>33</v>
      </c>
      <c r="D1150" s="36" t="s">
        <v>152</v>
      </c>
      <c r="E1150" s="36" t="s">
        <v>33</v>
      </c>
      <c r="F1150" s="34" t="s">
        <v>33</v>
      </c>
      <c r="G1150" s="37" t="s">
        <v>220</v>
      </c>
      <c r="H1150" s="34" t="s">
        <v>33</v>
      </c>
      <c r="I1150" s="35"/>
      <c r="J1150" s="35"/>
    </row>
    <row r="1151">
      <c r="A1151" s="32" t="s">
        <v>1960</v>
      </c>
      <c r="B1151" s="32" t="s">
        <v>62</v>
      </c>
      <c r="C1151" s="36" t="s">
        <v>33</v>
      </c>
      <c r="D1151" s="36" t="s">
        <v>114</v>
      </c>
      <c r="E1151" s="36" t="s">
        <v>226</v>
      </c>
      <c r="F1151" s="34" t="s">
        <v>33</v>
      </c>
      <c r="G1151" s="37" t="s">
        <v>347</v>
      </c>
      <c r="H1151" s="37" t="s">
        <v>1591</v>
      </c>
      <c r="I1151" s="35"/>
      <c r="J1151" s="35"/>
    </row>
    <row r="1152">
      <c r="A1152" s="32" t="s">
        <v>1961</v>
      </c>
      <c r="B1152" s="32" t="s">
        <v>62</v>
      </c>
      <c r="C1152" s="36" t="s">
        <v>33</v>
      </c>
      <c r="D1152" s="36" t="s">
        <v>226</v>
      </c>
      <c r="E1152" s="36" t="s">
        <v>33</v>
      </c>
      <c r="F1152" s="34" t="s">
        <v>33</v>
      </c>
      <c r="G1152" s="37" t="s">
        <v>1310</v>
      </c>
      <c r="H1152" s="34" t="s">
        <v>33</v>
      </c>
      <c r="I1152" s="35"/>
      <c r="J1152" s="35"/>
    </row>
    <row r="1153">
      <c r="A1153" s="32" t="s">
        <v>1962</v>
      </c>
      <c r="B1153" s="32" t="s">
        <v>62</v>
      </c>
      <c r="C1153" s="36" t="s">
        <v>33</v>
      </c>
      <c r="D1153" s="36" t="s">
        <v>33</v>
      </c>
      <c r="E1153" s="36" t="s">
        <v>122</v>
      </c>
      <c r="F1153" s="34" t="s">
        <v>33</v>
      </c>
      <c r="G1153" s="34" t="s">
        <v>33</v>
      </c>
      <c r="H1153" s="37" t="s">
        <v>1578</v>
      </c>
      <c r="I1153" s="35"/>
      <c r="J1153" s="35"/>
    </row>
    <row r="1154">
      <c r="A1154" s="32" t="s">
        <v>1963</v>
      </c>
      <c r="B1154" s="32" t="s">
        <v>62</v>
      </c>
      <c r="C1154" s="36" t="s">
        <v>33</v>
      </c>
      <c r="D1154" s="36" t="s">
        <v>33</v>
      </c>
      <c r="E1154" s="36" t="s">
        <v>81</v>
      </c>
      <c r="F1154" s="34" t="s">
        <v>33</v>
      </c>
      <c r="G1154" s="34" t="s">
        <v>33</v>
      </c>
      <c r="H1154" s="37" t="s">
        <v>1080</v>
      </c>
      <c r="I1154" s="35"/>
      <c r="J1154" s="35"/>
    </row>
    <row r="1155">
      <c r="A1155" s="32" t="s">
        <v>1964</v>
      </c>
      <c r="B1155" s="32" t="s">
        <v>62</v>
      </c>
      <c r="C1155" s="36" t="s">
        <v>33</v>
      </c>
      <c r="D1155" s="36" t="s">
        <v>213</v>
      </c>
      <c r="E1155" s="36" t="s">
        <v>33</v>
      </c>
      <c r="F1155" s="34" t="s">
        <v>33</v>
      </c>
      <c r="G1155" s="37" t="s">
        <v>1965</v>
      </c>
      <c r="H1155" s="34" t="s">
        <v>33</v>
      </c>
      <c r="I1155" s="35"/>
      <c r="J1155" s="35"/>
    </row>
    <row r="1156">
      <c r="A1156" s="32" t="s">
        <v>1966</v>
      </c>
      <c r="B1156" s="32" t="s">
        <v>62</v>
      </c>
      <c r="C1156" s="36" t="s">
        <v>33</v>
      </c>
      <c r="D1156" s="36" t="s">
        <v>718</v>
      </c>
      <c r="E1156" s="36" t="s">
        <v>33</v>
      </c>
      <c r="F1156" s="34" t="s">
        <v>33</v>
      </c>
      <c r="G1156" s="37" t="s">
        <v>1517</v>
      </c>
      <c r="H1156" s="34" t="s">
        <v>33</v>
      </c>
      <c r="I1156" s="35"/>
      <c r="J1156" s="35"/>
    </row>
    <row r="1157">
      <c r="A1157" s="32" t="s">
        <v>1967</v>
      </c>
      <c r="B1157" s="32" t="s">
        <v>62</v>
      </c>
      <c r="C1157" s="36" t="s">
        <v>33</v>
      </c>
      <c r="D1157" s="36" t="s">
        <v>365</v>
      </c>
      <c r="E1157" s="36" t="s">
        <v>33</v>
      </c>
      <c r="F1157" s="34" t="s">
        <v>33</v>
      </c>
      <c r="G1157" s="37" t="s">
        <v>1233</v>
      </c>
      <c r="H1157" s="34" t="s">
        <v>33</v>
      </c>
      <c r="I1157" s="35"/>
      <c r="J1157" s="35"/>
    </row>
    <row r="1158">
      <c r="A1158" s="32" t="s">
        <v>1968</v>
      </c>
      <c r="B1158" s="32" t="s">
        <v>62</v>
      </c>
      <c r="C1158" s="36" t="s">
        <v>33</v>
      </c>
      <c r="D1158" s="36" t="s">
        <v>854</v>
      </c>
      <c r="E1158" s="36" t="s">
        <v>1293</v>
      </c>
      <c r="F1158" s="34" t="s">
        <v>33</v>
      </c>
      <c r="G1158" s="37" t="s">
        <v>1969</v>
      </c>
      <c r="H1158" s="37" t="s">
        <v>1970</v>
      </c>
      <c r="I1158" s="35"/>
      <c r="J1158" s="35"/>
    </row>
    <row r="1159">
      <c r="A1159" s="32" t="s">
        <v>1971</v>
      </c>
      <c r="B1159" s="32" t="s">
        <v>62</v>
      </c>
      <c r="C1159" s="36" t="s">
        <v>33</v>
      </c>
      <c r="D1159" s="36" t="s">
        <v>33</v>
      </c>
      <c r="E1159" s="36" t="s">
        <v>680</v>
      </c>
      <c r="F1159" s="34" t="s">
        <v>33</v>
      </c>
      <c r="G1159" s="34" t="s">
        <v>33</v>
      </c>
      <c r="H1159" s="37" t="s">
        <v>1483</v>
      </c>
      <c r="I1159" s="35"/>
      <c r="J1159" s="35"/>
    </row>
    <row r="1160">
      <c r="A1160" s="32" t="s">
        <v>1972</v>
      </c>
      <c r="B1160" s="32" t="s">
        <v>62</v>
      </c>
      <c r="C1160" s="36" t="s">
        <v>33</v>
      </c>
      <c r="D1160" s="36" t="s">
        <v>33</v>
      </c>
      <c r="E1160" s="36" t="s">
        <v>385</v>
      </c>
      <c r="F1160" s="34" t="s">
        <v>33</v>
      </c>
      <c r="G1160" s="34" t="s">
        <v>33</v>
      </c>
      <c r="H1160" s="37" t="s">
        <v>1727</v>
      </c>
      <c r="I1160" s="35"/>
      <c r="J1160" s="35"/>
    </row>
    <row r="1161">
      <c r="A1161" s="32" t="s">
        <v>1973</v>
      </c>
      <c r="B1161" s="32" t="s">
        <v>62</v>
      </c>
      <c r="C1161" s="36" t="s">
        <v>33</v>
      </c>
      <c r="D1161" s="36" t="s">
        <v>33</v>
      </c>
      <c r="E1161" s="36" t="s">
        <v>331</v>
      </c>
      <c r="F1161" s="34" t="s">
        <v>33</v>
      </c>
      <c r="G1161" s="34" t="s">
        <v>33</v>
      </c>
      <c r="H1161" s="37" t="s">
        <v>1660</v>
      </c>
      <c r="I1161" s="35"/>
      <c r="J1161" s="35"/>
    </row>
    <row r="1162">
      <c r="A1162" s="32" t="s">
        <v>1974</v>
      </c>
      <c r="B1162" s="32" t="s">
        <v>62</v>
      </c>
      <c r="C1162" s="36" t="s">
        <v>33</v>
      </c>
      <c r="D1162" s="36" t="s">
        <v>33</v>
      </c>
      <c r="E1162" s="36" t="s">
        <v>288</v>
      </c>
      <c r="F1162" s="34" t="s">
        <v>33</v>
      </c>
      <c r="G1162" s="34" t="s">
        <v>33</v>
      </c>
      <c r="H1162" s="37" t="s">
        <v>1414</v>
      </c>
      <c r="I1162" s="35"/>
      <c r="J1162" s="35"/>
    </row>
    <row r="1163">
      <c r="A1163" s="32" t="s">
        <v>1975</v>
      </c>
      <c r="B1163" s="32" t="s">
        <v>62</v>
      </c>
      <c r="C1163" s="36" t="s">
        <v>33</v>
      </c>
      <c r="D1163" s="36" t="s">
        <v>33</v>
      </c>
      <c r="E1163" s="36" t="s">
        <v>74</v>
      </c>
      <c r="F1163" s="34" t="s">
        <v>33</v>
      </c>
      <c r="G1163" s="34" t="s">
        <v>33</v>
      </c>
      <c r="H1163" s="37" t="s">
        <v>1328</v>
      </c>
      <c r="I1163" s="35"/>
      <c r="J1163" s="35"/>
    </row>
    <row r="1164">
      <c r="A1164" s="32" t="s">
        <v>1976</v>
      </c>
      <c r="B1164" s="32" t="s">
        <v>62</v>
      </c>
      <c r="C1164" s="36" t="s">
        <v>33</v>
      </c>
      <c r="D1164" s="36" t="s">
        <v>33</v>
      </c>
      <c r="E1164" s="36" t="s">
        <v>27</v>
      </c>
      <c r="F1164" s="34" t="s">
        <v>33</v>
      </c>
      <c r="G1164" s="34" t="s">
        <v>33</v>
      </c>
      <c r="H1164" s="37" t="s">
        <v>1360</v>
      </c>
      <c r="I1164" s="35"/>
      <c r="J1164" s="35"/>
    </row>
    <row r="1165">
      <c r="A1165" s="32" t="s">
        <v>1977</v>
      </c>
      <c r="B1165" s="32" t="s">
        <v>62</v>
      </c>
      <c r="C1165" s="36" t="s">
        <v>33</v>
      </c>
      <c r="D1165" s="36" t="s">
        <v>33</v>
      </c>
      <c r="E1165" s="36" t="s">
        <v>385</v>
      </c>
      <c r="F1165" s="34" t="s">
        <v>33</v>
      </c>
      <c r="G1165" s="34" t="s">
        <v>33</v>
      </c>
      <c r="H1165" s="37" t="s">
        <v>1414</v>
      </c>
      <c r="I1165" s="35"/>
      <c r="J1165" s="35"/>
    </row>
    <row r="1166">
      <c r="A1166" s="32" t="s">
        <v>1978</v>
      </c>
      <c r="B1166" s="32" t="s">
        <v>62</v>
      </c>
      <c r="C1166" s="36" t="s">
        <v>33</v>
      </c>
      <c r="D1166" s="36" t="s">
        <v>33</v>
      </c>
      <c r="E1166" s="36" t="s">
        <v>187</v>
      </c>
      <c r="F1166" s="34" t="s">
        <v>33</v>
      </c>
      <c r="G1166" s="34" t="s">
        <v>33</v>
      </c>
      <c r="H1166" s="37" t="s">
        <v>1414</v>
      </c>
      <c r="I1166" s="35"/>
      <c r="J1166" s="35"/>
    </row>
    <row r="1167">
      <c r="A1167" s="32" t="s">
        <v>1979</v>
      </c>
      <c r="B1167" s="32" t="s">
        <v>62</v>
      </c>
      <c r="C1167" s="36" t="s">
        <v>33</v>
      </c>
      <c r="D1167" s="36" t="s">
        <v>141</v>
      </c>
      <c r="E1167" s="36" t="s">
        <v>515</v>
      </c>
      <c r="F1167" s="34" t="s">
        <v>33</v>
      </c>
      <c r="G1167" s="37" t="s">
        <v>1390</v>
      </c>
      <c r="H1167" s="37" t="s">
        <v>1660</v>
      </c>
      <c r="I1167" s="35"/>
      <c r="J1167" s="35"/>
    </row>
    <row r="1168">
      <c r="A1168" s="32" t="s">
        <v>1980</v>
      </c>
      <c r="B1168" s="32" t="s">
        <v>62</v>
      </c>
      <c r="C1168" s="36" t="s">
        <v>33</v>
      </c>
      <c r="D1168" s="36" t="s">
        <v>96</v>
      </c>
      <c r="E1168" s="36" t="s">
        <v>33</v>
      </c>
      <c r="F1168" s="34" t="s">
        <v>33</v>
      </c>
      <c r="G1168" s="37" t="s">
        <v>216</v>
      </c>
      <c r="H1168" s="34" t="s">
        <v>33</v>
      </c>
      <c r="I1168" s="35"/>
      <c r="J1168" s="35"/>
    </row>
    <row r="1169">
      <c r="A1169" s="32" t="s">
        <v>1981</v>
      </c>
      <c r="B1169" s="32" t="s">
        <v>62</v>
      </c>
      <c r="C1169" s="36" t="s">
        <v>33</v>
      </c>
      <c r="D1169" s="36" t="s">
        <v>33</v>
      </c>
      <c r="E1169" s="36" t="s">
        <v>68</v>
      </c>
      <c r="F1169" s="34" t="s">
        <v>33</v>
      </c>
      <c r="G1169" s="34" t="s">
        <v>33</v>
      </c>
      <c r="H1169" s="37" t="s">
        <v>1500</v>
      </c>
      <c r="I1169" s="35"/>
      <c r="J1169" s="35"/>
    </row>
    <row r="1170">
      <c r="A1170" s="32" t="s">
        <v>1982</v>
      </c>
      <c r="B1170" s="32" t="s">
        <v>62</v>
      </c>
      <c r="C1170" s="36" t="s">
        <v>33</v>
      </c>
      <c r="D1170" s="36" t="s">
        <v>515</v>
      </c>
      <c r="E1170" s="36" t="s">
        <v>33</v>
      </c>
      <c r="F1170" s="34" t="s">
        <v>33</v>
      </c>
      <c r="G1170" s="37" t="s">
        <v>400</v>
      </c>
      <c r="H1170" s="34" t="s">
        <v>33</v>
      </c>
      <c r="I1170" s="35"/>
      <c r="J1170" s="35"/>
    </row>
    <row r="1171">
      <c r="A1171" s="32" t="s">
        <v>1983</v>
      </c>
      <c r="B1171" s="32" t="s">
        <v>62</v>
      </c>
      <c r="C1171" s="36" t="s">
        <v>33</v>
      </c>
      <c r="D1171" s="36" t="s">
        <v>245</v>
      </c>
      <c r="E1171" s="36" t="s">
        <v>33</v>
      </c>
      <c r="F1171" s="34" t="s">
        <v>33</v>
      </c>
      <c r="G1171" s="37" t="s">
        <v>281</v>
      </c>
      <c r="H1171" s="34" t="s">
        <v>33</v>
      </c>
      <c r="I1171" s="35"/>
      <c r="J1171" s="35"/>
    </row>
    <row r="1172">
      <c r="A1172" s="32" t="s">
        <v>1984</v>
      </c>
      <c r="B1172" s="32" t="s">
        <v>62</v>
      </c>
      <c r="C1172" s="36" t="s">
        <v>33</v>
      </c>
      <c r="D1172" s="36" t="s">
        <v>33</v>
      </c>
      <c r="E1172" s="36" t="s">
        <v>302</v>
      </c>
      <c r="F1172" s="34" t="s">
        <v>33</v>
      </c>
      <c r="G1172" s="34" t="s">
        <v>33</v>
      </c>
      <c r="H1172" s="37" t="s">
        <v>1523</v>
      </c>
      <c r="I1172" s="35"/>
      <c r="J1172" s="35"/>
    </row>
    <row r="1173">
      <c r="A1173" s="32" t="s">
        <v>1985</v>
      </c>
      <c r="B1173" s="32" t="s">
        <v>62</v>
      </c>
      <c r="C1173" s="36" t="s">
        <v>33</v>
      </c>
      <c r="D1173" s="36" t="s">
        <v>33</v>
      </c>
      <c r="E1173" s="36" t="s">
        <v>283</v>
      </c>
      <c r="F1173" s="34" t="s">
        <v>33</v>
      </c>
      <c r="G1173" s="34" t="s">
        <v>33</v>
      </c>
      <c r="H1173" s="37" t="s">
        <v>1523</v>
      </c>
      <c r="I1173" s="35"/>
      <c r="J1173" s="35"/>
    </row>
    <row r="1174">
      <c r="A1174" s="32" t="s">
        <v>1986</v>
      </c>
      <c r="B1174" s="32" t="s">
        <v>62</v>
      </c>
      <c r="C1174" s="36" t="s">
        <v>33</v>
      </c>
      <c r="D1174" s="36" t="s">
        <v>33</v>
      </c>
      <c r="E1174" s="36" t="s">
        <v>1068</v>
      </c>
      <c r="F1174" s="34" t="s">
        <v>33</v>
      </c>
      <c r="G1174" s="34" t="s">
        <v>33</v>
      </c>
      <c r="H1174" s="37" t="s">
        <v>1418</v>
      </c>
      <c r="I1174" s="35"/>
      <c r="J1174" s="35"/>
    </row>
    <row r="1175">
      <c r="A1175" s="32" t="s">
        <v>1987</v>
      </c>
      <c r="B1175" s="32" t="s">
        <v>62</v>
      </c>
      <c r="C1175" s="36" t="s">
        <v>33</v>
      </c>
      <c r="D1175" s="36" t="s">
        <v>33</v>
      </c>
      <c r="E1175" s="36" t="s">
        <v>302</v>
      </c>
      <c r="F1175" s="34" t="s">
        <v>33</v>
      </c>
      <c r="G1175" s="34" t="s">
        <v>33</v>
      </c>
      <c r="H1175" s="37" t="s">
        <v>1418</v>
      </c>
      <c r="I1175" s="35"/>
      <c r="J1175" s="35"/>
    </row>
    <row r="1176">
      <c r="A1176" s="32" t="s">
        <v>1988</v>
      </c>
      <c r="B1176" s="32" t="s">
        <v>62</v>
      </c>
      <c r="C1176" s="36" t="s">
        <v>33</v>
      </c>
      <c r="D1176" s="36" t="s">
        <v>33</v>
      </c>
      <c r="E1176" s="36" t="s">
        <v>119</v>
      </c>
      <c r="F1176" s="34" t="s">
        <v>33</v>
      </c>
      <c r="G1176" s="34" t="s">
        <v>33</v>
      </c>
      <c r="H1176" s="37" t="s">
        <v>1312</v>
      </c>
      <c r="I1176" s="35"/>
      <c r="J1176" s="35"/>
    </row>
    <row r="1177">
      <c r="A1177" s="32" t="s">
        <v>1989</v>
      </c>
      <c r="B1177" s="32" t="s">
        <v>62</v>
      </c>
      <c r="C1177" s="36" t="s">
        <v>33</v>
      </c>
      <c r="D1177" s="36" t="s">
        <v>33</v>
      </c>
      <c r="E1177" s="36" t="s">
        <v>49</v>
      </c>
      <c r="F1177" s="34" t="s">
        <v>33</v>
      </c>
      <c r="G1177" s="34" t="s">
        <v>33</v>
      </c>
      <c r="H1177" s="37" t="s">
        <v>1990</v>
      </c>
      <c r="I1177" s="35"/>
      <c r="J1177" s="35"/>
    </row>
    <row r="1178">
      <c r="A1178" s="32" t="s">
        <v>1991</v>
      </c>
      <c r="B1178" s="32" t="s">
        <v>62</v>
      </c>
      <c r="C1178" s="36" t="s">
        <v>33</v>
      </c>
      <c r="D1178" s="36" t="s">
        <v>1068</v>
      </c>
      <c r="E1178" s="36" t="s">
        <v>33</v>
      </c>
      <c r="F1178" s="34" t="s">
        <v>33</v>
      </c>
      <c r="G1178" s="37" t="s">
        <v>281</v>
      </c>
      <c r="H1178" s="34" t="s">
        <v>33</v>
      </c>
      <c r="I1178" s="35"/>
      <c r="J1178" s="35"/>
    </row>
    <row r="1179">
      <c r="A1179" s="32" t="s">
        <v>1992</v>
      </c>
      <c r="B1179" s="32" t="s">
        <v>62</v>
      </c>
      <c r="C1179" s="36" t="s">
        <v>33</v>
      </c>
      <c r="D1179" s="36" t="s">
        <v>33</v>
      </c>
      <c r="E1179" s="36" t="s">
        <v>128</v>
      </c>
      <c r="F1179" s="34" t="s">
        <v>33</v>
      </c>
      <c r="G1179" s="34" t="s">
        <v>33</v>
      </c>
      <c r="H1179" s="37" t="s">
        <v>1993</v>
      </c>
      <c r="I1179" s="35"/>
      <c r="J1179" s="35"/>
    </row>
    <row r="1180">
      <c r="A1180" s="32" t="s">
        <v>1994</v>
      </c>
      <c r="B1180" s="32" t="s">
        <v>62</v>
      </c>
      <c r="C1180" s="36" t="s">
        <v>33</v>
      </c>
      <c r="D1180" s="36" t="s">
        <v>254</v>
      </c>
      <c r="E1180" s="36" t="s">
        <v>33</v>
      </c>
      <c r="F1180" s="34" t="s">
        <v>33</v>
      </c>
      <c r="G1180" s="37" t="s">
        <v>281</v>
      </c>
      <c r="H1180" s="34" t="s">
        <v>33</v>
      </c>
      <c r="I1180" s="35"/>
      <c r="J1180" s="35"/>
    </row>
    <row r="1181">
      <c r="A1181" s="32" t="s">
        <v>1995</v>
      </c>
      <c r="B1181" s="32" t="s">
        <v>62</v>
      </c>
      <c r="C1181" s="36" t="s">
        <v>33</v>
      </c>
      <c r="D1181" s="36" t="s">
        <v>33</v>
      </c>
      <c r="E1181" s="36" t="s">
        <v>851</v>
      </c>
      <c r="F1181" s="34" t="s">
        <v>33</v>
      </c>
      <c r="G1181" s="34" t="s">
        <v>33</v>
      </c>
      <c r="H1181" s="37" t="s">
        <v>1477</v>
      </c>
      <c r="I1181" s="35"/>
      <c r="J1181" s="35"/>
    </row>
    <row r="1182">
      <c r="A1182" s="32" t="s">
        <v>1996</v>
      </c>
      <c r="B1182" s="32" t="s">
        <v>62</v>
      </c>
      <c r="C1182" s="36" t="s">
        <v>33</v>
      </c>
      <c r="D1182" s="36" t="s">
        <v>283</v>
      </c>
      <c r="E1182" s="36" t="s">
        <v>114</v>
      </c>
      <c r="F1182" s="34" t="s">
        <v>33</v>
      </c>
      <c r="G1182" s="37" t="s">
        <v>995</v>
      </c>
      <c r="H1182" s="37" t="s">
        <v>1173</v>
      </c>
      <c r="I1182" s="35"/>
      <c r="J1182" s="35"/>
    </row>
    <row r="1183">
      <c r="A1183" s="32" t="s">
        <v>1997</v>
      </c>
      <c r="B1183" s="32" t="s">
        <v>62</v>
      </c>
      <c r="C1183" s="36" t="s">
        <v>33</v>
      </c>
      <c r="D1183" s="36" t="s">
        <v>545</v>
      </c>
      <c r="E1183" s="36" t="s">
        <v>854</v>
      </c>
      <c r="F1183" s="34" t="s">
        <v>33</v>
      </c>
      <c r="G1183" s="37" t="s">
        <v>1998</v>
      </c>
      <c r="H1183" s="37" t="s">
        <v>1477</v>
      </c>
      <c r="I1183" s="35"/>
      <c r="J1183" s="35"/>
    </row>
    <row r="1184">
      <c r="A1184" s="32" t="s">
        <v>1999</v>
      </c>
      <c r="B1184" s="32" t="s">
        <v>62</v>
      </c>
      <c r="C1184" s="36" t="s">
        <v>33</v>
      </c>
      <c r="D1184" s="36" t="s">
        <v>33</v>
      </c>
      <c r="E1184" s="36" t="s">
        <v>599</v>
      </c>
      <c r="F1184" s="34" t="s">
        <v>33</v>
      </c>
      <c r="G1184" s="34" t="s">
        <v>33</v>
      </c>
      <c r="H1184" s="37" t="s">
        <v>1582</v>
      </c>
      <c r="I1184" s="35"/>
      <c r="J1184" s="35"/>
    </row>
    <row r="1185">
      <c r="A1185" s="32" t="s">
        <v>2000</v>
      </c>
      <c r="B1185" s="32" t="s">
        <v>62</v>
      </c>
      <c r="C1185" s="36" t="s">
        <v>33</v>
      </c>
      <c r="D1185" s="36" t="s">
        <v>114</v>
      </c>
      <c r="E1185" s="36" t="s">
        <v>33</v>
      </c>
      <c r="F1185" s="34" t="s">
        <v>33</v>
      </c>
      <c r="G1185" s="37" t="s">
        <v>1062</v>
      </c>
      <c r="H1185" s="34" t="s">
        <v>33</v>
      </c>
      <c r="I1185" s="35"/>
      <c r="J1185" s="35"/>
    </row>
    <row r="1186">
      <c r="A1186" s="32" t="s">
        <v>2001</v>
      </c>
      <c r="B1186" s="32" t="s">
        <v>62</v>
      </c>
      <c r="C1186" s="36" t="s">
        <v>33</v>
      </c>
      <c r="D1186" s="36" t="s">
        <v>33</v>
      </c>
      <c r="E1186" s="36" t="s">
        <v>173</v>
      </c>
      <c r="F1186" s="34" t="s">
        <v>33</v>
      </c>
      <c r="G1186" s="34" t="s">
        <v>33</v>
      </c>
      <c r="H1186" s="37" t="s">
        <v>1427</v>
      </c>
      <c r="I1186" s="35"/>
      <c r="J1186" s="35"/>
    </row>
    <row r="1187">
      <c r="A1187" s="32" t="s">
        <v>2002</v>
      </c>
      <c r="B1187" s="32" t="s">
        <v>62</v>
      </c>
      <c r="C1187" s="36" t="s">
        <v>33</v>
      </c>
      <c r="D1187" s="36" t="s">
        <v>33</v>
      </c>
      <c r="E1187" s="36" t="s">
        <v>179</v>
      </c>
      <c r="F1187" s="34" t="s">
        <v>33</v>
      </c>
      <c r="G1187" s="34" t="s">
        <v>33</v>
      </c>
      <c r="H1187" s="37" t="s">
        <v>1360</v>
      </c>
      <c r="I1187" s="35"/>
      <c r="J1187" s="35"/>
    </row>
    <row r="1188">
      <c r="A1188" s="32" t="s">
        <v>2003</v>
      </c>
      <c r="B1188" s="32" t="s">
        <v>62</v>
      </c>
      <c r="C1188" s="36" t="s">
        <v>33</v>
      </c>
      <c r="D1188" s="36" t="s">
        <v>33</v>
      </c>
      <c r="E1188" s="36" t="s">
        <v>96</v>
      </c>
      <c r="F1188" s="34" t="s">
        <v>33</v>
      </c>
      <c r="G1188" s="34" t="s">
        <v>33</v>
      </c>
      <c r="H1188" s="37" t="s">
        <v>1305</v>
      </c>
      <c r="I1188" s="35"/>
      <c r="J1188" s="35"/>
    </row>
    <row r="1189">
      <c r="A1189" s="32" t="s">
        <v>2004</v>
      </c>
      <c r="B1189" s="32" t="s">
        <v>62</v>
      </c>
      <c r="C1189" s="36" t="s">
        <v>33</v>
      </c>
      <c r="D1189" s="36" t="s">
        <v>365</v>
      </c>
      <c r="E1189" s="36" t="s">
        <v>33</v>
      </c>
      <c r="F1189" s="34" t="s">
        <v>33</v>
      </c>
      <c r="G1189" s="37" t="s">
        <v>2005</v>
      </c>
      <c r="H1189" s="34" t="s">
        <v>33</v>
      </c>
      <c r="I1189" s="35"/>
      <c r="J1189" s="35"/>
    </row>
    <row r="1190">
      <c r="A1190" s="32" t="s">
        <v>2006</v>
      </c>
      <c r="B1190" s="32" t="s">
        <v>62</v>
      </c>
      <c r="C1190" s="36" t="s">
        <v>33</v>
      </c>
      <c r="D1190" s="36" t="s">
        <v>33</v>
      </c>
      <c r="E1190" s="36" t="s">
        <v>101</v>
      </c>
      <c r="F1190" s="34" t="s">
        <v>33</v>
      </c>
      <c r="G1190" s="34" t="s">
        <v>33</v>
      </c>
      <c r="H1190" s="37" t="s">
        <v>1544</v>
      </c>
      <c r="I1190" s="35"/>
      <c r="J1190" s="35"/>
    </row>
    <row r="1191">
      <c r="A1191" s="32" t="s">
        <v>2007</v>
      </c>
      <c r="B1191" s="32" t="s">
        <v>62</v>
      </c>
      <c r="C1191" s="36" t="s">
        <v>33</v>
      </c>
      <c r="D1191" s="36" t="s">
        <v>33</v>
      </c>
      <c r="E1191" s="36" t="s">
        <v>41</v>
      </c>
      <c r="F1191" s="34" t="s">
        <v>33</v>
      </c>
      <c r="G1191" s="34" t="s">
        <v>33</v>
      </c>
      <c r="H1191" s="37" t="s">
        <v>1858</v>
      </c>
      <c r="I1191" s="35"/>
      <c r="J1191" s="35"/>
    </row>
    <row r="1192">
      <c r="A1192" s="32" t="s">
        <v>2008</v>
      </c>
      <c r="B1192" s="32" t="s">
        <v>62</v>
      </c>
      <c r="C1192" s="36" t="s">
        <v>33</v>
      </c>
      <c r="D1192" s="36" t="s">
        <v>33</v>
      </c>
      <c r="E1192" s="36" t="s">
        <v>218</v>
      </c>
      <c r="F1192" s="34" t="s">
        <v>33</v>
      </c>
      <c r="G1192" s="34" t="s">
        <v>33</v>
      </c>
      <c r="H1192" s="37" t="s">
        <v>1858</v>
      </c>
      <c r="I1192" s="35"/>
      <c r="J1192" s="35"/>
    </row>
    <row r="1193">
      <c r="A1193" s="35"/>
      <c r="B1193" s="35"/>
      <c r="C1193" s="38"/>
      <c r="D1193" s="38"/>
      <c r="E1193" s="38"/>
      <c r="F1193" s="34" t="s">
        <v>33</v>
      </c>
      <c r="G1193" s="34" t="s">
        <v>33</v>
      </c>
      <c r="H1193" s="34" t="s">
        <v>33</v>
      </c>
      <c r="I1193" s="35"/>
      <c r="J1193" s="35"/>
    </row>
    <row r="1194">
      <c r="A1194" s="35"/>
      <c r="B1194" s="35"/>
      <c r="C1194" s="38"/>
      <c r="D1194" s="38"/>
      <c r="E1194" s="38"/>
      <c r="F1194" s="34" t="s">
        <v>33</v>
      </c>
      <c r="G1194" s="34" t="s">
        <v>33</v>
      </c>
      <c r="H1194" s="34" t="s">
        <v>33</v>
      </c>
      <c r="I1194" s="35"/>
      <c r="J1194" s="35"/>
    </row>
  </sheetData>
  <autoFilter ref="$A$1:$J$1194">
    <sortState ref="A1:J1194">
      <sortCondition ref="C1:C1194"/>
      <sortCondition descending="1" ref="B1:B1194"/>
    </sortState>
  </autoFilter>
  <hyperlinks>
    <hyperlink r:id="rId1" ref="F2"/>
    <hyperlink r:id="rId2" ref="G2"/>
    <hyperlink r:id="rId3" ref="H2"/>
    <hyperlink r:id="rId4" ref="F3"/>
    <hyperlink r:id="rId5" ref="H3"/>
    <hyperlink r:id="rId6" ref="F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H9"/>
    <hyperlink r:id="rId17" ref="F10"/>
    <hyperlink r:id="rId18" ref="G10"/>
    <hyperlink r:id="rId19" ref="F11"/>
    <hyperlink r:id="rId20" ref="G11"/>
    <hyperlink r:id="rId21" ref="F12"/>
    <hyperlink r:id="rId22" ref="G12"/>
    <hyperlink r:id="rId23" ref="H12"/>
    <hyperlink r:id="rId24" ref="F13"/>
    <hyperlink r:id="rId25" ref="G13"/>
    <hyperlink r:id="rId26" ref="F14"/>
    <hyperlink r:id="rId27" ref="G14"/>
    <hyperlink r:id="rId28" ref="F15"/>
    <hyperlink r:id="rId29" ref="G15"/>
    <hyperlink r:id="rId30" ref="H15"/>
    <hyperlink r:id="rId31" ref="F16"/>
    <hyperlink r:id="rId32" ref="G16"/>
    <hyperlink r:id="rId33" ref="F17"/>
    <hyperlink r:id="rId34" ref="H17"/>
    <hyperlink r:id="rId35" ref="F18"/>
    <hyperlink r:id="rId36" ref="G18"/>
    <hyperlink r:id="rId37" ref="H18"/>
    <hyperlink r:id="rId38" ref="F19"/>
    <hyperlink r:id="rId39" ref="H19"/>
    <hyperlink r:id="rId40" ref="F20"/>
    <hyperlink r:id="rId41" ref="H20"/>
    <hyperlink r:id="rId42" ref="F21"/>
    <hyperlink r:id="rId43" ref="G21"/>
    <hyperlink r:id="rId44" ref="H21"/>
    <hyperlink r:id="rId45" ref="F22"/>
    <hyperlink r:id="rId46" ref="F23"/>
    <hyperlink r:id="rId47" ref="G23"/>
    <hyperlink r:id="rId48" ref="F24"/>
    <hyperlink r:id="rId49" ref="G24"/>
    <hyperlink r:id="rId50" ref="H24"/>
    <hyperlink r:id="rId51" ref="F25"/>
    <hyperlink r:id="rId52" ref="G25"/>
    <hyperlink r:id="rId53" ref="F26"/>
    <hyperlink r:id="rId54" ref="G26"/>
    <hyperlink r:id="rId55" ref="F27"/>
    <hyperlink r:id="rId56" ref="G27"/>
    <hyperlink r:id="rId57" ref="F28"/>
    <hyperlink r:id="rId58" ref="G28"/>
    <hyperlink r:id="rId59" ref="H28"/>
    <hyperlink r:id="rId60" ref="F29"/>
    <hyperlink r:id="rId61" ref="G29"/>
    <hyperlink r:id="rId62" ref="H29"/>
    <hyperlink r:id="rId63" ref="F30"/>
    <hyperlink r:id="rId64" ref="H30"/>
    <hyperlink r:id="rId65" ref="F31"/>
    <hyperlink r:id="rId66" ref="G31"/>
    <hyperlink r:id="rId67" ref="H31"/>
    <hyperlink r:id="rId68" ref="F32"/>
    <hyperlink r:id="rId69" ref="G32"/>
    <hyperlink r:id="rId70" ref="F33"/>
    <hyperlink r:id="rId71" ref="G33"/>
    <hyperlink r:id="rId72" ref="F34"/>
    <hyperlink r:id="rId73" ref="F35"/>
    <hyperlink r:id="rId74" ref="G35"/>
    <hyperlink r:id="rId75" ref="H35"/>
    <hyperlink r:id="rId76" ref="F36"/>
    <hyperlink r:id="rId77" ref="H36"/>
    <hyperlink r:id="rId78" ref="F37"/>
    <hyperlink r:id="rId79" ref="G37"/>
    <hyperlink r:id="rId80" ref="H37"/>
    <hyperlink r:id="rId81" ref="F38"/>
    <hyperlink r:id="rId82" ref="G38"/>
    <hyperlink r:id="rId83" ref="H38"/>
    <hyperlink r:id="rId84" ref="F39"/>
    <hyperlink r:id="rId85" ref="F40"/>
    <hyperlink r:id="rId86" ref="G40"/>
    <hyperlink r:id="rId87" ref="H40"/>
    <hyperlink r:id="rId88" ref="F41"/>
    <hyperlink r:id="rId89" ref="G41"/>
    <hyperlink r:id="rId90" ref="H41"/>
    <hyperlink r:id="rId91" ref="F42"/>
    <hyperlink r:id="rId92" ref="G42"/>
    <hyperlink r:id="rId93" ref="F43"/>
    <hyperlink r:id="rId94" ref="G43"/>
    <hyperlink r:id="rId95" ref="H43"/>
    <hyperlink r:id="rId96" ref="F44"/>
    <hyperlink r:id="rId97" ref="G44"/>
    <hyperlink r:id="rId98" ref="F45"/>
    <hyperlink r:id="rId99" ref="G45"/>
    <hyperlink r:id="rId100" ref="H45"/>
    <hyperlink r:id="rId101" ref="F46"/>
    <hyperlink r:id="rId102" ref="G46"/>
    <hyperlink r:id="rId103" ref="F47"/>
    <hyperlink r:id="rId104" ref="G47"/>
    <hyperlink r:id="rId105" ref="H47"/>
    <hyperlink r:id="rId106" ref="F48"/>
    <hyperlink r:id="rId107" ref="G48"/>
    <hyperlink r:id="rId108" ref="H48"/>
    <hyperlink r:id="rId109" ref="F49"/>
    <hyperlink r:id="rId110" ref="G49"/>
    <hyperlink r:id="rId111" ref="F50"/>
    <hyperlink r:id="rId112" ref="G50"/>
    <hyperlink r:id="rId113" ref="H50"/>
    <hyperlink r:id="rId114" ref="F51"/>
    <hyperlink r:id="rId115" ref="G51"/>
    <hyperlink r:id="rId116" ref="H51"/>
    <hyperlink r:id="rId117" ref="F52"/>
    <hyperlink r:id="rId118" ref="F53"/>
    <hyperlink r:id="rId119" ref="F54"/>
    <hyperlink r:id="rId120" ref="G54"/>
    <hyperlink r:id="rId121" ref="H54"/>
    <hyperlink r:id="rId122" ref="F55"/>
    <hyperlink r:id="rId123" ref="G55"/>
    <hyperlink r:id="rId124" ref="F56"/>
    <hyperlink r:id="rId125" ref="H56"/>
    <hyperlink r:id="rId126" ref="F57"/>
    <hyperlink r:id="rId127" ref="G57"/>
    <hyperlink r:id="rId128" ref="H57"/>
    <hyperlink r:id="rId129" ref="F58"/>
    <hyperlink r:id="rId130" ref="G58"/>
    <hyperlink r:id="rId131" ref="H58"/>
    <hyperlink r:id="rId132" ref="F59"/>
    <hyperlink r:id="rId133" ref="F60"/>
    <hyperlink r:id="rId134" ref="G60"/>
    <hyperlink r:id="rId135" ref="H60"/>
    <hyperlink r:id="rId136" ref="F61"/>
    <hyperlink r:id="rId137" ref="G61"/>
    <hyperlink r:id="rId138" ref="F62"/>
    <hyperlink r:id="rId139" ref="G62"/>
    <hyperlink r:id="rId140" ref="H62"/>
    <hyperlink r:id="rId141" ref="F63"/>
    <hyperlink r:id="rId142" ref="G63"/>
    <hyperlink r:id="rId143" ref="F64"/>
    <hyperlink r:id="rId144" ref="G64"/>
    <hyperlink r:id="rId145" ref="H64"/>
    <hyperlink r:id="rId146" ref="F65"/>
    <hyperlink r:id="rId147" ref="G65"/>
    <hyperlink r:id="rId148" ref="F66"/>
    <hyperlink r:id="rId149" ref="G66"/>
    <hyperlink r:id="rId150" ref="H66"/>
    <hyperlink r:id="rId151" ref="F67"/>
    <hyperlink r:id="rId152" ref="G67"/>
    <hyperlink r:id="rId153" ref="H67"/>
    <hyperlink r:id="rId154" ref="F68"/>
    <hyperlink r:id="rId155" ref="G68"/>
    <hyperlink r:id="rId156" ref="H68"/>
    <hyperlink r:id="rId157" ref="F69"/>
    <hyperlink r:id="rId158" ref="G69"/>
    <hyperlink r:id="rId159" ref="H69"/>
    <hyperlink r:id="rId160" ref="F70"/>
    <hyperlink r:id="rId161" ref="F71"/>
    <hyperlink r:id="rId162" ref="G71"/>
    <hyperlink r:id="rId163" ref="F72"/>
    <hyperlink r:id="rId164" ref="G72"/>
    <hyperlink r:id="rId165" ref="F73"/>
    <hyperlink r:id="rId166" ref="H73"/>
    <hyperlink r:id="rId167" ref="F74"/>
    <hyperlink r:id="rId168" ref="F75"/>
    <hyperlink r:id="rId169" ref="G75"/>
    <hyperlink r:id="rId170" ref="H75"/>
    <hyperlink r:id="rId171" ref="F76"/>
    <hyperlink r:id="rId172" ref="G76"/>
    <hyperlink r:id="rId173" ref="F77"/>
    <hyperlink r:id="rId174" ref="G77"/>
    <hyperlink r:id="rId175" ref="H77"/>
    <hyperlink r:id="rId176" ref="F78"/>
    <hyperlink r:id="rId177" ref="G78"/>
    <hyperlink r:id="rId178" ref="H78"/>
    <hyperlink r:id="rId179" ref="F79"/>
    <hyperlink r:id="rId180" ref="G79"/>
    <hyperlink r:id="rId181" ref="H79"/>
    <hyperlink r:id="rId182" ref="F80"/>
    <hyperlink r:id="rId183" ref="G80"/>
    <hyperlink r:id="rId184" ref="H80"/>
    <hyperlink r:id="rId185" ref="F81"/>
    <hyperlink r:id="rId186" ref="G81"/>
    <hyperlink r:id="rId187" ref="H81"/>
    <hyperlink r:id="rId188" ref="F82"/>
    <hyperlink r:id="rId189" ref="G82"/>
    <hyperlink r:id="rId190" ref="F83"/>
    <hyperlink r:id="rId191" ref="F84"/>
    <hyperlink r:id="rId192" ref="G84"/>
    <hyperlink r:id="rId193" ref="H84"/>
    <hyperlink r:id="rId194" ref="F85"/>
    <hyperlink r:id="rId195" ref="G85"/>
    <hyperlink r:id="rId196" ref="F86"/>
    <hyperlink r:id="rId197" ref="G86"/>
    <hyperlink r:id="rId198" ref="F87"/>
    <hyperlink r:id="rId199" ref="F88"/>
    <hyperlink r:id="rId200" ref="G88"/>
    <hyperlink r:id="rId201" ref="H88"/>
    <hyperlink r:id="rId202" ref="F89"/>
    <hyperlink r:id="rId203" ref="G89"/>
    <hyperlink r:id="rId204" ref="H89"/>
    <hyperlink r:id="rId205" ref="F90"/>
    <hyperlink r:id="rId206" ref="G90"/>
    <hyperlink r:id="rId207" ref="F91"/>
    <hyperlink r:id="rId208" ref="G91"/>
    <hyperlink r:id="rId209" ref="H91"/>
    <hyperlink r:id="rId210" ref="F92"/>
    <hyperlink r:id="rId211" ref="G92"/>
    <hyperlink r:id="rId212" ref="F93"/>
    <hyperlink r:id="rId213" ref="G93"/>
    <hyperlink r:id="rId214" ref="H93"/>
    <hyperlink r:id="rId215" ref="F94"/>
    <hyperlink r:id="rId216" ref="F95"/>
    <hyperlink r:id="rId217" ref="F96"/>
    <hyperlink r:id="rId218" ref="G96"/>
    <hyperlink r:id="rId219" ref="F97"/>
    <hyperlink r:id="rId220" ref="G97"/>
    <hyperlink r:id="rId221" ref="H97"/>
    <hyperlink r:id="rId222" ref="F98"/>
    <hyperlink r:id="rId223" ref="G98"/>
    <hyperlink r:id="rId224" ref="F99"/>
    <hyperlink r:id="rId225" ref="G99"/>
    <hyperlink r:id="rId226" ref="F100"/>
    <hyperlink r:id="rId227" ref="G100"/>
    <hyperlink r:id="rId228" ref="H100"/>
    <hyperlink r:id="rId229" ref="F101"/>
    <hyperlink r:id="rId230" ref="G101"/>
    <hyperlink r:id="rId231" ref="H101"/>
    <hyperlink r:id="rId232" ref="F102"/>
    <hyperlink r:id="rId233" ref="G102"/>
    <hyperlink r:id="rId234" ref="F103"/>
    <hyperlink r:id="rId235" ref="G103"/>
    <hyperlink r:id="rId236" ref="H103"/>
    <hyperlink r:id="rId237" ref="F104"/>
    <hyperlink r:id="rId238" ref="G104"/>
    <hyperlink r:id="rId239" ref="H104"/>
    <hyperlink r:id="rId240" ref="F105"/>
    <hyperlink r:id="rId241" ref="G105"/>
    <hyperlink r:id="rId242" ref="H105"/>
    <hyperlink r:id="rId243" ref="F106"/>
    <hyperlink r:id="rId244" ref="H106"/>
    <hyperlink r:id="rId245" ref="F107"/>
    <hyperlink r:id="rId246" ref="G107"/>
    <hyperlink r:id="rId247" ref="F108"/>
    <hyperlink r:id="rId248" ref="H108"/>
    <hyperlink r:id="rId249" ref="F109"/>
    <hyperlink r:id="rId250" ref="G109"/>
    <hyperlink r:id="rId251" ref="F110"/>
    <hyperlink r:id="rId252" ref="G110"/>
    <hyperlink r:id="rId253" ref="H110"/>
    <hyperlink r:id="rId254" ref="F111"/>
    <hyperlink r:id="rId255" ref="G111"/>
    <hyperlink r:id="rId256" ref="F112"/>
    <hyperlink r:id="rId257" ref="G112"/>
    <hyperlink r:id="rId258" ref="H112"/>
    <hyperlink r:id="rId259" ref="F113"/>
    <hyperlink r:id="rId260" ref="G113"/>
    <hyperlink r:id="rId261" ref="F114"/>
    <hyperlink r:id="rId262" ref="G114"/>
    <hyperlink r:id="rId263" ref="F115"/>
    <hyperlink r:id="rId264" ref="G115"/>
    <hyperlink r:id="rId265" ref="F116"/>
    <hyperlink r:id="rId266" ref="G116"/>
    <hyperlink r:id="rId267" ref="H116"/>
    <hyperlink r:id="rId268" ref="F117"/>
    <hyperlink r:id="rId269" ref="G117"/>
    <hyperlink r:id="rId270" ref="F118"/>
    <hyperlink r:id="rId271" ref="H118"/>
    <hyperlink r:id="rId272" ref="F119"/>
    <hyperlink r:id="rId273" ref="G119"/>
    <hyperlink r:id="rId274" ref="H119"/>
    <hyperlink r:id="rId275" ref="F120"/>
    <hyperlink r:id="rId276" ref="H120"/>
    <hyperlink r:id="rId277" ref="F121"/>
    <hyperlink r:id="rId278" ref="G121"/>
    <hyperlink r:id="rId279" ref="F122"/>
    <hyperlink r:id="rId280" ref="G122"/>
    <hyperlink r:id="rId281" ref="H122"/>
    <hyperlink r:id="rId282" ref="F123"/>
    <hyperlink r:id="rId283" ref="G123"/>
    <hyperlink r:id="rId284" ref="H123"/>
    <hyperlink r:id="rId285" ref="F124"/>
    <hyperlink r:id="rId286" ref="G124"/>
    <hyperlink r:id="rId287" ref="H124"/>
    <hyperlink r:id="rId288" ref="F125"/>
    <hyperlink r:id="rId289" ref="G125"/>
    <hyperlink r:id="rId290" ref="H125"/>
    <hyperlink r:id="rId291" ref="F126"/>
    <hyperlink r:id="rId292" ref="G126"/>
    <hyperlink r:id="rId293" ref="H126"/>
    <hyperlink r:id="rId294" ref="F127"/>
    <hyperlink r:id="rId295" ref="F128"/>
    <hyperlink r:id="rId296" ref="G128"/>
    <hyperlink r:id="rId297" ref="F129"/>
    <hyperlink r:id="rId298" ref="G129"/>
    <hyperlink r:id="rId299" ref="H129"/>
    <hyperlink r:id="rId300" ref="F130"/>
    <hyperlink r:id="rId301" ref="H130"/>
    <hyperlink r:id="rId302" ref="F131"/>
    <hyperlink r:id="rId303" ref="H131"/>
    <hyperlink r:id="rId304" ref="F132"/>
    <hyperlink r:id="rId305" ref="G132"/>
    <hyperlink r:id="rId306" ref="H132"/>
    <hyperlink r:id="rId307" ref="F133"/>
    <hyperlink r:id="rId308" ref="H133"/>
    <hyperlink r:id="rId309" ref="F134"/>
    <hyperlink r:id="rId310" ref="G134"/>
    <hyperlink r:id="rId311" ref="H134"/>
    <hyperlink r:id="rId312" ref="F135"/>
    <hyperlink r:id="rId313" ref="F136"/>
    <hyperlink r:id="rId314" ref="G136"/>
    <hyperlink r:id="rId315" ref="H136"/>
    <hyperlink r:id="rId316" ref="F137"/>
    <hyperlink r:id="rId317" ref="H137"/>
    <hyperlink r:id="rId318" ref="F138"/>
    <hyperlink r:id="rId319" ref="F139"/>
    <hyperlink r:id="rId320" ref="G139"/>
    <hyperlink r:id="rId321" ref="H139"/>
    <hyperlink r:id="rId322" ref="F140"/>
    <hyperlink r:id="rId323" ref="G140"/>
    <hyperlink r:id="rId324" ref="H140"/>
    <hyperlink r:id="rId325" ref="F141"/>
    <hyperlink r:id="rId326" ref="H141"/>
    <hyperlink r:id="rId327" ref="F142"/>
    <hyperlink r:id="rId328" ref="G142"/>
    <hyperlink r:id="rId329" ref="H142"/>
    <hyperlink r:id="rId330" ref="F143"/>
    <hyperlink r:id="rId331" ref="G143"/>
    <hyperlink r:id="rId332" ref="H143"/>
    <hyperlink r:id="rId333" ref="F144"/>
    <hyperlink r:id="rId334" ref="H144"/>
    <hyperlink r:id="rId335" ref="F145"/>
    <hyperlink r:id="rId336" ref="H145"/>
    <hyperlink r:id="rId337" ref="F146"/>
    <hyperlink r:id="rId338" ref="H146"/>
    <hyperlink r:id="rId339" ref="F147"/>
    <hyperlink r:id="rId340" ref="G147"/>
    <hyperlink r:id="rId341" ref="H147"/>
    <hyperlink r:id="rId342" ref="F148"/>
    <hyperlink r:id="rId343" ref="G148"/>
    <hyperlink r:id="rId344" ref="F149"/>
    <hyperlink r:id="rId345" ref="H149"/>
    <hyperlink r:id="rId346" ref="F150"/>
    <hyperlink r:id="rId347" ref="G150"/>
    <hyperlink r:id="rId348" ref="H150"/>
    <hyperlink r:id="rId349" ref="F151"/>
    <hyperlink r:id="rId350" ref="H151"/>
    <hyperlink r:id="rId351" ref="F152"/>
    <hyperlink r:id="rId352" ref="G152"/>
    <hyperlink r:id="rId353" ref="H152"/>
    <hyperlink r:id="rId354" ref="F153"/>
    <hyperlink r:id="rId355" ref="G153"/>
    <hyperlink r:id="rId356" ref="F154"/>
    <hyperlink r:id="rId357" ref="G154"/>
    <hyperlink r:id="rId358" ref="F155"/>
    <hyperlink r:id="rId359" ref="G155"/>
    <hyperlink r:id="rId360" ref="F156"/>
    <hyperlink r:id="rId361" ref="G156"/>
    <hyperlink r:id="rId362" ref="H156"/>
    <hyperlink r:id="rId363" ref="F157"/>
    <hyperlink r:id="rId364" ref="F158"/>
    <hyperlink r:id="rId365" ref="F159"/>
    <hyperlink r:id="rId366" ref="H159"/>
    <hyperlink r:id="rId367" ref="F160"/>
    <hyperlink r:id="rId368" ref="G160"/>
    <hyperlink r:id="rId369" ref="H160"/>
    <hyperlink r:id="rId370" ref="F161"/>
    <hyperlink r:id="rId371" ref="G161"/>
    <hyperlink r:id="rId372" ref="F162"/>
    <hyperlink r:id="rId373" ref="G162"/>
    <hyperlink r:id="rId374" ref="H162"/>
    <hyperlink r:id="rId375" ref="F163"/>
    <hyperlink r:id="rId376" ref="H163"/>
    <hyperlink r:id="rId377" ref="F164"/>
    <hyperlink r:id="rId378" ref="G164"/>
    <hyperlink r:id="rId379" ref="H164"/>
    <hyperlink r:id="rId380" ref="F165"/>
    <hyperlink r:id="rId381" ref="G165"/>
    <hyperlink r:id="rId382" ref="F166"/>
    <hyperlink r:id="rId383" ref="G166"/>
    <hyperlink r:id="rId384" ref="H166"/>
    <hyperlink r:id="rId385" ref="F167"/>
    <hyperlink r:id="rId386" ref="G167"/>
    <hyperlink r:id="rId387" ref="F168"/>
    <hyperlink r:id="rId388" ref="G168"/>
    <hyperlink r:id="rId389" ref="H168"/>
    <hyperlink r:id="rId390" ref="F169"/>
    <hyperlink r:id="rId391" ref="H169"/>
    <hyperlink r:id="rId392" ref="F170"/>
    <hyperlink r:id="rId393" ref="G170"/>
    <hyperlink r:id="rId394" ref="H170"/>
    <hyperlink r:id="rId395" ref="F171"/>
    <hyperlink r:id="rId396" ref="G171"/>
    <hyperlink r:id="rId397" ref="H171"/>
    <hyperlink r:id="rId398" ref="F172"/>
    <hyperlink r:id="rId399" ref="G172"/>
    <hyperlink r:id="rId400" ref="H172"/>
    <hyperlink r:id="rId401" ref="F173"/>
    <hyperlink r:id="rId402" ref="F174"/>
    <hyperlink r:id="rId403" ref="G174"/>
    <hyperlink r:id="rId404" ref="H174"/>
    <hyperlink r:id="rId405" ref="F175"/>
    <hyperlink r:id="rId406" ref="G175"/>
    <hyperlink r:id="rId407" ref="H175"/>
    <hyperlink r:id="rId408" ref="F176"/>
    <hyperlink r:id="rId409" ref="F177"/>
    <hyperlink r:id="rId410" ref="G177"/>
    <hyperlink r:id="rId411" ref="H177"/>
    <hyperlink r:id="rId412" ref="F178"/>
    <hyperlink r:id="rId413" ref="G178"/>
    <hyperlink r:id="rId414" ref="H178"/>
    <hyperlink r:id="rId415" ref="F179"/>
    <hyperlink r:id="rId416" ref="G179"/>
    <hyperlink r:id="rId417" ref="F180"/>
    <hyperlink r:id="rId418" ref="F181"/>
    <hyperlink r:id="rId419" ref="G181"/>
    <hyperlink r:id="rId420" ref="H181"/>
    <hyperlink r:id="rId421" ref="F182"/>
    <hyperlink r:id="rId422" ref="G182"/>
    <hyperlink r:id="rId423" ref="H182"/>
    <hyperlink r:id="rId424" ref="F183"/>
    <hyperlink r:id="rId425" ref="G183"/>
    <hyperlink r:id="rId426" ref="F184"/>
    <hyperlink r:id="rId427" ref="H184"/>
    <hyperlink r:id="rId428" ref="F185"/>
    <hyperlink r:id="rId429" ref="F186"/>
    <hyperlink r:id="rId430" ref="G186"/>
    <hyperlink r:id="rId431" ref="H186"/>
    <hyperlink r:id="rId432" ref="F187"/>
    <hyperlink r:id="rId433" ref="G187"/>
    <hyperlink r:id="rId434" ref="H187"/>
    <hyperlink r:id="rId435" ref="F188"/>
    <hyperlink r:id="rId436" ref="G188"/>
    <hyperlink r:id="rId437" ref="H188"/>
    <hyperlink r:id="rId438" ref="F189"/>
    <hyperlink r:id="rId439" ref="G189"/>
    <hyperlink r:id="rId440" ref="F190"/>
    <hyperlink r:id="rId441" ref="G190"/>
    <hyperlink r:id="rId442" ref="F191"/>
    <hyperlink r:id="rId443" ref="G191"/>
    <hyperlink r:id="rId444" ref="F192"/>
    <hyperlink r:id="rId445" ref="G192"/>
    <hyperlink r:id="rId446" ref="F193"/>
    <hyperlink r:id="rId447" ref="F194"/>
    <hyperlink r:id="rId448" ref="H194"/>
    <hyperlink r:id="rId449" ref="F195"/>
    <hyperlink r:id="rId450" ref="G195"/>
    <hyperlink r:id="rId451" ref="H195"/>
    <hyperlink r:id="rId452" ref="F196"/>
    <hyperlink r:id="rId453" ref="G196"/>
    <hyperlink r:id="rId454" ref="H196"/>
    <hyperlink r:id="rId455" ref="F197"/>
    <hyperlink r:id="rId456" ref="G197"/>
    <hyperlink r:id="rId457" ref="H197"/>
    <hyperlink r:id="rId458" ref="F198"/>
    <hyperlink r:id="rId459" ref="F199"/>
    <hyperlink r:id="rId460" ref="G199"/>
    <hyperlink r:id="rId461" ref="F200"/>
    <hyperlink r:id="rId462" ref="G200"/>
    <hyperlink r:id="rId463" ref="F201"/>
    <hyperlink r:id="rId464" ref="G201"/>
    <hyperlink r:id="rId465" ref="H201"/>
    <hyperlink r:id="rId466" ref="F202"/>
    <hyperlink r:id="rId467" ref="G202"/>
    <hyperlink r:id="rId468" ref="H202"/>
    <hyperlink r:id="rId469" ref="F203"/>
    <hyperlink r:id="rId470" ref="G203"/>
    <hyperlink r:id="rId471" ref="H203"/>
    <hyperlink r:id="rId472" ref="F204"/>
    <hyperlink r:id="rId473" ref="G204"/>
    <hyperlink r:id="rId474" ref="H204"/>
    <hyperlink r:id="rId475" ref="F205"/>
    <hyperlink r:id="rId476" ref="G205"/>
    <hyperlink r:id="rId477" ref="H205"/>
    <hyperlink r:id="rId478" ref="F206"/>
    <hyperlink r:id="rId479" ref="G206"/>
    <hyperlink r:id="rId480" ref="H206"/>
    <hyperlink r:id="rId481" ref="F207"/>
    <hyperlink r:id="rId482" ref="F208"/>
    <hyperlink r:id="rId483" ref="G208"/>
    <hyperlink r:id="rId484" ref="H208"/>
    <hyperlink r:id="rId485" ref="F209"/>
    <hyperlink r:id="rId486" ref="G209"/>
    <hyperlink r:id="rId487" ref="H209"/>
    <hyperlink r:id="rId488" ref="F210"/>
    <hyperlink r:id="rId489" ref="G210"/>
    <hyperlink r:id="rId490" ref="H210"/>
    <hyperlink r:id="rId491" ref="F211"/>
    <hyperlink r:id="rId492" ref="G211"/>
    <hyperlink r:id="rId493" ref="H211"/>
    <hyperlink r:id="rId494" ref="F212"/>
    <hyperlink r:id="rId495" ref="G212"/>
    <hyperlink r:id="rId496" ref="H212"/>
    <hyperlink r:id="rId497" ref="F213"/>
    <hyperlink r:id="rId498" ref="G213"/>
    <hyperlink r:id="rId499" ref="F214"/>
    <hyperlink r:id="rId500" ref="G214"/>
    <hyperlink r:id="rId501" ref="H214"/>
    <hyperlink r:id="rId502" ref="F215"/>
    <hyperlink r:id="rId503" ref="G215"/>
    <hyperlink r:id="rId504" ref="H215"/>
    <hyperlink r:id="rId505" ref="F216"/>
    <hyperlink r:id="rId506" ref="F217"/>
    <hyperlink r:id="rId507" ref="G217"/>
    <hyperlink r:id="rId508" ref="F218"/>
    <hyperlink r:id="rId509" ref="F219"/>
    <hyperlink r:id="rId510" ref="H219"/>
    <hyperlink r:id="rId511" ref="F220"/>
    <hyperlink r:id="rId512" ref="G220"/>
    <hyperlink r:id="rId513" ref="H220"/>
    <hyperlink r:id="rId514" ref="F221"/>
    <hyperlink r:id="rId515" ref="G221"/>
    <hyperlink r:id="rId516" ref="F222"/>
    <hyperlink r:id="rId517" ref="G222"/>
    <hyperlink r:id="rId518" ref="H222"/>
    <hyperlink r:id="rId519" ref="F223"/>
    <hyperlink r:id="rId520" ref="G223"/>
    <hyperlink r:id="rId521" ref="H223"/>
    <hyperlink r:id="rId522" ref="F224"/>
    <hyperlink r:id="rId523" ref="G224"/>
    <hyperlink r:id="rId524" ref="H224"/>
    <hyperlink r:id="rId525" ref="F225"/>
    <hyperlink r:id="rId526" ref="H225"/>
    <hyperlink r:id="rId527" ref="F226"/>
    <hyperlink r:id="rId528" ref="G226"/>
    <hyperlink r:id="rId529" ref="H226"/>
    <hyperlink r:id="rId530" ref="F227"/>
    <hyperlink r:id="rId531" ref="G227"/>
    <hyperlink r:id="rId532" ref="H227"/>
    <hyperlink r:id="rId533" ref="F228"/>
    <hyperlink r:id="rId534" ref="F229"/>
    <hyperlink r:id="rId535" ref="G229"/>
    <hyperlink r:id="rId536" ref="F230"/>
    <hyperlink r:id="rId537" ref="G230"/>
    <hyperlink r:id="rId538" ref="H230"/>
    <hyperlink r:id="rId539" ref="F231"/>
    <hyperlink r:id="rId540" ref="G231"/>
    <hyperlink r:id="rId541" ref="H231"/>
    <hyperlink r:id="rId542" ref="F232"/>
    <hyperlink r:id="rId543" ref="G232"/>
    <hyperlink r:id="rId544" ref="F233"/>
    <hyperlink r:id="rId545" ref="F234"/>
    <hyperlink r:id="rId546" ref="H234"/>
    <hyperlink r:id="rId547" ref="F235"/>
    <hyperlink r:id="rId548" ref="G235"/>
    <hyperlink r:id="rId549" ref="H235"/>
    <hyperlink r:id="rId550" ref="F236"/>
    <hyperlink r:id="rId551" ref="H236"/>
    <hyperlink r:id="rId552" ref="F237"/>
    <hyperlink r:id="rId553" ref="G237"/>
    <hyperlink r:id="rId554" ref="H237"/>
    <hyperlink r:id="rId555" ref="F238"/>
    <hyperlink r:id="rId556" ref="G238"/>
    <hyperlink r:id="rId557" ref="H238"/>
    <hyperlink r:id="rId558" ref="F239"/>
    <hyperlink r:id="rId559" ref="G239"/>
    <hyperlink r:id="rId560" ref="H239"/>
    <hyperlink r:id="rId561" ref="F240"/>
    <hyperlink r:id="rId562" ref="G240"/>
    <hyperlink r:id="rId563" ref="H240"/>
    <hyperlink r:id="rId564" ref="F241"/>
    <hyperlink r:id="rId565" ref="F242"/>
    <hyperlink r:id="rId566" ref="G242"/>
    <hyperlink r:id="rId567" ref="H242"/>
    <hyperlink r:id="rId568" ref="F243"/>
    <hyperlink r:id="rId569" ref="F244"/>
    <hyperlink r:id="rId570" ref="G244"/>
    <hyperlink r:id="rId571" ref="H244"/>
    <hyperlink r:id="rId572" ref="F245"/>
    <hyperlink r:id="rId573" ref="G245"/>
    <hyperlink r:id="rId574" ref="H245"/>
    <hyperlink r:id="rId575" ref="F246"/>
    <hyperlink r:id="rId576" ref="G246"/>
    <hyperlink r:id="rId577" ref="F247"/>
    <hyperlink r:id="rId578" ref="G247"/>
    <hyperlink r:id="rId579" ref="H247"/>
    <hyperlink r:id="rId580" ref="F248"/>
    <hyperlink r:id="rId581" ref="G248"/>
    <hyperlink r:id="rId582" ref="H248"/>
    <hyperlink r:id="rId583" ref="F249"/>
    <hyperlink r:id="rId584" ref="F250"/>
    <hyperlink r:id="rId585" ref="G250"/>
    <hyperlink r:id="rId586" ref="H250"/>
    <hyperlink r:id="rId587" ref="F251"/>
    <hyperlink r:id="rId588" ref="G251"/>
    <hyperlink r:id="rId589" ref="F252"/>
    <hyperlink r:id="rId590" ref="G252"/>
    <hyperlink r:id="rId591" ref="F253"/>
    <hyperlink r:id="rId592" ref="G253"/>
    <hyperlink r:id="rId593" ref="H253"/>
    <hyperlink r:id="rId594" ref="F254"/>
    <hyperlink r:id="rId595" ref="F255"/>
    <hyperlink r:id="rId596" ref="G255"/>
    <hyperlink r:id="rId597" ref="F256"/>
    <hyperlink r:id="rId598" ref="F257"/>
    <hyperlink r:id="rId599" ref="G257"/>
    <hyperlink r:id="rId600" ref="F258"/>
    <hyperlink r:id="rId601" ref="F259"/>
    <hyperlink r:id="rId602" ref="H259"/>
    <hyperlink r:id="rId603" ref="F260"/>
    <hyperlink r:id="rId604" ref="G260"/>
    <hyperlink r:id="rId605" ref="H260"/>
    <hyperlink r:id="rId606" ref="F261"/>
    <hyperlink r:id="rId607" ref="G261"/>
    <hyperlink r:id="rId608" ref="F262"/>
    <hyperlink r:id="rId609" ref="H262"/>
    <hyperlink r:id="rId610" ref="F263"/>
    <hyperlink r:id="rId611" ref="G263"/>
    <hyperlink r:id="rId612" ref="H263"/>
    <hyperlink r:id="rId613" ref="F264"/>
    <hyperlink r:id="rId614" ref="G264"/>
    <hyperlink r:id="rId615" ref="F265"/>
    <hyperlink r:id="rId616" ref="G265"/>
    <hyperlink r:id="rId617" ref="H265"/>
    <hyperlink r:id="rId618" ref="F266"/>
    <hyperlink r:id="rId619" ref="H266"/>
    <hyperlink r:id="rId620" ref="F267"/>
    <hyperlink r:id="rId621" ref="H267"/>
    <hyperlink r:id="rId622" ref="F268"/>
    <hyperlink r:id="rId623" ref="G268"/>
    <hyperlink r:id="rId624" ref="H268"/>
    <hyperlink r:id="rId625" ref="F269"/>
    <hyperlink r:id="rId626" ref="G269"/>
    <hyperlink r:id="rId627" ref="F270"/>
    <hyperlink r:id="rId628" ref="G270"/>
    <hyperlink r:id="rId629" ref="F271"/>
    <hyperlink r:id="rId630" ref="G271"/>
    <hyperlink r:id="rId631" ref="F272"/>
    <hyperlink r:id="rId632" ref="G272"/>
    <hyperlink r:id="rId633" ref="H272"/>
    <hyperlink r:id="rId634" ref="F273"/>
    <hyperlink r:id="rId635" ref="H273"/>
    <hyperlink r:id="rId636" ref="F274"/>
    <hyperlink r:id="rId637" ref="H274"/>
    <hyperlink r:id="rId638" ref="F275"/>
    <hyperlink r:id="rId639" ref="F276"/>
    <hyperlink r:id="rId640" ref="G276"/>
    <hyperlink r:id="rId641" ref="H276"/>
    <hyperlink r:id="rId642" ref="F277"/>
    <hyperlink r:id="rId643" ref="G277"/>
    <hyperlink r:id="rId644" ref="F278"/>
    <hyperlink r:id="rId645" ref="G278"/>
    <hyperlink r:id="rId646" ref="H278"/>
    <hyperlink r:id="rId647" ref="F279"/>
    <hyperlink r:id="rId648" ref="G279"/>
    <hyperlink r:id="rId649" ref="F280"/>
    <hyperlink r:id="rId650" ref="G280"/>
    <hyperlink r:id="rId651" ref="H280"/>
    <hyperlink r:id="rId652" ref="F281"/>
    <hyperlink r:id="rId653" ref="G281"/>
    <hyperlink r:id="rId654" ref="F282"/>
    <hyperlink r:id="rId655" ref="G282"/>
    <hyperlink r:id="rId656" ref="H282"/>
    <hyperlink r:id="rId657" ref="F283"/>
    <hyperlink r:id="rId658" ref="G283"/>
    <hyperlink r:id="rId659" ref="F284"/>
    <hyperlink r:id="rId660" ref="G284"/>
    <hyperlink r:id="rId661" ref="F285"/>
    <hyperlink r:id="rId662" ref="G285"/>
    <hyperlink r:id="rId663" ref="H285"/>
    <hyperlink r:id="rId664" ref="F286"/>
    <hyperlink r:id="rId665" ref="G286"/>
    <hyperlink r:id="rId666" ref="F287"/>
    <hyperlink r:id="rId667" ref="G287"/>
    <hyperlink r:id="rId668" ref="F288"/>
    <hyperlink r:id="rId669" ref="F289"/>
    <hyperlink r:id="rId670" ref="F290"/>
    <hyperlink r:id="rId671" ref="G290"/>
    <hyperlink r:id="rId672" ref="H290"/>
    <hyperlink r:id="rId673" ref="F291"/>
    <hyperlink r:id="rId674" ref="H291"/>
    <hyperlink r:id="rId675" ref="F292"/>
    <hyperlink r:id="rId676" ref="F293"/>
    <hyperlink r:id="rId677" ref="G293"/>
    <hyperlink r:id="rId678" ref="F294"/>
    <hyperlink r:id="rId679" ref="G294"/>
    <hyperlink r:id="rId680" ref="H294"/>
    <hyperlink r:id="rId681" ref="F295"/>
    <hyperlink r:id="rId682" ref="G295"/>
    <hyperlink r:id="rId683" ref="H295"/>
    <hyperlink r:id="rId684" ref="F296"/>
    <hyperlink r:id="rId685" ref="F297"/>
    <hyperlink r:id="rId686" ref="F298"/>
    <hyperlink r:id="rId687" ref="G298"/>
    <hyperlink r:id="rId688" ref="H298"/>
    <hyperlink r:id="rId689" ref="F299"/>
    <hyperlink r:id="rId690" ref="F300"/>
    <hyperlink r:id="rId691" ref="G300"/>
    <hyperlink r:id="rId692" ref="F301"/>
    <hyperlink r:id="rId693" ref="G301"/>
    <hyperlink r:id="rId694" ref="H301"/>
    <hyperlink r:id="rId695" ref="F302"/>
    <hyperlink r:id="rId696" ref="G302"/>
    <hyperlink r:id="rId697" ref="H302"/>
    <hyperlink r:id="rId698" ref="F303"/>
    <hyperlink r:id="rId699" ref="F304"/>
    <hyperlink r:id="rId700" ref="G304"/>
    <hyperlink r:id="rId701" ref="H304"/>
    <hyperlink r:id="rId702" ref="F305"/>
    <hyperlink r:id="rId703" ref="H305"/>
    <hyperlink r:id="rId704" ref="F306"/>
    <hyperlink r:id="rId705" ref="G306"/>
    <hyperlink r:id="rId706" ref="H306"/>
    <hyperlink r:id="rId707" ref="F307"/>
    <hyperlink r:id="rId708" ref="G307"/>
    <hyperlink r:id="rId709" ref="F308"/>
    <hyperlink r:id="rId710" ref="F309"/>
    <hyperlink r:id="rId711" ref="F310"/>
    <hyperlink r:id="rId712" ref="G310"/>
    <hyperlink r:id="rId713" ref="F311"/>
    <hyperlink r:id="rId714" ref="G311"/>
    <hyperlink r:id="rId715" ref="F312"/>
    <hyperlink r:id="rId716" ref="G312"/>
    <hyperlink r:id="rId717" ref="F313"/>
    <hyperlink r:id="rId718" ref="G313"/>
    <hyperlink r:id="rId719" ref="H313"/>
    <hyperlink r:id="rId720" ref="F314"/>
    <hyperlink r:id="rId721" ref="H314"/>
    <hyperlink r:id="rId722" ref="F315"/>
    <hyperlink r:id="rId723" ref="F316"/>
    <hyperlink r:id="rId724" ref="G316"/>
    <hyperlink r:id="rId725" ref="H316"/>
    <hyperlink r:id="rId726" ref="F317"/>
    <hyperlink r:id="rId727" ref="G317"/>
    <hyperlink r:id="rId728" ref="H317"/>
    <hyperlink r:id="rId729" ref="F318"/>
    <hyperlink r:id="rId730" ref="F319"/>
    <hyperlink r:id="rId731" ref="G319"/>
    <hyperlink r:id="rId732" ref="H319"/>
    <hyperlink r:id="rId733" ref="F320"/>
    <hyperlink r:id="rId734" ref="H320"/>
    <hyperlink r:id="rId735" ref="F321"/>
    <hyperlink r:id="rId736" ref="G321"/>
    <hyperlink r:id="rId737" ref="F322"/>
    <hyperlink r:id="rId738" ref="H322"/>
    <hyperlink r:id="rId739" ref="F323"/>
    <hyperlink r:id="rId740" ref="H323"/>
    <hyperlink r:id="rId741" ref="F324"/>
    <hyperlink r:id="rId742" ref="H324"/>
    <hyperlink r:id="rId743" ref="F325"/>
    <hyperlink r:id="rId744" ref="F326"/>
    <hyperlink r:id="rId745" ref="F327"/>
    <hyperlink r:id="rId746" ref="G327"/>
    <hyperlink r:id="rId747" ref="H327"/>
    <hyperlink r:id="rId748" ref="F328"/>
    <hyperlink r:id="rId749" ref="G328"/>
    <hyperlink r:id="rId750" ref="H328"/>
    <hyperlink r:id="rId751" ref="F329"/>
    <hyperlink r:id="rId752" ref="G329"/>
    <hyperlink r:id="rId753" ref="H329"/>
    <hyperlink r:id="rId754" ref="F330"/>
    <hyperlink r:id="rId755" ref="G330"/>
    <hyperlink r:id="rId756" ref="H330"/>
    <hyperlink r:id="rId757" ref="F331"/>
    <hyperlink r:id="rId758" ref="F332"/>
    <hyperlink r:id="rId759" ref="F333"/>
    <hyperlink r:id="rId760" ref="G333"/>
    <hyperlink r:id="rId761" ref="F334"/>
    <hyperlink r:id="rId762" ref="F335"/>
    <hyperlink r:id="rId763" ref="H335"/>
    <hyperlink r:id="rId764" ref="F336"/>
    <hyperlink r:id="rId765" ref="G336"/>
    <hyperlink r:id="rId766" ref="H336"/>
    <hyperlink r:id="rId767" ref="F337"/>
    <hyperlink r:id="rId768" ref="G337"/>
    <hyperlink r:id="rId769" ref="H337"/>
    <hyperlink r:id="rId770" ref="F338"/>
    <hyperlink r:id="rId771" ref="G338"/>
    <hyperlink r:id="rId772" ref="F339"/>
    <hyperlink r:id="rId773" ref="G339"/>
    <hyperlink r:id="rId774" ref="F340"/>
    <hyperlink r:id="rId775" ref="G340"/>
    <hyperlink r:id="rId776" ref="F341"/>
    <hyperlink r:id="rId777" ref="G341"/>
    <hyperlink r:id="rId778" ref="H341"/>
    <hyperlink r:id="rId779" ref="F342"/>
    <hyperlink r:id="rId780" ref="G342"/>
    <hyperlink r:id="rId781" ref="H342"/>
    <hyperlink r:id="rId782" ref="F343"/>
    <hyperlink r:id="rId783" ref="F344"/>
    <hyperlink r:id="rId784" ref="G344"/>
    <hyperlink r:id="rId785" ref="F345"/>
    <hyperlink r:id="rId786" ref="G345"/>
    <hyperlink r:id="rId787" ref="F346"/>
    <hyperlink r:id="rId788" ref="G346"/>
    <hyperlink r:id="rId789" ref="H346"/>
    <hyperlink r:id="rId790" ref="F347"/>
    <hyperlink r:id="rId791" ref="H347"/>
    <hyperlink r:id="rId792" ref="F348"/>
    <hyperlink r:id="rId793" ref="G348"/>
    <hyperlink r:id="rId794" ref="F349"/>
    <hyperlink r:id="rId795" ref="G349"/>
    <hyperlink r:id="rId796" ref="H349"/>
    <hyperlink r:id="rId797" ref="F350"/>
    <hyperlink r:id="rId798" ref="F351"/>
    <hyperlink r:id="rId799" ref="G351"/>
    <hyperlink r:id="rId800" ref="H351"/>
    <hyperlink r:id="rId801" ref="F352"/>
    <hyperlink r:id="rId802" ref="F353"/>
    <hyperlink r:id="rId803" ref="F354"/>
    <hyperlink r:id="rId804" ref="H354"/>
    <hyperlink r:id="rId805" ref="F355"/>
    <hyperlink r:id="rId806" ref="F356"/>
    <hyperlink r:id="rId807" ref="G356"/>
    <hyperlink r:id="rId808" ref="H356"/>
    <hyperlink r:id="rId809" ref="F357"/>
    <hyperlink r:id="rId810" ref="G357"/>
    <hyperlink r:id="rId811" ref="F358"/>
    <hyperlink r:id="rId812" ref="G358"/>
    <hyperlink r:id="rId813" ref="H358"/>
    <hyperlink r:id="rId814" ref="F359"/>
    <hyperlink r:id="rId815" ref="G359"/>
    <hyperlink r:id="rId816" ref="H359"/>
    <hyperlink r:id="rId817" ref="F360"/>
    <hyperlink r:id="rId818" ref="G360"/>
    <hyperlink r:id="rId819" ref="H360"/>
    <hyperlink r:id="rId820" ref="F361"/>
    <hyperlink r:id="rId821" ref="G361"/>
    <hyperlink r:id="rId822" ref="F362"/>
    <hyperlink r:id="rId823" ref="F363"/>
    <hyperlink r:id="rId824" ref="H363"/>
    <hyperlink r:id="rId825" ref="F364"/>
    <hyperlink r:id="rId826" ref="F365"/>
    <hyperlink r:id="rId827" ref="G365"/>
    <hyperlink r:id="rId828" ref="H365"/>
    <hyperlink r:id="rId829" ref="F366"/>
    <hyperlink r:id="rId830" ref="G366"/>
    <hyperlink r:id="rId831" ref="H366"/>
    <hyperlink r:id="rId832" ref="F367"/>
    <hyperlink r:id="rId833" ref="H367"/>
    <hyperlink r:id="rId834" ref="F368"/>
    <hyperlink r:id="rId835" ref="G368"/>
    <hyperlink r:id="rId836" ref="H368"/>
    <hyperlink r:id="rId837" ref="F369"/>
    <hyperlink r:id="rId838" ref="F370"/>
    <hyperlink r:id="rId839" ref="G370"/>
    <hyperlink r:id="rId840" ref="F371"/>
    <hyperlink r:id="rId841" ref="G371"/>
    <hyperlink r:id="rId842" ref="H371"/>
    <hyperlink r:id="rId843" ref="F372"/>
    <hyperlink r:id="rId844" ref="G372"/>
    <hyperlink r:id="rId845" ref="F373"/>
    <hyperlink r:id="rId846" ref="G373"/>
    <hyperlink r:id="rId847" ref="F374"/>
    <hyperlink r:id="rId848" ref="H374"/>
    <hyperlink r:id="rId849" ref="F375"/>
    <hyperlink r:id="rId850" ref="G375"/>
    <hyperlink r:id="rId851" ref="H375"/>
    <hyperlink r:id="rId852" ref="F376"/>
    <hyperlink r:id="rId853" ref="G376"/>
    <hyperlink r:id="rId854" ref="F377"/>
    <hyperlink r:id="rId855" ref="G377"/>
    <hyperlink r:id="rId856" ref="H377"/>
    <hyperlink r:id="rId857" ref="F378"/>
    <hyperlink r:id="rId858" ref="G378"/>
    <hyperlink r:id="rId859" ref="H378"/>
    <hyperlink r:id="rId860" ref="F379"/>
    <hyperlink r:id="rId861" ref="G379"/>
    <hyperlink r:id="rId862" ref="H379"/>
    <hyperlink r:id="rId863" ref="F380"/>
    <hyperlink r:id="rId864" ref="F381"/>
    <hyperlink r:id="rId865" ref="G381"/>
    <hyperlink r:id="rId866" ref="H381"/>
    <hyperlink r:id="rId867" ref="F382"/>
    <hyperlink r:id="rId868" ref="G382"/>
    <hyperlink r:id="rId869" ref="F383"/>
    <hyperlink r:id="rId870" ref="H383"/>
    <hyperlink r:id="rId871" ref="F384"/>
    <hyperlink r:id="rId872" ref="H384"/>
    <hyperlink r:id="rId873" ref="F385"/>
    <hyperlink r:id="rId874" ref="F386"/>
    <hyperlink r:id="rId875" ref="F387"/>
    <hyperlink r:id="rId876" ref="H387"/>
    <hyperlink r:id="rId877" ref="F388"/>
    <hyperlink r:id="rId878" ref="G388"/>
    <hyperlink r:id="rId879" ref="H388"/>
    <hyperlink r:id="rId880" ref="F389"/>
    <hyperlink r:id="rId881" ref="G389"/>
    <hyperlink r:id="rId882" ref="F390"/>
    <hyperlink r:id="rId883" ref="H390"/>
    <hyperlink r:id="rId884" ref="F391"/>
    <hyperlink r:id="rId885" ref="F392"/>
    <hyperlink r:id="rId886" ref="H392"/>
    <hyperlink r:id="rId887" ref="F393"/>
    <hyperlink r:id="rId888" ref="G393"/>
    <hyperlink r:id="rId889" ref="H393"/>
    <hyperlink r:id="rId890" ref="F394"/>
    <hyperlink r:id="rId891" ref="G394"/>
    <hyperlink r:id="rId892" ref="H394"/>
    <hyperlink r:id="rId893" ref="F395"/>
    <hyperlink r:id="rId894" ref="G395"/>
    <hyperlink r:id="rId895" ref="F396"/>
    <hyperlink r:id="rId896" ref="F397"/>
    <hyperlink r:id="rId897" ref="F398"/>
    <hyperlink r:id="rId898" ref="G398"/>
    <hyperlink r:id="rId899" ref="H398"/>
    <hyperlink r:id="rId900" ref="F399"/>
    <hyperlink r:id="rId901" ref="G399"/>
    <hyperlink r:id="rId902" ref="H399"/>
    <hyperlink r:id="rId903" ref="F400"/>
    <hyperlink r:id="rId904" ref="F401"/>
    <hyperlink r:id="rId905" ref="G401"/>
    <hyperlink r:id="rId906" ref="H401"/>
    <hyperlink r:id="rId907" ref="F402"/>
    <hyperlink r:id="rId908" ref="G402"/>
    <hyperlink r:id="rId909" ref="H402"/>
    <hyperlink r:id="rId910" ref="F403"/>
    <hyperlink r:id="rId911" ref="G403"/>
    <hyperlink r:id="rId912" ref="F404"/>
    <hyperlink r:id="rId913" ref="G404"/>
    <hyperlink r:id="rId914" ref="H404"/>
    <hyperlink r:id="rId915" ref="F405"/>
    <hyperlink r:id="rId916" ref="G405"/>
    <hyperlink r:id="rId917" ref="H405"/>
    <hyperlink r:id="rId918" ref="F406"/>
    <hyperlink r:id="rId919" ref="G406"/>
    <hyperlink r:id="rId920" ref="F407"/>
    <hyperlink r:id="rId921" ref="F408"/>
    <hyperlink r:id="rId922" ref="G408"/>
    <hyperlink r:id="rId923" ref="H408"/>
    <hyperlink r:id="rId924" ref="F409"/>
    <hyperlink r:id="rId925" ref="G409"/>
    <hyperlink r:id="rId926" ref="F410"/>
    <hyperlink r:id="rId927" ref="G410"/>
    <hyperlink r:id="rId928" ref="F411"/>
    <hyperlink r:id="rId929" ref="G411"/>
    <hyperlink r:id="rId930" ref="H411"/>
    <hyperlink r:id="rId931" ref="F412"/>
    <hyperlink r:id="rId932" ref="H412"/>
    <hyperlink r:id="rId933" ref="F413"/>
    <hyperlink r:id="rId934" ref="G413"/>
    <hyperlink r:id="rId935" ref="F414"/>
    <hyperlink r:id="rId936" ref="G414"/>
    <hyperlink r:id="rId937" ref="F415"/>
    <hyperlink r:id="rId938" ref="G415"/>
    <hyperlink r:id="rId939" ref="F416"/>
    <hyperlink r:id="rId940" ref="G416"/>
    <hyperlink r:id="rId941" ref="F417"/>
    <hyperlink r:id="rId942" ref="G417"/>
    <hyperlink r:id="rId943" ref="F418"/>
    <hyperlink r:id="rId944" ref="H418"/>
    <hyperlink r:id="rId945" ref="F419"/>
    <hyperlink r:id="rId946" ref="G419"/>
    <hyperlink r:id="rId947" ref="H419"/>
    <hyperlink r:id="rId948" ref="F420"/>
    <hyperlink r:id="rId949" ref="G420"/>
    <hyperlink r:id="rId950" ref="F421"/>
    <hyperlink r:id="rId951" ref="G421"/>
    <hyperlink r:id="rId952" ref="H421"/>
    <hyperlink r:id="rId953" ref="F422"/>
    <hyperlink r:id="rId954" ref="G422"/>
    <hyperlink r:id="rId955" ref="H422"/>
    <hyperlink r:id="rId956" ref="F423"/>
    <hyperlink r:id="rId957" ref="F424"/>
    <hyperlink r:id="rId958" ref="G424"/>
    <hyperlink r:id="rId959" ref="H424"/>
    <hyperlink r:id="rId960" ref="F425"/>
    <hyperlink r:id="rId961" ref="G425"/>
    <hyperlink r:id="rId962" ref="H425"/>
    <hyperlink r:id="rId963" ref="F426"/>
    <hyperlink r:id="rId964" ref="F427"/>
    <hyperlink r:id="rId965" ref="G427"/>
    <hyperlink r:id="rId966" ref="H427"/>
    <hyperlink r:id="rId967" ref="F428"/>
    <hyperlink r:id="rId968" ref="F429"/>
    <hyperlink r:id="rId969" ref="F430"/>
    <hyperlink r:id="rId970" ref="F431"/>
    <hyperlink r:id="rId971" ref="G431"/>
    <hyperlink r:id="rId972" ref="H431"/>
    <hyperlink r:id="rId973" ref="F432"/>
    <hyperlink r:id="rId974" ref="H432"/>
    <hyperlink r:id="rId975" ref="F433"/>
    <hyperlink r:id="rId976" ref="G433"/>
    <hyperlink r:id="rId977" ref="F434"/>
    <hyperlink r:id="rId978" ref="G434"/>
    <hyperlink r:id="rId979" ref="H434"/>
    <hyperlink r:id="rId980" ref="F435"/>
    <hyperlink r:id="rId981" ref="G435"/>
    <hyperlink r:id="rId982" ref="F436"/>
    <hyperlink r:id="rId983" ref="H436"/>
    <hyperlink r:id="rId984" ref="F437"/>
    <hyperlink r:id="rId985" ref="G437"/>
    <hyperlink r:id="rId986" ref="H437"/>
    <hyperlink r:id="rId987" ref="F438"/>
    <hyperlink r:id="rId988" ref="F439"/>
    <hyperlink r:id="rId989" ref="G439"/>
    <hyperlink r:id="rId990" ref="H439"/>
    <hyperlink r:id="rId991" ref="F440"/>
    <hyperlink r:id="rId992" ref="G440"/>
    <hyperlink r:id="rId993" ref="H440"/>
    <hyperlink r:id="rId994" ref="F441"/>
    <hyperlink r:id="rId995" ref="G441"/>
    <hyperlink r:id="rId996" ref="F442"/>
    <hyperlink r:id="rId997" ref="F443"/>
    <hyperlink r:id="rId998" ref="H443"/>
    <hyperlink r:id="rId999" ref="F444"/>
    <hyperlink r:id="rId1000" ref="G444"/>
    <hyperlink r:id="rId1001" ref="F445"/>
    <hyperlink r:id="rId1002" ref="F446"/>
    <hyperlink r:id="rId1003" ref="F447"/>
    <hyperlink r:id="rId1004" ref="G447"/>
    <hyperlink r:id="rId1005" ref="H447"/>
    <hyperlink r:id="rId1006" ref="F448"/>
    <hyperlink r:id="rId1007" ref="G448"/>
    <hyperlink r:id="rId1008" ref="H448"/>
    <hyperlink r:id="rId1009" ref="F449"/>
    <hyperlink r:id="rId1010" ref="H449"/>
    <hyperlink r:id="rId1011" ref="F450"/>
    <hyperlink r:id="rId1012" ref="G450"/>
    <hyperlink r:id="rId1013" ref="H450"/>
    <hyperlink r:id="rId1014" ref="F451"/>
    <hyperlink r:id="rId1015" ref="G451"/>
    <hyperlink r:id="rId1016" ref="H451"/>
    <hyperlink r:id="rId1017" ref="F452"/>
    <hyperlink r:id="rId1018" ref="G452"/>
    <hyperlink r:id="rId1019" ref="F453"/>
    <hyperlink r:id="rId1020" ref="G453"/>
    <hyperlink r:id="rId1021" ref="H453"/>
    <hyperlink r:id="rId1022" ref="F454"/>
    <hyperlink r:id="rId1023" ref="G454"/>
    <hyperlink r:id="rId1024" ref="H454"/>
    <hyperlink r:id="rId1025" ref="F455"/>
    <hyperlink r:id="rId1026" ref="G455"/>
    <hyperlink r:id="rId1027" ref="H455"/>
    <hyperlink r:id="rId1028" ref="F456"/>
    <hyperlink r:id="rId1029" ref="G456"/>
    <hyperlink r:id="rId1030" ref="H456"/>
    <hyperlink r:id="rId1031" ref="F457"/>
    <hyperlink r:id="rId1032" ref="F458"/>
    <hyperlink r:id="rId1033" ref="G458"/>
    <hyperlink r:id="rId1034" ref="F459"/>
    <hyperlink r:id="rId1035" ref="G459"/>
    <hyperlink r:id="rId1036" ref="H459"/>
    <hyperlink r:id="rId1037" ref="F460"/>
    <hyperlink r:id="rId1038" ref="G460"/>
    <hyperlink r:id="rId1039" ref="H460"/>
    <hyperlink r:id="rId1040" ref="F461"/>
    <hyperlink r:id="rId1041" ref="G461"/>
    <hyperlink r:id="rId1042" ref="F462"/>
    <hyperlink r:id="rId1043" ref="H462"/>
    <hyperlink r:id="rId1044" ref="F463"/>
    <hyperlink r:id="rId1045" ref="G463"/>
    <hyperlink r:id="rId1046" ref="H463"/>
    <hyperlink r:id="rId1047" ref="F464"/>
    <hyperlink r:id="rId1048" ref="G464"/>
    <hyperlink r:id="rId1049" ref="H464"/>
    <hyperlink r:id="rId1050" ref="F465"/>
    <hyperlink r:id="rId1051" ref="H465"/>
    <hyperlink r:id="rId1052" ref="F466"/>
    <hyperlink r:id="rId1053" ref="G466"/>
    <hyperlink r:id="rId1054" ref="H466"/>
    <hyperlink r:id="rId1055" ref="F467"/>
    <hyperlink r:id="rId1056" ref="G467"/>
    <hyperlink r:id="rId1057" ref="H467"/>
    <hyperlink r:id="rId1058" ref="F468"/>
    <hyperlink r:id="rId1059" ref="G468"/>
    <hyperlink r:id="rId1060" ref="F469"/>
    <hyperlink r:id="rId1061" ref="F470"/>
    <hyperlink r:id="rId1062" ref="H470"/>
    <hyperlink r:id="rId1063" ref="F471"/>
    <hyperlink r:id="rId1064" ref="F472"/>
    <hyperlink r:id="rId1065" ref="G472"/>
    <hyperlink r:id="rId1066" ref="F473"/>
    <hyperlink r:id="rId1067" ref="H473"/>
    <hyperlink r:id="rId1068" ref="F474"/>
    <hyperlink r:id="rId1069" ref="H474"/>
    <hyperlink r:id="rId1070" ref="F475"/>
    <hyperlink r:id="rId1071" ref="F476"/>
    <hyperlink r:id="rId1072" ref="H476"/>
    <hyperlink r:id="rId1073" ref="F477"/>
    <hyperlink r:id="rId1074" ref="H477"/>
    <hyperlink r:id="rId1075" ref="F478"/>
    <hyperlink r:id="rId1076" ref="G478"/>
    <hyperlink r:id="rId1077" ref="F479"/>
    <hyperlink r:id="rId1078" ref="G479"/>
    <hyperlink r:id="rId1079" ref="H479"/>
    <hyperlink r:id="rId1080" ref="F480"/>
    <hyperlink r:id="rId1081" ref="F481"/>
    <hyperlink r:id="rId1082" ref="F482"/>
    <hyperlink r:id="rId1083" ref="H482"/>
    <hyperlink r:id="rId1084" ref="F483"/>
    <hyperlink r:id="rId1085" ref="F484"/>
    <hyperlink r:id="rId1086" ref="H484"/>
    <hyperlink r:id="rId1087" ref="F485"/>
    <hyperlink r:id="rId1088" ref="G485"/>
    <hyperlink r:id="rId1089" ref="H485"/>
    <hyperlink r:id="rId1090" ref="F486"/>
    <hyperlink r:id="rId1091" ref="G486"/>
    <hyperlink r:id="rId1092" ref="H486"/>
    <hyperlink r:id="rId1093" ref="F487"/>
    <hyperlink r:id="rId1094" ref="F488"/>
    <hyperlink r:id="rId1095" ref="H488"/>
    <hyperlink r:id="rId1096" ref="F489"/>
    <hyperlink r:id="rId1097" ref="G489"/>
    <hyperlink r:id="rId1098" ref="F490"/>
    <hyperlink r:id="rId1099" ref="G490"/>
    <hyperlink r:id="rId1100" ref="F491"/>
    <hyperlink r:id="rId1101" ref="F492"/>
    <hyperlink r:id="rId1102" ref="F493"/>
    <hyperlink r:id="rId1103" ref="G493"/>
    <hyperlink r:id="rId1104" ref="F494"/>
    <hyperlink r:id="rId1105" ref="G494"/>
    <hyperlink r:id="rId1106" ref="H494"/>
    <hyperlink r:id="rId1107" ref="F495"/>
    <hyperlink r:id="rId1108" ref="F496"/>
    <hyperlink r:id="rId1109" ref="G496"/>
    <hyperlink r:id="rId1110" ref="H496"/>
    <hyperlink r:id="rId1111" ref="F497"/>
    <hyperlink r:id="rId1112" ref="H497"/>
    <hyperlink r:id="rId1113" ref="F498"/>
    <hyperlink r:id="rId1114" ref="H498"/>
    <hyperlink r:id="rId1115" ref="F499"/>
    <hyperlink r:id="rId1116" ref="G499"/>
    <hyperlink r:id="rId1117" ref="F500"/>
    <hyperlink r:id="rId1118" ref="H500"/>
    <hyperlink r:id="rId1119" ref="F501"/>
    <hyperlink r:id="rId1120" ref="G501"/>
    <hyperlink r:id="rId1121" ref="F502"/>
    <hyperlink r:id="rId1122" ref="G502"/>
    <hyperlink r:id="rId1123" ref="H502"/>
    <hyperlink r:id="rId1124" ref="F503"/>
    <hyperlink r:id="rId1125" ref="G503"/>
    <hyperlink r:id="rId1126" ref="H503"/>
    <hyperlink r:id="rId1127" ref="F504"/>
    <hyperlink r:id="rId1128" ref="H504"/>
    <hyperlink r:id="rId1129" ref="F505"/>
    <hyperlink r:id="rId1130" ref="G505"/>
    <hyperlink r:id="rId1131" ref="H505"/>
    <hyperlink r:id="rId1132" ref="F506"/>
    <hyperlink r:id="rId1133" ref="G506"/>
    <hyperlink r:id="rId1134" ref="H506"/>
    <hyperlink r:id="rId1135" ref="F507"/>
    <hyperlink r:id="rId1136" ref="G507"/>
    <hyperlink r:id="rId1137" ref="H507"/>
    <hyperlink r:id="rId1138" ref="F508"/>
    <hyperlink r:id="rId1139" ref="G508"/>
    <hyperlink r:id="rId1140" ref="H508"/>
    <hyperlink r:id="rId1141" ref="F509"/>
    <hyperlink r:id="rId1142" ref="G509"/>
    <hyperlink r:id="rId1143" ref="F510"/>
    <hyperlink r:id="rId1144" ref="H510"/>
    <hyperlink r:id="rId1145" ref="F511"/>
    <hyperlink r:id="rId1146" ref="G511"/>
    <hyperlink r:id="rId1147" ref="H511"/>
    <hyperlink r:id="rId1148" ref="F512"/>
    <hyperlink r:id="rId1149" ref="F513"/>
    <hyperlink r:id="rId1150" ref="H513"/>
    <hyperlink r:id="rId1151" ref="F514"/>
    <hyperlink r:id="rId1152" ref="H514"/>
    <hyperlink r:id="rId1153" ref="F515"/>
    <hyperlink r:id="rId1154" ref="H515"/>
    <hyperlink r:id="rId1155" ref="F516"/>
    <hyperlink r:id="rId1156" ref="G516"/>
    <hyperlink r:id="rId1157" ref="F517"/>
    <hyperlink r:id="rId1158" ref="F518"/>
    <hyperlink r:id="rId1159" ref="G518"/>
    <hyperlink r:id="rId1160" ref="F519"/>
    <hyperlink r:id="rId1161" ref="G519"/>
    <hyperlink r:id="rId1162" ref="H519"/>
    <hyperlink r:id="rId1163" ref="F520"/>
    <hyperlink r:id="rId1164" ref="F521"/>
    <hyperlink r:id="rId1165" ref="G521"/>
    <hyperlink r:id="rId1166" ref="H521"/>
    <hyperlink r:id="rId1167" ref="F522"/>
    <hyperlink r:id="rId1168" ref="H522"/>
    <hyperlink r:id="rId1169" ref="F523"/>
    <hyperlink r:id="rId1170" ref="H523"/>
    <hyperlink r:id="rId1171" ref="F524"/>
    <hyperlink r:id="rId1172" ref="F525"/>
    <hyperlink r:id="rId1173" ref="G525"/>
    <hyperlink r:id="rId1174" ref="H525"/>
    <hyperlink r:id="rId1175" ref="F526"/>
    <hyperlink r:id="rId1176" ref="G526"/>
    <hyperlink r:id="rId1177" ref="H526"/>
    <hyperlink r:id="rId1178" ref="F527"/>
    <hyperlink r:id="rId1179" ref="H527"/>
    <hyperlink r:id="rId1180" ref="F528"/>
    <hyperlink r:id="rId1181" ref="G528"/>
    <hyperlink r:id="rId1182" ref="F529"/>
    <hyperlink r:id="rId1183" ref="G529"/>
    <hyperlink r:id="rId1184" ref="F530"/>
    <hyperlink r:id="rId1185" ref="G530"/>
    <hyperlink r:id="rId1186" ref="F531"/>
    <hyperlink r:id="rId1187" ref="H531"/>
    <hyperlink r:id="rId1188" ref="F532"/>
    <hyperlink r:id="rId1189" ref="G532"/>
    <hyperlink r:id="rId1190" ref="H532"/>
    <hyperlink r:id="rId1191" ref="F533"/>
    <hyperlink r:id="rId1192" ref="F534"/>
    <hyperlink r:id="rId1193" ref="H534"/>
    <hyperlink r:id="rId1194" ref="F535"/>
    <hyperlink r:id="rId1195" ref="H535"/>
    <hyperlink r:id="rId1196" ref="F536"/>
    <hyperlink r:id="rId1197" ref="G536"/>
    <hyperlink r:id="rId1198" ref="H536"/>
    <hyperlink r:id="rId1199" ref="F537"/>
    <hyperlink r:id="rId1200" ref="G537"/>
    <hyperlink r:id="rId1201" ref="H537"/>
    <hyperlink r:id="rId1202" ref="F538"/>
    <hyperlink r:id="rId1203" ref="G538"/>
    <hyperlink r:id="rId1204" ref="F539"/>
    <hyperlink r:id="rId1205" ref="H539"/>
    <hyperlink r:id="rId1206" ref="F540"/>
    <hyperlink r:id="rId1207" ref="G540"/>
    <hyperlink r:id="rId1208" ref="H540"/>
    <hyperlink r:id="rId1209" ref="F541"/>
    <hyperlink r:id="rId1210" ref="F542"/>
    <hyperlink r:id="rId1211" ref="F543"/>
    <hyperlink r:id="rId1212" ref="G543"/>
    <hyperlink r:id="rId1213" ref="H543"/>
    <hyperlink r:id="rId1214" ref="F544"/>
    <hyperlink r:id="rId1215" ref="H544"/>
    <hyperlink r:id="rId1216" ref="F545"/>
    <hyperlink r:id="rId1217" ref="F546"/>
    <hyperlink r:id="rId1218" ref="F547"/>
    <hyperlink r:id="rId1219" ref="F548"/>
    <hyperlink r:id="rId1220" ref="H548"/>
    <hyperlink r:id="rId1221" ref="F549"/>
    <hyperlink r:id="rId1222" ref="G549"/>
    <hyperlink r:id="rId1223" ref="F550"/>
    <hyperlink r:id="rId1224" ref="G550"/>
    <hyperlink r:id="rId1225" ref="F551"/>
    <hyperlink r:id="rId1226" ref="G551"/>
    <hyperlink r:id="rId1227" ref="H551"/>
    <hyperlink r:id="rId1228" ref="F552"/>
    <hyperlink r:id="rId1229" ref="G552"/>
    <hyperlink r:id="rId1230" ref="H552"/>
    <hyperlink r:id="rId1231" ref="F553"/>
    <hyperlink r:id="rId1232" ref="F554"/>
    <hyperlink r:id="rId1233" ref="G554"/>
    <hyperlink r:id="rId1234" ref="H554"/>
    <hyperlink r:id="rId1235" ref="F555"/>
    <hyperlink r:id="rId1236" ref="G555"/>
    <hyperlink r:id="rId1237" ref="H555"/>
    <hyperlink r:id="rId1238" ref="F556"/>
    <hyperlink r:id="rId1239" ref="F557"/>
    <hyperlink r:id="rId1240" ref="H557"/>
    <hyperlink r:id="rId1241" ref="F558"/>
    <hyperlink r:id="rId1242" ref="F559"/>
    <hyperlink r:id="rId1243" ref="G559"/>
    <hyperlink r:id="rId1244" ref="H559"/>
    <hyperlink r:id="rId1245" ref="F560"/>
    <hyperlink r:id="rId1246" ref="G560"/>
    <hyperlink r:id="rId1247" ref="H560"/>
    <hyperlink r:id="rId1248" ref="F561"/>
    <hyperlink r:id="rId1249" ref="H561"/>
    <hyperlink r:id="rId1250" ref="F562"/>
    <hyperlink r:id="rId1251" ref="G562"/>
    <hyperlink r:id="rId1252" ref="F563"/>
    <hyperlink r:id="rId1253" ref="G563"/>
    <hyperlink r:id="rId1254" ref="F564"/>
    <hyperlink r:id="rId1255" ref="H564"/>
    <hyperlink r:id="rId1256" ref="F565"/>
    <hyperlink r:id="rId1257" ref="H565"/>
    <hyperlink r:id="rId1258" ref="F566"/>
    <hyperlink r:id="rId1259" ref="G566"/>
    <hyperlink r:id="rId1260" ref="H566"/>
    <hyperlink r:id="rId1261" ref="F567"/>
    <hyperlink r:id="rId1262" ref="G567"/>
    <hyperlink r:id="rId1263" ref="H567"/>
    <hyperlink r:id="rId1264" ref="F568"/>
    <hyperlink r:id="rId1265" ref="G568"/>
    <hyperlink r:id="rId1266" ref="F569"/>
    <hyperlink r:id="rId1267" ref="G569"/>
    <hyperlink r:id="rId1268" ref="F570"/>
    <hyperlink r:id="rId1269" ref="G570"/>
    <hyperlink r:id="rId1270" ref="H570"/>
    <hyperlink r:id="rId1271" ref="F571"/>
    <hyperlink r:id="rId1272" ref="H571"/>
    <hyperlink r:id="rId1273" ref="F572"/>
    <hyperlink r:id="rId1274" ref="G572"/>
    <hyperlink r:id="rId1275" ref="H572"/>
    <hyperlink r:id="rId1276" ref="F573"/>
    <hyperlink r:id="rId1277" ref="F574"/>
    <hyperlink r:id="rId1278" ref="G574"/>
    <hyperlink r:id="rId1279" ref="F575"/>
    <hyperlink r:id="rId1280" ref="G575"/>
    <hyperlink r:id="rId1281" ref="H575"/>
    <hyperlink r:id="rId1282" ref="F576"/>
    <hyperlink r:id="rId1283" ref="G576"/>
    <hyperlink r:id="rId1284" ref="F577"/>
    <hyperlink r:id="rId1285" ref="G577"/>
    <hyperlink r:id="rId1286" ref="F578"/>
    <hyperlink r:id="rId1287" ref="G578"/>
    <hyperlink r:id="rId1288" ref="F579"/>
    <hyperlink r:id="rId1289" ref="G579"/>
    <hyperlink r:id="rId1290" ref="F580"/>
    <hyperlink r:id="rId1291" ref="G580"/>
    <hyperlink r:id="rId1292" ref="H580"/>
    <hyperlink r:id="rId1293" ref="F581"/>
    <hyperlink r:id="rId1294" ref="G581"/>
    <hyperlink r:id="rId1295" ref="F582"/>
    <hyperlink r:id="rId1296" ref="G582"/>
    <hyperlink r:id="rId1297" ref="H582"/>
    <hyperlink r:id="rId1298" ref="F583"/>
    <hyperlink r:id="rId1299" ref="G583"/>
    <hyperlink r:id="rId1300" ref="F584"/>
    <hyperlink r:id="rId1301" ref="G584"/>
    <hyperlink r:id="rId1302" ref="H584"/>
    <hyperlink r:id="rId1303" ref="F585"/>
    <hyperlink r:id="rId1304" ref="F586"/>
    <hyperlink r:id="rId1305" ref="G586"/>
    <hyperlink r:id="rId1306" ref="F587"/>
    <hyperlink r:id="rId1307" ref="F588"/>
    <hyperlink r:id="rId1308" ref="G588"/>
    <hyperlink r:id="rId1309" ref="H588"/>
    <hyperlink r:id="rId1310" ref="F589"/>
    <hyperlink r:id="rId1311" ref="G589"/>
    <hyperlink r:id="rId1312" ref="H589"/>
    <hyperlink r:id="rId1313" ref="F590"/>
    <hyperlink r:id="rId1314" ref="G590"/>
    <hyperlink r:id="rId1315" ref="F591"/>
    <hyperlink r:id="rId1316" ref="G591"/>
    <hyperlink r:id="rId1317" ref="H591"/>
    <hyperlink r:id="rId1318" ref="F592"/>
    <hyperlink r:id="rId1319" ref="G592"/>
    <hyperlink r:id="rId1320" ref="F593"/>
    <hyperlink r:id="rId1321" ref="F594"/>
    <hyperlink r:id="rId1322" ref="G594"/>
    <hyperlink r:id="rId1323" ref="H594"/>
    <hyperlink r:id="rId1324" ref="F595"/>
    <hyperlink r:id="rId1325" ref="H595"/>
    <hyperlink r:id="rId1326" ref="F596"/>
    <hyperlink r:id="rId1327" ref="G596"/>
    <hyperlink r:id="rId1328" ref="F597"/>
    <hyperlink r:id="rId1329" ref="H597"/>
    <hyperlink r:id="rId1330" ref="F598"/>
    <hyperlink r:id="rId1331" ref="G598"/>
    <hyperlink r:id="rId1332" ref="H598"/>
    <hyperlink r:id="rId1333" ref="F599"/>
    <hyperlink r:id="rId1334" ref="G599"/>
    <hyperlink r:id="rId1335" ref="F600"/>
    <hyperlink r:id="rId1336" ref="F601"/>
    <hyperlink r:id="rId1337" ref="G601"/>
    <hyperlink r:id="rId1338" ref="F602"/>
    <hyperlink r:id="rId1339" ref="G602"/>
    <hyperlink r:id="rId1340" ref="H602"/>
    <hyperlink r:id="rId1341" ref="F603"/>
    <hyperlink r:id="rId1342" ref="G603"/>
    <hyperlink r:id="rId1343" ref="F604"/>
    <hyperlink r:id="rId1344" ref="G604"/>
    <hyperlink r:id="rId1345" ref="F605"/>
    <hyperlink r:id="rId1346" ref="G605"/>
    <hyperlink r:id="rId1347" ref="F606"/>
    <hyperlink r:id="rId1348" ref="G606"/>
    <hyperlink r:id="rId1349" ref="F607"/>
    <hyperlink r:id="rId1350" ref="G607"/>
    <hyperlink r:id="rId1351" ref="H607"/>
    <hyperlink r:id="rId1352" ref="F608"/>
    <hyperlink r:id="rId1353" ref="G608"/>
    <hyperlink r:id="rId1354" ref="F609"/>
    <hyperlink r:id="rId1355" ref="G609"/>
    <hyperlink r:id="rId1356" ref="F610"/>
    <hyperlink r:id="rId1357" ref="G610"/>
    <hyperlink r:id="rId1358" ref="H610"/>
    <hyperlink r:id="rId1359" ref="F611"/>
    <hyperlink r:id="rId1360" ref="H611"/>
    <hyperlink r:id="rId1361" ref="F612"/>
    <hyperlink r:id="rId1362" ref="F613"/>
    <hyperlink r:id="rId1363" ref="F614"/>
    <hyperlink r:id="rId1364" ref="F615"/>
    <hyperlink r:id="rId1365" ref="G615"/>
    <hyperlink r:id="rId1366" ref="F616"/>
    <hyperlink r:id="rId1367" ref="F617"/>
    <hyperlink r:id="rId1368" ref="G617"/>
    <hyperlink r:id="rId1369" ref="F618"/>
    <hyperlink r:id="rId1370" ref="G618"/>
    <hyperlink r:id="rId1371" ref="H618"/>
    <hyperlink r:id="rId1372" ref="F619"/>
    <hyperlink r:id="rId1373" ref="F620"/>
    <hyperlink r:id="rId1374" ref="H620"/>
    <hyperlink r:id="rId1375" ref="F621"/>
    <hyperlink r:id="rId1376" ref="F622"/>
    <hyperlink r:id="rId1377" ref="G622"/>
    <hyperlink r:id="rId1378" ref="H622"/>
    <hyperlink r:id="rId1379" ref="F623"/>
    <hyperlink r:id="rId1380" ref="G623"/>
    <hyperlink r:id="rId1381" ref="H623"/>
    <hyperlink r:id="rId1382" ref="F624"/>
    <hyperlink r:id="rId1383" ref="F625"/>
    <hyperlink r:id="rId1384" ref="F626"/>
    <hyperlink r:id="rId1385" ref="F627"/>
    <hyperlink r:id="rId1386" ref="G627"/>
    <hyperlink r:id="rId1387" ref="H627"/>
    <hyperlink r:id="rId1388" ref="F628"/>
    <hyperlink r:id="rId1389" ref="F629"/>
    <hyperlink r:id="rId1390" ref="G629"/>
    <hyperlink r:id="rId1391" ref="H629"/>
    <hyperlink r:id="rId1392" ref="F630"/>
    <hyperlink r:id="rId1393" ref="F631"/>
    <hyperlink r:id="rId1394" ref="G631"/>
    <hyperlink r:id="rId1395" ref="F632"/>
    <hyperlink r:id="rId1396" ref="G632"/>
    <hyperlink r:id="rId1397" ref="H632"/>
    <hyperlink r:id="rId1398" ref="F633"/>
    <hyperlink r:id="rId1399" ref="F634"/>
    <hyperlink r:id="rId1400" ref="F635"/>
    <hyperlink r:id="rId1401" ref="G635"/>
    <hyperlink r:id="rId1402" ref="F636"/>
    <hyperlink r:id="rId1403" ref="F637"/>
    <hyperlink r:id="rId1404" ref="G637"/>
    <hyperlink r:id="rId1405" ref="H637"/>
    <hyperlink r:id="rId1406" ref="F638"/>
    <hyperlink r:id="rId1407" ref="G638"/>
    <hyperlink r:id="rId1408" ref="F639"/>
    <hyperlink r:id="rId1409" ref="F640"/>
    <hyperlink r:id="rId1410" ref="F641"/>
    <hyperlink r:id="rId1411" ref="F642"/>
    <hyperlink r:id="rId1412" ref="G642"/>
    <hyperlink r:id="rId1413" ref="H642"/>
    <hyperlink r:id="rId1414" ref="F643"/>
    <hyperlink r:id="rId1415" ref="H644"/>
    <hyperlink r:id="rId1416" ref="H645"/>
    <hyperlink r:id="rId1417" ref="H646"/>
    <hyperlink r:id="rId1418" ref="G647"/>
    <hyperlink r:id="rId1419" ref="G648"/>
    <hyperlink r:id="rId1420" ref="G649"/>
    <hyperlink r:id="rId1421" ref="H650"/>
    <hyperlink r:id="rId1422" ref="G651"/>
    <hyperlink r:id="rId1423" ref="G652"/>
    <hyperlink r:id="rId1424" ref="G653"/>
    <hyperlink r:id="rId1425" ref="H654"/>
    <hyperlink r:id="rId1426" ref="G655"/>
    <hyperlink r:id="rId1427" ref="G656"/>
    <hyperlink r:id="rId1428" ref="G657"/>
    <hyperlink r:id="rId1429" ref="G658"/>
    <hyperlink r:id="rId1430" ref="G659"/>
    <hyperlink r:id="rId1431" ref="G660"/>
    <hyperlink r:id="rId1432" ref="G661"/>
    <hyperlink r:id="rId1433" ref="G662"/>
    <hyperlink r:id="rId1434" ref="H662"/>
    <hyperlink r:id="rId1435" ref="H663"/>
    <hyperlink r:id="rId1436" ref="G664"/>
    <hyperlink r:id="rId1437" ref="G665"/>
    <hyperlink r:id="rId1438" ref="H665"/>
    <hyperlink r:id="rId1439" ref="G666"/>
    <hyperlink r:id="rId1440" ref="H666"/>
    <hyperlink r:id="rId1441" ref="H667"/>
    <hyperlink r:id="rId1442" ref="G668"/>
    <hyperlink r:id="rId1443" ref="G669"/>
    <hyperlink r:id="rId1444" ref="H669"/>
    <hyperlink r:id="rId1445" ref="G670"/>
    <hyperlink r:id="rId1446" ref="G671"/>
    <hyperlink r:id="rId1447" ref="G672"/>
    <hyperlink r:id="rId1448" ref="H672"/>
    <hyperlink r:id="rId1449" ref="G673"/>
    <hyperlink r:id="rId1450" ref="G674"/>
    <hyperlink r:id="rId1451" ref="H675"/>
    <hyperlink r:id="rId1452" ref="G676"/>
    <hyperlink r:id="rId1453" ref="H676"/>
    <hyperlink r:id="rId1454" ref="H677"/>
    <hyperlink r:id="rId1455" ref="H678"/>
    <hyperlink r:id="rId1456" ref="G679"/>
    <hyperlink r:id="rId1457" ref="H680"/>
    <hyperlink r:id="rId1458" ref="G681"/>
    <hyperlink r:id="rId1459" ref="H681"/>
    <hyperlink r:id="rId1460" ref="G682"/>
    <hyperlink r:id="rId1461" ref="H682"/>
    <hyperlink r:id="rId1462" ref="H683"/>
    <hyperlink r:id="rId1463" ref="G684"/>
    <hyperlink r:id="rId1464" ref="G685"/>
    <hyperlink r:id="rId1465" ref="H685"/>
    <hyperlink r:id="rId1466" ref="H686"/>
    <hyperlink r:id="rId1467" ref="G687"/>
    <hyperlink r:id="rId1468" ref="G688"/>
    <hyperlink r:id="rId1469" ref="G689"/>
    <hyperlink r:id="rId1470" ref="H689"/>
    <hyperlink r:id="rId1471" ref="G690"/>
    <hyperlink r:id="rId1472" ref="G691"/>
    <hyperlink r:id="rId1473" ref="H692"/>
    <hyperlink r:id="rId1474" ref="G693"/>
    <hyperlink r:id="rId1475" ref="G694"/>
    <hyperlink r:id="rId1476" ref="H695"/>
    <hyperlink r:id="rId1477" ref="G696"/>
    <hyperlink r:id="rId1478" ref="H697"/>
    <hyperlink r:id="rId1479" ref="G698"/>
    <hyperlink r:id="rId1480" ref="G699"/>
    <hyperlink r:id="rId1481" ref="G700"/>
    <hyperlink r:id="rId1482" ref="H701"/>
    <hyperlink r:id="rId1483" ref="G702"/>
    <hyperlink r:id="rId1484" ref="G703"/>
    <hyperlink r:id="rId1485" ref="H704"/>
    <hyperlink r:id="rId1486" ref="G705"/>
    <hyperlink r:id="rId1487" ref="G706"/>
    <hyperlink r:id="rId1488" ref="H706"/>
    <hyperlink r:id="rId1489" ref="H707"/>
    <hyperlink r:id="rId1490" ref="G708"/>
    <hyperlink r:id="rId1491" ref="H709"/>
    <hyperlink r:id="rId1492" ref="H710"/>
    <hyperlink r:id="rId1493" ref="G711"/>
    <hyperlink r:id="rId1494" ref="H711"/>
    <hyperlink r:id="rId1495" ref="G712"/>
    <hyperlink r:id="rId1496" ref="H712"/>
    <hyperlink r:id="rId1497" ref="G713"/>
    <hyperlink r:id="rId1498" ref="H713"/>
    <hyperlink r:id="rId1499" ref="G714"/>
    <hyperlink r:id="rId1500" ref="H714"/>
    <hyperlink r:id="rId1501" ref="G715"/>
    <hyperlink r:id="rId1502" ref="G716"/>
    <hyperlink r:id="rId1503" ref="H717"/>
    <hyperlink r:id="rId1504" ref="H718"/>
    <hyperlink r:id="rId1505" ref="G719"/>
    <hyperlink r:id="rId1506" ref="H719"/>
    <hyperlink r:id="rId1507" ref="H720"/>
    <hyperlink r:id="rId1508" ref="H721"/>
    <hyperlink r:id="rId1509" ref="G722"/>
    <hyperlink r:id="rId1510" ref="H723"/>
    <hyperlink r:id="rId1511" ref="H724"/>
    <hyperlink r:id="rId1512" ref="H725"/>
    <hyperlink r:id="rId1513" ref="H726"/>
    <hyperlink r:id="rId1514" ref="G727"/>
    <hyperlink r:id="rId1515" ref="H728"/>
    <hyperlink r:id="rId1516" ref="G729"/>
    <hyperlink r:id="rId1517" ref="H729"/>
    <hyperlink r:id="rId1518" ref="H730"/>
    <hyperlink r:id="rId1519" ref="G731"/>
    <hyperlink r:id="rId1520" ref="H731"/>
    <hyperlink r:id="rId1521" ref="G732"/>
    <hyperlink r:id="rId1522" ref="G733"/>
    <hyperlink r:id="rId1523" ref="H734"/>
    <hyperlink r:id="rId1524" ref="G735"/>
    <hyperlink r:id="rId1525" ref="H735"/>
    <hyperlink r:id="rId1526" ref="G736"/>
    <hyperlink r:id="rId1527" ref="H736"/>
    <hyperlink r:id="rId1528" ref="G737"/>
    <hyperlink r:id="rId1529" ref="G738"/>
    <hyperlink r:id="rId1530" ref="G739"/>
    <hyperlink r:id="rId1531" ref="G740"/>
    <hyperlink r:id="rId1532" ref="H740"/>
    <hyperlink r:id="rId1533" ref="H741"/>
    <hyperlink r:id="rId1534" ref="G742"/>
    <hyperlink r:id="rId1535" ref="G743"/>
    <hyperlink r:id="rId1536" ref="H743"/>
    <hyperlink r:id="rId1537" ref="G744"/>
    <hyperlink r:id="rId1538" ref="G745"/>
    <hyperlink r:id="rId1539" ref="H745"/>
    <hyperlink r:id="rId1540" ref="G746"/>
    <hyperlink r:id="rId1541" ref="H746"/>
    <hyperlink r:id="rId1542" ref="G747"/>
    <hyperlink r:id="rId1543" ref="H747"/>
    <hyperlink r:id="rId1544" ref="H748"/>
    <hyperlink r:id="rId1545" ref="H749"/>
    <hyperlink r:id="rId1546" ref="G750"/>
    <hyperlink r:id="rId1547" ref="H750"/>
    <hyperlink r:id="rId1548" ref="G751"/>
    <hyperlink r:id="rId1549" ref="G752"/>
    <hyperlink r:id="rId1550" ref="G753"/>
    <hyperlink r:id="rId1551" ref="H753"/>
    <hyperlink r:id="rId1552" ref="G754"/>
    <hyperlink r:id="rId1553" ref="H754"/>
    <hyperlink r:id="rId1554" ref="H755"/>
    <hyperlink r:id="rId1555" ref="G756"/>
    <hyperlink r:id="rId1556" ref="G757"/>
    <hyperlink r:id="rId1557" ref="G758"/>
    <hyperlink r:id="rId1558" ref="H758"/>
    <hyperlink r:id="rId1559" ref="H759"/>
    <hyperlink r:id="rId1560" ref="G760"/>
    <hyperlink r:id="rId1561" ref="H761"/>
    <hyperlink r:id="rId1562" ref="H762"/>
    <hyperlink r:id="rId1563" ref="H763"/>
    <hyperlink r:id="rId1564" ref="G764"/>
    <hyperlink r:id="rId1565" ref="H764"/>
    <hyperlink r:id="rId1566" ref="G765"/>
    <hyperlink r:id="rId1567" ref="G766"/>
    <hyperlink r:id="rId1568" ref="H766"/>
    <hyperlink r:id="rId1569" ref="G767"/>
    <hyperlink r:id="rId1570" ref="H768"/>
    <hyperlink r:id="rId1571" ref="G769"/>
    <hyperlink r:id="rId1572" ref="G770"/>
    <hyperlink r:id="rId1573" ref="H771"/>
    <hyperlink r:id="rId1574" ref="G772"/>
    <hyperlink r:id="rId1575" ref="G773"/>
    <hyperlink r:id="rId1576" ref="H774"/>
    <hyperlink r:id="rId1577" ref="G775"/>
    <hyperlink r:id="rId1578" ref="H776"/>
    <hyperlink r:id="rId1579" ref="G777"/>
    <hyperlink r:id="rId1580" ref="H777"/>
    <hyperlink r:id="rId1581" ref="H778"/>
    <hyperlink r:id="rId1582" ref="G779"/>
    <hyperlink r:id="rId1583" ref="H779"/>
    <hyperlink r:id="rId1584" ref="H780"/>
    <hyperlink r:id="rId1585" ref="G781"/>
    <hyperlink r:id="rId1586" ref="H781"/>
    <hyperlink r:id="rId1587" ref="H782"/>
    <hyperlink r:id="rId1588" ref="G783"/>
    <hyperlink r:id="rId1589" ref="H784"/>
    <hyperlink r:id="rId1590" ref="H785"/>
    <hyperlink r:id="rId1591" ref="G786"/>
    <hyperlink r:id="rId1592" ref="H786"/>
    <hyperlink r:id="rId1593" ref="G787"/>
    <hyperlink r:id="rId1594" ref="H788"/>
    <hyperlink r:id="rId1595" ref="G789"/>
    <hyperlink r:id="rId1596" ref="H789"/>
    <hyperlink r:id="rId1597" ref="G790"/>
    <hyperlink r:id="rId1598" ref="G791"/>
    <hyperlink r:id="rId1599" ref="G792"/>
    <hyperlink r:id="rId1600" ref="H792"/>
    <hyperlink r:id="rId1601" ref="G793"/>
    <hyperlink r:id="rId1602" ref="H793"/>
    <hyperlink r:id="rId1603" ref="H794"/>
    <hyperlink r:id="rId1604" ref="G795"/>
    <hyperlink r:id="rId1605" ref="H796"/>
    <hyperlink r:id="rId1606" ref="H797"/>
    <hyperlink r:id="rId1607" ref="H798"/>
    <hyperlink r:id="rId1608" ref="H799"/>
    <hyperlink r:id="rId1609" ref="G800"/>
    <hyperlink r:id="rId1610" ref="G801"/>
    <hyperlink r:id="rId1611" ref="G802"/>
    <hyperlink r:id="rId1612" ref="H803"/>
    <hyperlink r:id="rId1613" ref="G804"/>
    <hyperlink r:id="rId1614" ref="H804"/>
    <hyperlink r:id="rId1615" ref="H805"/>
    <hyperlink r:id="rId1616" ref="G806"/>
    <hyperlink r:id="rId1617" ref="H807"/>
    <hyperlink r:id="rId1618" ref="H808"/>
    <hyperlink r:id="rId1619" ref="H809"/>
    <hyperlink r:id="rId1620" ref="H810"/>
    <hyperlink r:id="rId1621" ref="G811"/>
    <hyperlink r:id="rId1622" ref="H812"/>
    <hyperlink r:id="rId1623" ref="G813"/>
    <hyperlink r:id="rId1624" ref="G814"/>
    <hyperlink r:id="rId1625" ref="H815"/>
    <hyperlink r:id="rId1626" ref="G816"/>
    <hyperlink r:id="rId1627" ref="G817"/>
    <hyperlink r:id="rId1628" ref="H817"/>
    <hyperlink r:id="rId1629" ref="G818"/>
    <hyperlink r:id="rId1630" ref="H818"/>
    <hyperlink r:id="rId1631" ref="H819"/>
    <hyperlink r:id="rId1632" ref="G820"/>
    <hyperlink r:id="rId1633" ref="G821"/>
    <hyperlink r:id="rId1634" ref="H821"/>
    <hyperlink r:id="rId1635" ref="H822"/>
    <hyperlink r:id="rId1636" ref="H823"/>
    <hyperlink r:id="rId1637" ref="G824"/>
    <hyperlink r:id="rId1638" ref="G825"/>
    <hyperlink r:id="rId1639" ref="H825"/>
    <hyperlink r:id="rId1640" ref="G826"/>
    <hyperlink r:id="rId1641" ref="G827"/>
    <hyperlink r:id="rId1642" ref="H827"/>
    <hyperlink r:id="rId1643" ref="H828"/>
    <hyperlink r:id="rId1644" ref="H829"/>
    <hyperlink r:id="rId1645" ref="G830"/>
    <hyperlink r:id="rId1646" ref="G831"/>
    <hyperlink r:id="rId1647" ref="G832"/>
    <hyperlink r:id="rId1648" ref="G833"/>
    <hyperlink r:id="rId1649" ref="H833"/>
    <hyperlink r:id="rId1650" ref="H834"/>
    <hyperlink r:id="rId1651" ref="G835"/>
    <hyperlink r:id="rId1652" ref="G836"/>
    <hyperlink r:id="rId1653" ref="H836"/>
    <hyperlink r:id="rId1654" ref="H837"/>
    <hyperlink r:id="rId1655" ref="H838"/>
    <hyperlink r:id="rId1656" ref="H839"/>
    <hyperlink r:id="rId1657" ref="H840"/>
    <hyperlink r:id="rId1658" ref="H841"/>
    <hyperlink r:id="rId1659" ref="G842"/>
    <hyperlink r:id="rId1660" ref="G843"/>
    <hyperlink r:id="rId1661" ref="G844"/>
    <hyperlink r:id="rId1662" ref="H844"/>
    <hyperlink r:id="rId1663" ref="G845"/>
    <hyperlink r:id="rId1664" ref="H845"/>
    <hyperlink r:id="rId1665" ref="H846"/>
    <hyperlink r:id="rId1666" ref="G847"/>
    <hyperlink r:id="rId1667" ref="H848"/>
    <hyperlink r:id="rId1668" ref="H849"/>
    <hyperlink r:id="rId1669" ref="H850"/>
    <hyperlink r:id="rId1670" ref="G851"/>
    <hyperlink r:id="rId1671" ref="G852"/>
    <hyperlink r:id="rId1672" ref="H853"/>
    <hyperlink r:id="rId1673" ref="H854"/>
    <hyperlink r:id="rId1674" ref="G855"/>
    <hyperlink r:id="rId1675" ref="H855"/>
    <hyperlink r:id="rId1676" ref="G856"/>
    <hyperlink r:id="rId1677" ref="H856"/>
    <hyperlink r:id="rId1678" ref="H857"/>
    <hyperlink r:id="rId1679" ref="H858"/>
    <hyperlink r:id="rId1680" ref="G859"/>
    <hyperlink r:id="rId1681" ref="G860"/>
    <hyperlink r:id="rId1682" ref="H860"/>
    <hyperlink r:id="rId1683" ref="G861"/>
    <hyperlink r:id="rId1684" ref="H861"/>
    <hyperlink r:id="rId1685" ref="G862"/>
    <hyperlink r:id="rId1686" ref="H863"/>
    <hyperlink r:id="rId1687" ref="G864"/>
    <hyperlink r:id="rId1688" ref="H864"/>
    <hyperlink r:id="rId1689" ref="G865"/>
    <hyperlink r:id="rId1690" ref="G866"/>
    <hyperlink r:id="rId1691" ref="H867"/>
    <hyperlink r:id="rId1692" ref="H868"/>
    <hyperlink r:id="rId1693" ref="G869"/>
    <hyperlink r:id="rId1694" ref="H869"/>
    <hyperlink r:id="rId1695" ref="G870"/>
    <hyperlink r:id="rId1696" ref="G871"/>
    <hyperlink r:id="rId1697" ref="G872"/>
    <hyperlink r:id="rId1698" ref="H873"/>
    <hyperlink r:id="rId1699" ref="G874"/>
    <hyperlink r:id="rId1700" ref="H875"/>
    <hyperlink r:id="rId1701" ref="H876"/>
    <hyperlink r:id="rId1702" ref="H877"/>
    <hyperlink r:id="rId1703" ref="H878"/>
    <hyperlink r:id="rId1704" ref="H879"/>
    <hyperlink r:id="rId1705" ref="G880"/>
    <hyperlink r:id="rId1706" ref="H880"/>
    <hyperlink r:id="rId1707" ref="G881"/>
    <hyperlink r:id="rId1708" ref="H882"/>
    <hyperlink r:id="rId1709" ref="H883"/>
    <hyperlink r:id="rId1710" ref="H884"/>
    <hyperlink r:id="rId1711" ref="G885"/>
    <hyperlink r:id="rId1712" ref="G886"/>
    <hyperlink r:id="rId1713" ref="G887"/>
    <hyperlink r:id="rId1714" ref="H887"/>
    <hyperlink r:id="rId1715" ref="G888"/>
    <hyperlink r:id="rId1716" ref="H888"/>
    <hyperlink r:id="rId1717" ref="H889"/>
    <hyperlink r:id="rId1718" ref="H890"/>
    <hyperlink r:id="rId1719" ref="H891"/>
    <hyperlink r:id="rId1720" ref="G892"/>
    <hyperlink r:id="rId1721" ref="H893"/>
    <hyperlink r:id="rId1722" ref="H894"/>
    <hyperlink r:id="rId1723" ref="H895"/>
    <hyperlink r:id="rId1724" ref="G896"/>
    <hyperlink r:id="rId1725" ref="G897"/>
    <hyperlink r:id="rId1726" ref="G898"/>
    <hyperlink r:id="rId1727" ref="H899"/>
    <hyperlink r:id="rId1728" ref="H900"/>
    <hyperlink r:id="rId1729" ref="G901"/>
    <hyperlink r:id="rId1730" ref="H901"/>
    <hyperlink r:id="rId1731" ref="H902"/>
    <hyperlink r:id="rId1732" ref="G903"/>
    <hyperlink r:id="rId1733" ref="H904"/>
    <hyperlink r:id="rId1734" ref="G905"/>
    <hyperlink r:id="rId1735" ref="H906"/>
    <hyperlink r:id="rId1736" ref="H907"/>
    <hyperlink r:id="rId1737" ref="H908"/>
    <hyperlink r:id="rId1738" ref="H909"/>
    <hyperlink r:id="rId1739" ref="H910"/>
    <hyperlink r:id="rId1740" ref="H911"/>
    <hyperlink r:id="rId1741" ref="G912"/>
    <hyperlink r:id="rId1742" ref="H913"/>
    <hyperlink r:id="rId1743" ref="H914"/>
    <hyperlink r:id="rId1744" ref="G915"/>
    <hyperlink r:id="rId1745" ref="H916"/>
    <hyperlink r:id="rId1746" ref="H917"/>
    <hyperlink r:id="rId1747" ref="H918"/>
    <hyperlink r:id="rId1748" ref="G919"/>
    <hyperlink r:id="rId1749" ref="G920"/>
    <hyperlink r:id="rId1750" ref="H920"/>
    <hyperlink r:id="rId1751" ref="H921"/>
    <hyperlink r:id="rId1752" ref="G922"/>
    <hyperlink r:id="rId1753" ref="H922"/>
    <hyperlink r:id="rId1754" ref="G923"/>
    <hyperlink r:id="rId1755" ref="H923"/>
    <hyperlink r:id="rId1756" ref="G924"/>
    <hyperlink r:id="rId1757" ref="G925"/>
    <hyperlink r:id="rId1758" ref="G926"/>
    <hyperlink r:id="rId1759" ref="G927"/>
    <hyperlink r:id="rId1760" ref="G928"/>
    <hyperlink r:id="rId1761" ref="H929"/>
    <hyperlink r:id="rId1762" ref="G930"/>
    <hyperlink r:id="rId1763" ref="H931"/>
    <hyperlink r:id="rId1764" ref="G932"/>
    <hyperlink r:id="rId1765" ref="H932"/>
    <hyperlink r:id="rId1766" ref="H933"/>
    <hyperlink r:id="rId1767" ref="H934"/>
    <hyperlink r:id="rId1768" ref="G935"/>
    <hyperlink r:id="rId1769" ref="G936"/>
    <hyperlink r:id="rId1770" ref="H937"/>
    <hyperlink r:id="rId1771" ref="H938"/>
    <hyperlink r:id="rId1772" ref="G939"/>
    <hyperlink r:id="rId1773" ref="G940"/>
    <hyperlink r:id="rId1774" ref="G941"/>
    <hyperlink r:id="rId1775" ref="H942"/>
    <hyperlink r:id="rId1776" ref="G943"/>
    <hyperlink r:id="rId1777" ref="G944"/>
    <hyperlink r:id="rId1778" ref="G945"/>
    <hyperlink r:id="rId1779" ref="H945"/>
    <hyperlink r:id="rId1780" ref="G946"/>
    <hyperlink r:id="rId1781" ref="G947"/>
    <hyperlink r:id="rId1782" ref="G948"/>
    <hyperlink r:id="rId1783" ref="G949"/>
    <hyperlink r:id="rId1784" ref="H949"/>
    <hyperlink r:id="rId1785" ref="H950"/>
    <hyperlink r:id="rId1786" ref="H951"/>
    <hyperlink r:id="rId1787" ref="G952"/>
    <hyperlink r:id="rId1788" ref="G953"/>
    <hyperlink r:id="rId1789" ref="G954"/>
    <hyperlink r:id="rId1790" ref="G955"/>
    <hyperlink r:id="rId1791" ref="H955"/>
    <hyperlink r:id="rId1792" ref="H956"/>
    <hyperlink r:id="rId1793" ref="H957"/>
    <hyperlink r:id="rId1794" ref="H958"/>
    <hyperlink r:id="rId1795" ref="G959"/>
    <hyperlink r:id="rId1796" ref="H960"/>
    <hyperlink r:id="rId1797" ref="H961"/>
    <hyperlink r:id="rId1798" ref="G962"/>
    <hyperlink r:id="rId1799" ref="H963"/>
    <hyperlink r:id="rId1800" ref="H964"/>
    <hyperlink r:id="rId1801" ref="H965"/>
    <hyperlink r:id="rId1802" ref="H966"/>
    <hyperlink r:id="rId1803" ref="G967"/>
    <hyperlink r:id="rId1804" ref="G968"/>
    <hyperlink r:id="rId1805" ref="H969"/>
    <hyperlink r:id="rId1806" ref="H970"/>
    <hyperlink r:id="rId1807" ref="H971"/>
    <hyperlink r:id="rId1808" ref="G972"/>
    <hyperlink r:id="rId1809" ref="H972"/>
    <hyperlink r:id="rId1810" ref="G973"/>
    <hyperlink r:id="rId1811" ref="H974"/>
    <hyperlink r:id="rId1812" ref="H975"/>
    <hyperlink r:id="rId1813" ref="G976"/>
    <hyperlink r:id="rId1814" ref="H976"/>
    <hyperlink r:id="rId1815" ref="G977"/>
    <hyperlink r:id="rId1816" ref="H977"/>
    <hyperlink r:id="rId1817" ref="G978"/>
    <hyperlink r:id="rId1818" ref="H978"/>
    <hyperlink r:id="rId1819" ref="H979"/>
    <hyperlink r:id="rId1820" ref="G980"/>
    <hyperlink r:id="rId1821" ref="G981"/>
    <hyperlink r:id="rId1822" ref="H981"/>
    <hyperlink r:id="rId1823" ref="G982"/>
    <hyperlink r:id="rId1824" ref="G983"/>
    <hyperlink r:id="rId1825" ref="H983"/>
    <hyperlink r:id="rId1826" ref="G984"/>
    <hyperlink r:id="rId1827" ref="H984"/>
    <hyperlink r:id="rId1828" ref="H985"/>
    <hyperlink r:id="rId1829" ref="G986"/>
    <hyperlink r:id="rId1830" ref="H986"/>
    <hyperlink r:id="rId1831" ref="G987"/>
    <hyperlink r:id="rId1832" ref="H987"/>
    <hyperlink r:id="rId1833" ref="H988"/>
    <hyperlink r:id="rId1834" ref="G989"/>
    <hyperlink r:id="rId1835" ref="H989"/>
    <hyperlink r:id="rId1836" ref="G990"/>
    <hyperlink r:id="rId1837" ref="H990"/>
    <hyperlink r:id="rId1838" ref="H991"/>
    <hyperlink r:id="rId1839" ref="G992"/>
    <hyperlink r:id="rId1840" ref="H992"/>
    <hyperlink r:id="rId1841" ref="G993"/>
    <hyperlink r:id="rId1842" ref="G994"/>
    <hyperlink r:id="rId1843" ref="H994"/>
    <hyperlink r:id="rId1844" ref="H995"/>
    <hyperlink r:id="rId1845" ref="G996"/>
    <hyperlink r:id="rId1846" ref="G997"/>
    <hyperlink r:id="rId1847" ref="G998"/>
    <hyperlink r:id="rId1848" ref="G999"/>
    <hyperlink r:id="rId1849" ref="H1000"/>
    <hyperlink r:id="rId1850" ref="G1001"/>
    <hyperlink r:id="rId1851" ref="H1002"/>
    <hyperlink r:id="rId1852" ref="G1003"/>
    <hyperlink r:id="rId1853" ref="H1003"/>
    <hyperlink r:id="rId1854" ref="H1004"/>
    <hyperlink r:id="rId1855" ref="H1005"/>
    <hyperlink r:id="rId1856" ref="G1006"/>
    <hyperlink r:id="rId1857" ref="H1006"/>
    <hyperlink r:id="rId1858" ref="G1007"/>
    <hyperlink r:id="rId1859" ref="G1008"/>
    <hyperlink r:id="rId1860" ref="G1009"/>
    <hyperlink r:id="rId1861" ref="G1010"/>
    <hyperlink r:id="rId1862" ref="H1011"/>
    <hyperlink r:id="rId1863" ref="G1012"/>
    <hyperlink r:id="rId1864" ref="H1012"/>
    <hyperlink r:id="rId1865" ref="H1013"/>
    <hyperlink r:id="rId1866" ref="G1014"/>
    <hyperlink r:id="rId1867" ref="H1014"/>
    <hyperlink r:id="rId1868" ref="G1015"/>
    <hyperlink r:id="rId1869" ref="H1016"/>
    <hyperlink r:id="rId1870" ref="G1017"/>
    <hyperlink r:id="rId1871" ref="G1018"/>
    <hyperlink r:id="rId1872" ref="H1018"/>
    <hyperlink r:id="rId1873" ref="G1019"/>
    <hyperlink r:id="rId1874" ref="H1020"/>
    <hyperlink r:id="rId1875" ref="H1021"/>
    <hyperlink r:id="rId1876" ref="G1022"/>
    <hyperlink r:id="rId1877" ref="H1022"/>
    <hyperlink r:id="rId1878" ref="H1023"/>
    <hyperlink r:id="rId1879" ref="H1024"/>
    <hyperlink r:id="rId1880" ref="G1025"/>
    <hyperlink r:id="rId1881" ref="H1026"/>
    <hyperlink r:id="rId1882" ref="G1027"/>
    <hyperlink r:id="rId1883" ref="G1028"/>
    <hyperlink r:id="rId1884" ref="H1028"/>
    <hyperlink r:id="rId1885" ref="H1029"/>
    <hyperlink r:id="rId1886" ref="H1030"/>
    <hyperlink r:id="rId1887" ref="G1031"/>
    <hyperlink r:id="rId1888" ref="G1032"/>
    <hyperlink r:id="rId1889" ref="G1033"/>
    <hyperlink r:id="rId1890" ref="H1033"/>
    <hyperlink r:id="rId1891" ref="H1034"/>
    <hyperlink r:id="rId1892" ref="H1035"/>
    <hyperlink r:id="rId1893" ref="H1036"/>
    <hyperlink r:id="rId1894" ref="G1037"/>
    <hyperlink r:id="rId1895" ref="H1037"/>
    <hyperlink r:id="rId1896" ref="G1038"/>
    <hyperlink r:id="rId1897" ref="H1039"/>
    <hyperlink r:id="rId1898" ref="H1040"/>
    <hyperlink r:id="rId1899" ref="H1041"/>
    <hyperlink r:id="rId1900" ref="H1042"/>
    <hyperlink r:id="rId1901" ref="H1043"/>
    <hyperlink r:id="rId1902" ref="G1044"/>
    <hyperlink r:id="rId1903" ref="H1045"/>
    <hyperlink r:id="rId1904" ref="G1046"/>
    <hyperlink r:id="rId1905" ref="H1047"/>
    <hyperlink r:id="rId1906" ref="H1048"/>
    <hyperlink r:id="rId1907" ref="G1049"/>
    <hyperlink r:id="rId1908" ref="H1050"/>
    <hyperlink r:id="rId1909" ref="H1051"/>
    <hyperlink r:id="rId1910" ref="H1052"/>
    <hyperlink r:id="rId1911" ref="H1053"/>
    <hyperlink r:id="rId1912" ref="G1054"/>
    <hyperlink r:id="rId1913" ref="G1055"/>
    <hyperlink r:id="rId1914" ref="G1056"/>
    <hyperlink r:id="rId1915" ref="G1057"/>
    <hyperlink r:id="rId1916" ref="G1058"/>
    <hyperlink r:id="rId1917" ref="H1058"/>
    <hyperlink r:id="rId1918" ref="G1059"/>
    <hyperlink r:id="rId1919" ref="H1060"/>
    <hyperlink r:id="rId1920" ref="G1061"/>
    <hyperlink r:id="rId1921" ref="G1062"/>
    <hyperlink r:id="rId1922" ref="G1063"/>
    <hyperlink r:id="rId1923" ref="H1063"/>
    <hyperlink r:id="rId1924" ref="H1064"/>
    <hyperlink r:id="rId1925" ref="H1065"/>
    <hyperlink r:id="rId1926" ref="H1066"/>
    <hyperlink r:id="rId1927" ref="H1067"/>
    <hyperlink r:id="rId1928" ref="G1068"/>
    <hyperlink r:id="rId1929" ref="H1068"/>
    <hyperlink r:id="rId1930" ref="H1069"/>
    <hyperlink r:id="rId1931" ref="G1070"/>
    <hyperlink r:id="rId1932" ref="H1071"/>
    <hyperlink r:id="rId1933" ref="H1072"/>
    <hyperlink r:id="rId1934" ref="G1073"/>
    <hyperlink r:id="rId1935" ref="H1073"/>
    <hyperlink r:id="rId1936" ref="H1074"/>
    <hyperlink r:id="rId1937" ref="H1075"/>
    <hyperlink r:id="rId1938" ref="H1076"/>
    <hyperlink r:id="rId1939" ref="H1077"/>
    <hyperlink r:id="rId1940" ref="G1078"/>
    <hyperlink r:id="rId1941" ref="H1078"/>
    <hyperlink r:id="rId1942" ref="H1079"/>
    <hyperlink r:id="rId1943" ref="G1080"/>
    <hyperlink r:id="rId1944" ref="H1080"/>
    <hyperlink r:id="rId1945" ref="G1081"/>
    <hyperlink r:id="rId1946" ref="G1082"/>
    <hyperlink r:id="rId1947" ref="G1083"/>
    <hyperlink r:id="rId1948" ref="H1084"/>
    <hyperlink r:id="rId1949" ref="H1085"/>
    <hyperlink r:id="rId1950" ref="H1086"/>
    <hyperlink r:id="rId1951" ref="G1087"/>
    <hyperlink r:id="rId1952" ref="H1087"/>
    <hyperlink r:id="rId1953" ref="G1088"/>
    <hyperlink r:id="rId1954" ref="G1089"/>
    <hyperlink r:id="rId1955" ref="H1089"/>
    <hyperlink r:id="rId1956" ref="G1090"/>
    <hyperlink r:id="rId1957" ref="H1090"/>
    <hyperlink r:id="rId1958" ref="G1091"/>
    <hyperlink r:id="rId1959" ref="G1092"/>
    <hyperlink r:id="rId1960" ref="H1092"/>
    <hyperlink r:id="rId1961" ref="G1093"/>
    <hyperlink r:id="rId1962" ref="G1094"/>
    <hyperlink r:id="rId1963" ref="G1095"/>
    <hyperlink r:id="rId1964" ref="H1095"/>
    <hyperlink r:id="rId1965" ref="G1096"/>
    <hyperlink r:id="rId1966" ref="G1097"/>
    <hyperlink r:id="rId1967" ref="H1097"/>
    <hyperlink r:id="rId1968" ref="G1098"/>
    <hyperlink r:id="rId1969" ref="H1099"/>
    <hyperlink r:id="rId1970" ref="G1100"/>
    <hyperlink r:id="rId1971" ref="G1101"/>
    <hyperlink r:id="rId1972" ref="H1101"/>
    <hyperlink r:id="rId1973" ref="G1102"/>
    <hyperlink r:id="rId1974" ref="H1102"/>
    <hyperlink r:id="rId1975" ref="H1103"/>
    <hyperlink r:id="rId1976" ref="G1104"/>
    <hyperlink r:id="rId1977" ref="G1105"/>
    <hyperlink r:id="rId1978" ref="G1106"/>
    <hyperlink r:id="rId1979" ref="H1106"/>
    <hyperlink r:id="rId1980" ref="H1107"/>
    <hyperlink r:id="rId1981" ref="G1108"/>
    <hyperlink r:id="rId1982" ref="H1108"/>
    <hyperlink r:id="rId1983" ref="H1109"/>
    <hyperlink r:id="rId1984" ref="H1110"/>
    <hyperlink r:id="rId1985" ref="H1111"/>
    <hyperlink r:id="rId1986" ref="G1112"/>
    <hyperlink r:id="rId1987" ref="H1112"/>
    <hyperlink r:id="rId1988" ref="G1113"/>
    <hyperlink r:id="rId1989" ref="H1113"/>
    <hyperlink r:id="rId1990" ref="G1114"/>
    <hyperlink r:id="rId1991" ref="G1115"/>
    <hyperlink r:id="rId1992" ref="G1116"/>
    <hyperlink r:id="rId1993" ref="G1117"/>
    <hyperlink r:id="rId1994" ref="G1118"/>
    <hyperlink r:id="rId1995" ref="G1119"/>
    <hyperlink r:id="rId1996" ref="H1120"/>
    <hyperlink r:id="rId1997" ref="H1121"/>
    <hyperlink r:id="rId1998" ref="G1122"/>
    <hyperlink r:id="rId1999" ref="H1122"/>
    <hyperlink r:id="rId2000" ref="H1123"/>
    <hyperlink r:id="rId2001" ref="H1124"/>
    <hyperlink r:id="rId2002" ref="H1125"/>
    <hyperlink r:id="rId2003" ref="G1126"/>
    <hyperlink r:id="rId2004" ref="H1126"/>
    <hyperlink r:id="rId2005" ref="H1127"/>
    <hyperlink r:id="rId2006" ref="H1128"/>
    <hyperlink r:id="rId2007" ref="G1129"/>
    <hyperlink r:id="rId2008" ref="H1130"/>
    <hyperlink r:id="rId2009" ref="H1131"/>
    <hyperlink r:id="rId2010" ref="H1132"/>
    <hyperlink r:id="rId2011" ref="G1133"/>
    <hyperlink r:id="rId2012" ref="H1134"/>
    <hyperlink r:id="rId2013" ref="G1135"/>
    <hyperlink r:id="rId2014" ref="H1136"/>
    <hyperlink r:id="rId2015" ref="H1137"/>
    <hyperlink r:id="rId2016" ref="G1138"/>
    <hyperlink r:id="rId2017" ref="H1139"/>
    <hyperlink r:id="rId2018" ref="G1140"/>
    <hyperlink r:id="rId2019" ref="G1141"/>
    <hyperlink r:id="rId2020" ref="G1142"/>
    <hyperlink r:id="rId2021" ref="H1143"/>
    <hyperlink r:id="rId2022" ref="G1144"/>
    <hyperlink r:id="rId2023" ref="G1145"/>
    <hyperlink r:id="rId2024" ref="H1145"/>
    <hyperlink r:id="rId2025" ref="G1146"/>
    <hyperlink r:id="rId2026" ref="G1147"/>
    <hyperlink r:id="rId2027" ref="G1148"/>
    <hyperlink r:id="rId2028" ref="H1148"/>
    <hyperlink r:id="rId2029" ref="G1149"/>
    <hyperlink r:id="rId2030" ref="H1149"/>
    <hyperlink r:id="rId2031" ref="G1150"/>
    <hyperlink r:id="rId2032" ref="G1151"/>
    <hyperlink r:id="rId2033" ref="H1151"/>
    <hyperlink r:id="rId2034" ref="G1152"/>
    <hyperlink r:id="rId2035" ref="H1153"/>
    <hyperlink r:id="rId2036" ref="H1154"/>
    <hyperlink r:id="rId2037" ref="G1155"/>
    <hyperlink r:id="rId2038" ref="G1156"/>
    <hyperlink r:id="rId2039" ref="G1157"/>
    <hyperlink r:id="rId2040" ref="G1158"/>
    <hyperlink r:id="rId2041" ref="H1158"/>
    <hyperlink r:id="rId2042" ref="H1159"/>
    <hyperlink r:id="rId2043" ref="H1160"/>
    <hyperlink r:id="rId2044" ref="H1161"/>
    <hyperlink r:id="rId2045" ref="H1162"/>
    <hyperlink r:id="rId2046" ref="H1163"/>
    <hyperlink r:id="rId2047" ref="H1164"/>
    <hyperlink r:id="rId2048" ref="H1165"/>
    <hyperlink r:id="rId2049" ref="H1166"/>
    <hyperlink r:id="rId2050" ref="G1167"/>
    <hyperlink r:id="rId2051" ref="H1167"/>
    <hyperlink r:id="rId2052" ref="G1168"/>
    <hyperlink r:id="rId2053" ref="H1169"/>
    <hyperlink r:id="rId2054" ref="G1170"/>
    <hyperlink r:id="rId2055" ref="G1171"/>
    <hyperlink r:id="rId2056" ref="H1172"/>
    <hyperlink r:id="rId2057" ref="H1173"/>
    <hyperlink r:id="rId2058" ref="H1174"/>
    <hyperlink r:id="rId2059" ref="H1175"/>
    <hyperlink r:id="rId2060" ref="H1176"/>
    <hyperlink r:id="rId2061" ref="H1177"/>
    <hyperlink r:id="rId2062" ref="G1178"/>
    <hyperlink r:id="rId2063" ref="H1179"/>
    <hyperlink r:id="rId2064" ref="G1180"/>
    <hyperlink r:id="rId2065" ref="H1181"/>
    <hyperlink r:id="rId2066" ref="G1182"/>
    <hyperlink r:id="rId2067" ref="H1182"/>
    <hyperlink r:id="rId2068" ref="G1183"/>
    <hyperlink r:id="rId2069" ref="H1183"/>
    <hyperlink r:id="rId2070" ref="H1184"/>
    <hyperlink r:id="rId2071" ref="G1185"/>
    <hyperlink r:id="rId2072" ref="H1186"/>
    <hyperlink r:id="rId2073" ref="H1187"/>
    <hyperlink r:id="rId2074" ref="H1188"/>
    <hyperlink r:id="rId2075" ref="G1189"/>
    <hyperlink r:id="rId2076" ref="H1190"/>
    <hyperlink r:id="rId2077" ref="H1191"/>
    <hyperlink r:id="rId2078" ref="H1192"/>
  </hyperlinks>
  <drawing r:id="rId2079"/>
</worksheet>
</file>