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fo" sheetId="1" state="visible" r:id="rId2"/>
    <sheet name="Constants" sheetId="2" state="visible" r:id="rId3"/>
    <sheet name="Calculator"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<sst xmlns="http://schemas.openxmlformats.org/spreadsheetml/2006/main" count="89" uniqueCount="80">
  <si>
    <t xml:space="preserve">How to use this calculator</t>
  </si>
  <si>
    <t xml:space="preserve">1. Decide which type of average do you need. If you need a “short-term” average (e.g. you are trying to fit a depth profile), you probably want to use a surface sample with its associated apparent exposure age. If you need a long-term average (e.g. Be-10 - Al-26 burial dating), you can use the concentrations of one of your “youngest” (shortest burial time) samples and their associated apparent erosion rates.</t>
  </si>
  <si>
    <t xml:space="preserve">2. Go to your favourite online calculator and calculate the apparent exposure ages or erosion rates using the desired reference calibration and scaling scheme.</t>
  </si>
  <si>
    <t xml:space="preserve">3. Input your latitude (decimal degrees), elevation (m above sea level), nuclide data, and calculated data (Exposure age in years or erosion rate in m/Ma) in the tab “Calculator”. Remember to input the external uncertainty of your data, as this will be used to calculate the uncertainty of the spallation production rate. If you input the internal uncertainty, a minimum of 1% uncertainty will be considered.</t>
  </si>
  <si>
    <t xml:space="preserve">4. Copy the production data and use it in your model.</t>
  </si>
  <si>
    <t xml:space="preserve">Citation</t>
  </si>
  <si>
    <t xml:space="preserve">The systematics of this calculator are described in:</t>
  </si>
  <si>
    <t xml:space="preserve">Rodés, Á. (2021) “The NUNAtak Ice Thinning (NUNAIT) Calculator for Cosmonuclide Elevation Profiles” Geosciences 11, no. 9: 362. doi:10.3390/geosciences11090362</t>
  </si>
  <si>
    <t xml:space="preserve">https://github.com/angelrodes/average_cosmogenic_production_rate_calculator</t>
  </si>
  <si>
    <t xml:space="preserve">Angel Rodés (2021)</t>
  </si>
  <si>
    <t xml:space="preserve">Constants from NUNAIT/constants.m and NUNIT/muon_contribution.m</t>
  </si>
  <si>
    <t xml:space="preserve">Nuclides</t>
  </si>
  <si>
    <t xml:space="preserve">Strings</t>
  </si>
  <si>
    <t xml:space="preserve">Be-10</t>
  </si>
  <si>
    <t xml:space="preserve">Al-26</t>
  </si>
  <si>
    <t xml:space="preserve">Cl-36</t>
  </si>
  <si>
    <t xml:space="preserve">C-14</t>
  </si>
  <si>
    <t xml:space="preserve">Ne-21</t>
  </si>
  <si>
    <t xml:space="preserve">He-3</t>
  </si>
  <si>
    <t xml:space="preserve">earth_age</t>
  </si>
  <si>
    <t xml:space="preserve">λ</t>
  </si>
  <si>
    <t xml:space="preserve">Λsp</t>
  </si>
  <si>
    <t xml:space="preserve">Λfμ1</t>
  </si>
  <si>
    <t xml:space="preserve">Λfμ2</t>
  </si>
  <si>
    <t xml:space="preserve">Λμ-</t>
  </si>
  <si>
    <t xml:space="preserve">Cfμ</t>
  </si>
  <si>
    <t xml:space="preserve">Pfμ1/Pμ</t>
  </si>
  <si>
    <t xml:space="preserve">Pfμ2/Pμ</t>
  </si>
  <si>
    <t xml:space="preserve">Pμ-/Pμ</t>
  </si>
  <si>
    <t xml:space="preserve">ρ</t>
  </si>
  <si>
    <t xml:space="preserve">(Pμ/Ptotal) scaled to Be-10</t>
  </si>
  <si>
    <t xml:space="preserve">Global Pμ/Ptotal</t>
  </si>
  <si>
    <t xml:space="preserve">Input data:</t>
  </si>
  <si>
    <t xml:space="preserve">Output:</t>
  </si>
  <si>
    <t xml:space="preserve">Latitude:</t>
  </si>
  <si>
    <t xml:space="preserve">°</t>
  </si>
  <si>
    <t xml:space="preserve">Elevation:</t>
  </si>
  <si>
    <t xml:space="preserve">m</t>
  </si>
  <si>
    <t xml:space="preserve">P</t>
  </si>
  <si>
    <t xml:space="preserve">Nuclide:</t>
  </si>
  <si>
    <t xml:space="preserve">Spallation</t>
  </si>
  <si>
    <t xml:space="preserve">Concentration:</t>
  </si>
  <si>
    <t xml:space="preserve">Fast muons 1</t>
  </si>
  <si>
    <t xml:space="preserve">Uncertainty:</t>
  </si>
  <si>
    <t xml:space="preserve">Fast muons 2</t>
  </si>
  <si>
    <t xml:space="preserve">Data type:</t>
  </si>
  <si>
    <t xml:space="preserve">Exposure age</t>
  </si>
  <si>
    <t xml:space="preserve">Negative muons</t>
  </si>
  <si>
    <t xml:space="preserve">Data:</t>
  </si>
  <si>
    <t xml:space="preserve">External uncert.:</t>
  </si>
  <si>
    <t xml:space="preserve">Total</t>
  </si>
  <si>
    <t xml:space="preserve">±</t>
  </si>
  <si>
    <t xml:space="preserve">Attenuation lengths:</t>
  </si>
  <si>
    <t xml:space="preserve">Λ</t>
  </si>
  <si>
    <t xml:space="preserve">g/cm2</t>
  </si>
  <si>
    <r>
      <rPr>
        <sz val="11"/>
        <color rgb="FF000000"/>
        <rFont val="Arial"/>
        <family val="2"/>
        <charset val="1"/>
      </rPr>
      <t xml:space="preserve">years</t>
    </r>
    <r>
      <rPr>
        <vertAlign val="superscript"/>
        <sz val="11"/>
        <color rgb="FF000000"/>
        <rFont val="Arial"/>
        <family val="2"/>
        <charset val="1"/>
      </rPr>
      <t xml:space="preserve">-1</t>
    </r>
  </si>
  <si>
    <t xml:space="preserve">Half-life</t>
  </si>
  <si>
    <t xml:space="preserve">years</t>
  </si>
  <si>
    <t xml:space="preserve">Calculations:</t>
  </si>
  <si>
    <t xml:space="preserve">((lat+1)/30.31)^2</t>
  </si>
  <si>
    <t xml:space="preserve">Pμ/Ptotal</t>
  </si>
  <si>
    <t xml:space="preserve">Pi/Ptotal:</t>
  </si>
  <si>
    <t xml:space="preserve">Psp/Ptotal</t>
  </si>
  <si>
    <t xml:space="preserve">Pfμ1/Ptotal</t>
  </si>
  <si>
    <t xml:space="preserve">Pfμ2/Ptotal</t>
  </si>
  <si>
    <t xml:space="preserve">Pμ-/Ptotal</t>
  </si>
  <si>
    <t xml:space="preserve">Ci/Ptotal:</t>
  </si>
  <si>
    <t xml:space="preserve">Csp/Ptotal</t>
  </si>
  <si>
    <t xml:space="preserve">Cfμ1/Ptotal</t>
  </si>
  <si>
    <t xml:space="preserve">Cfμ2/Ptotal</t>
  </si>
  <si>
    <t xml:space="preserve">Cμ-/Ptotal</t>
  </si>
  <si>
    <t xml:space="preserve">C/Ptotal</t>
  </si>
  <si>
    <t xml:space="preserve">Ptotal:</t>
  </si>
  <si>
    <t xml:space="preserve">Psp</t>
  </si>
  <si>
    <t xml:space="preserve">Pfμ1</t>
  </si>
  <si>
    <t xml:space="preserve">Pfμ2</t>
  </si>
  <si>
    <t xml:space="preserve">Pμ-</t>
  </si>
  <si>
    <t xml:space="preserve">Significant figures</t>
  </si>
  <si>
    <t xml:space="preserve">Dialog</t>
  </si>
  <si>
    <t xml:space="preserve">Erosion rate</t>
  </si>
</sst>
</file>

<file path=xl/styles.xml><?xml version="1.0" encoding="utf-8"?>
<styleSheet xmlns="http://schemas.openxmlformats.org/spreadsheetml/2006/main">
  <numFmts count="5">
    <numFmt numFmtId="164" formatCode="General"/>
    <numFmt numFmtId="165" formatCode="0.00E+00"/>
    <numFmt numFmtId="166" formatCode="General"/>
    <numFmt numFmtId="167" formatCode="0.00%"/>
    <numFmt numFmtId="168" formatCode="0.0000E+00"/>
  </numFmts>
  <fonts count="16">
    <font>
      <sz val="11"/>
      <color rgb="FF000000"/>
      <name val="宋体"/>
      <family val="2"/>
      <charset val="134"/>
    </font>
    <font>
      <sz val="10"/>
      <name val="Arial"/>
      <family val="0"/>
    </font>
    <font>
      <sz val="10"/>
      <name val="Arial"/>
      <family val="0"/>
    </font>
    <font>
      <sz val="10"/>
      <name val="Arial"/>
      <family val="0"/>
    </font>
    <font>
      <sz val="11"/>
      <color rgb="FF000000"/>
      <name val="Arial"/>
      <family val="2"/>
      <charset val="1"/>
    </font>
    <font>
      <b val="true"/>
      <sz val="11"/>
      <color rgb="FF000000"/>
      <name val="Arial"/>
      <family val="2"/>
      <charset val="1"/>
    </font>
    <font>
      <i val="true"/>
      <sz val="11"/>
      <color rgb="FF000000"/>
      <name val="Arial"/>
      <family val="2"/>
      <charset val="1"/>
    </font>
    <font>
      <sz val="11"/>
      <color rgb="FF3F3F76"/>
      <name val="Calibri"/>
      <family val="2"/>
      <charset val="1"/>
    </font>
    <font>
      <sz val="11"/>
      <name val="Calibri"/>
      <family val="2"/>
      <charset val="1"/>
    </font>
    <font>
      <b val="true"/>
      <u val="single"/>
      <sz val="11"/>
      <color rgb="FF000000"/>
      <name val="Arial"/>
      <family val="2"/>
      <charset val="1"/>
    </font>
    <font>
      <b val="true"/>
      <sz val="11"/>
      <color rgb="FF3F3F76"/>
      <name val="Arial"/>
      <family val="2"/>
      <charset val="1"/>
    </font>
    <font>
      <b val="true"/>
      <sz val="11"/>
      <color rgb="FF3F3F3F"/>
      <name val="Calibri"/>
      <family val="2"/>
      <charset val="1"/>
    </font>
    <font>
      <b val="true"/>
      <sz val="11"/>
      <color rgb="FF3F3F3F"/>
      <name val="Arial"/>
      <family val="2"/>
      <charset val="1"/>
    </font>
    <font>
      <sz val="11"/>
      <color rgb="FF808080"/>
      <name val="Arial"/>
      <family val="2"/>
      <charset val="1"/>
    </font>
    <font>
      <vertAlign val="superscript"/>
      <sz val="11"/>
      <color rgb="FF000000"/>
      <name val="Arial"/>
      <family val="2"/>
      <charset val="1"/>
    </font>
    <font>
      <sz val="11"/>
      <color rgb="FF666666"/>
      <name val="Arial"/>
      <family val="2"/>
      <charset val="1"/>
    </font>
  </fonts>
  <fills count="6">
    <fill>
      <patternFill patternType="none"/>
    </fill>
    <fill>
      <patternFill patternType="gray125"/>
    </fill>
    <fill>
      <patternFill patternType="solid">
        <fgColor rgb="FFFFCC99"/>
        <bgColor rgb="FFFFFF99"/>
      </patternFill>
    </fill>
    <fill>
      <patternFill patternType="solid">
        <fgColor rgb="FFF2F2F2"/>
        <bgColor rgb="FFFFFFCC"/>
      </patternFill>
    </fill>
    <fill>
      <patternFill patternType="solid">
        <fgColor rgb="FF999999"/>
        <bgColor rgb="FFB2B2B2"/>
      </patternFill>
    </fill>
    <fill>
      <patternFill patternType="solid">
        <fgColor rgb="FFB2B2B2"/>
        <bgColor rgb="FF999999"/>
      </patternFill>
    </fill>
  </fills>
  <borders count="5">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top style="thin"/>
      <bottom/>
      <diagonal/>
    </border>
    <border diagonalUp="false" diagonalDown="false">
      <left/>
      <right/>
      <top/>
      <bottom style="thin"/>
      <diagonal/>
    </border>
  </borders>
  <cellStyleXfs count="22">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1" applyFont="true" applyBorder="true" applyAlignment="true" applyProtection="false">
      <alignment horizontal="general" vertical="center" textRotation="0" wrapText="false" indent="0" shrinkToFit="false"/>
    </xf>
    <xf numFmtId="164" fontId="11" fillId="3" borderId="2" applyFont="true" applyBorder="true" applyAlignment="true" applyProtection="false">
      <alignment horizontal="general" vertical="center" textRotation="0" wrapText="false" indent="0" shrinkToFit="false"/>
    </xf>
  </cellStyleXfs>
  <cellXfs count="30">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4" borderId="0" xfId="0" applyFont="true" applyBorder="false" applyAlignment="true" applyProtection="false">
      <alignment horizontal="right" vertical="center" textRotation="0" wrapText="false" indent="0" shrinkToFit="false"/>
      <protection locked="true" hidden="false"/>
    </xf>
    <xf numFmtId="164" fontId="4" fillId="4" borderId="0" xfId="0" applyFont="true" applyBorder="false" applyAlignment="true" applyProtection="false">
      <alignment horizontal="center" vertical="center" textRotation="0" wrapText="false" indent="0" shrinkToFit="false"/>
      <protection locked="true" hidden="false"/>
    </xf>
    <xf numFmtId="165" fontId="4" fillId="4" borderId="0" xfId="0" applyFont="true" applyBorder="false" applyAlignment="true" applyProtection="false">
      <alignment horizontal="center" vertical="center" textRotation="0" wrapText="false" indent="0" shrinkToFit="false"/>
      <protection locked="true" hidden="false"/>
    </xf>
    <xf numFmtId="164" fontId="8" fillId="5" borderId="1" xfId="20" applyFont="true" applyBorder="false" applyAlignment="true" applyProtection="true">
      <alignment horizontal="center" vertical="center" textRotation="0" wrapText="false" indent="0" shrinkToFit="false"/>
      <protection locked="fals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4" fontId="10" fillId="2" borderId="1" xfId="20" applyFont="true" applyBorder="false" applyAlignment="true" applyProtection="true">
      <alignment horizontal="center" vertical="center" textRotation="0" wrapText="false" indent="0" shrinkToFit="false"/>
      <protection locked="false" hidden="false"/>
    </xf>
    <xf numFmtId="166" fontId="4"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right" vertical="center" textRotation="0" wrapText="false" indent="0" shrinkToFit="false"/>
      <protection locked="true" hidden="false"/>
    </xf>
    <xf numFmtId="166" fontId="12" fillId="3" borderId="3" xfId="21" applyFont="true" applyBorder="true" applyAlignment="true" applyProtection="true">
      <alignment horizontal="center" vertical="center" textRotation="0" wrapText="false" indent="0" shrinkToFit="false"/>
      <protection locked="true" hidden="false"/>
    </xf>
    <xf numFmtId="167" fontId="13" fillId="0" borderId="0" xfId="0" applyFont="true" applyBorder="false" applyAlignment="true" applyProtection="false">
      <alignment horizontal="center" vertical="center" textRotation="0" wrapText="false" indent="0" shrinkToFit="false"/>
      <protection locked="true" hidden="false"/>
    </xf>
    <xf numFmtId="166" fontId="12" fillId="3" borderId="0" xfId="21" applyFont="true" applyBorder="true" applyAlignment="true" applyProtection="true">
      <alignment horizontal="center" vertical="center" textRotation="0" wrapText="false" indent="0" shrinkToFit="false"/>
      <protection locked="true" hidden="false"/>
    </xf>
    <xf numFmtId="166" fontId="12" fillId="3" borderId="4" xfId="21" applyFont="true" applyBorder="true" applyAlignment="true" applyProtection="true">
      <alignment horizontal="center" vertical="center" textRotation="0" wrapText="false" indent="0" shrinkToFit="false"/>
      <protection locked="true" hidden="false"/>
    </xf>
    <xf numFmtId="167"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false" applyProtection="false">
      <alignment horizontal="general" vertical="center" textRotation="0" wrapText="false" indent="0" shrinkToFit="false"/>
      <protection locked="true" hidden="false"/>
    </xf>
    <xf numFmtId="168" fontId="12" fillId="3" borderId="0" xfId="21" applyFont="true" applyBorder="true" applyAlignment="true" applyProtection="true">
      <alignment horizontal="center" vertical="center" textRotation="0" wrapText="false" indent="0" shrinkToFit="false"/>
      <protection locked="true" hidden="false"/>
    </xf>
    <xf numFmtId="166" fontId="15" fillId="4" borderId="0" xfId="0" applyFont="true" applyBorder="false" applyAlignment="true" applyProtection="false">
      <alignment horizontal="right" vertical="center" textRotation="0" wrapText="false" indent="0" shrinkToFit="false"/>
      <protection locked="true" hidden="false"/>
    </xf>
    <xf numFmtId="166" fontId="15" fillId="4" borderId="0" xfId="0" applyFont="true" applyBorder="false" applyAlignment="true" applyProtection="false">
      <alignment horizontal="center" vertical="center" textRotation="0" wrapText="false" indent="0" shrinkToFit="false"/>
      <protection locked="true" hidden="false"/>
    </xf>
    <xf numFmtId="164" fontId="15" fillId="4" borderId="0" xfId="0" applyFont="true" applyBorder="false" applyAlignment="false" applyProtection="false">
      <alignment horizontal="general" vertical="center" textRotation="0" wrapText="false" indent="0" shrinkToFit="false"/>
      <protection locked="true" hidden="false"/>
    </xf>
    <xf numFmtId="167" fontId="15" fillId="4" borderId="0" xfId="0" applyFont="true" applyBorder="false" applyAlignment="true" applyProtection="false">
      <alignment horizontal="center" vertical="center" textRotation="0" wrapText="false" indent="0" shrinkToFit="false"/>
      <protection locked="true" hidden="false"/>
    </xf>
    <xf numFmtId="165" fontId="15" fillId="4" borderId="0" xfId="0" applyFont="true" applyBorder="false" applyAlignment="true" applyProtection="false">
      <alignment horizontal="center"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Input" xfId="20"/>
    <cellStyle name="Excel Built-in Output" xfId="21"/>
  </cellStyles>
  <colors>
    <indexedColors>
      <rgbColor rgb="FF000000"/>
      <rgbColor rgb="FFF2F2F2"/>
      <rgbColor rgb="FFFF0000"/>
      <rgbColor rgb="FF00FF00"/>
      <rgbColor rgb="FF0000FF"/>
      <rgbColor rgb="FFFFFF00"/>
      <rgbColor rgb="FFFF00FF"/>
      <rgbColor rgb="FF00FFFF"/>
      <rgbColor rgb="FF800000"/>
      <rgbColor rgb="FF008000"/>
      <rgbColor rgb="FF000080"/>
      <rgbColor rgb="FF7F7F7F"/>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F3F76"/>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i.org/10.3390/geosciences11090362" TargetMode="External"/><Relationship Id="rId2" Type="http://schemas.openxmlformats.org/officeDocument/2006/relationships/hyperlink" Target="https://github.com/angelrodes/average_cosmogenic_production_rate_calculator"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13"/>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A19" activeCellId="0" sqref="A19"/>
    </sheetView>
  </sheetViews>
  <sheetFormatPr defaultColWidth="8.5078125" defaultRowHeight="14.25" zeroHeight="false" outlineLevelRow="0" outlineLevelCol="0"/>
  <cols>
    <col collapsed="false" customWidth="true" hidden="false" outlineLevel="0" max="1" min="1" style="1" width="120.62"/>
    <col collapsed="false" customWidth="false" hidden="false" outlineLevel="0" max="1024" min="2" style="1" width="8.51"/>
  </cols>
  <sheetData>
    <row r="2" customFormat="false" ht="15" hidden="false" customHeight="false" outlineLevel="0" collapsed="false">
      <c r="A2" s="2" t="s">
        <v>0</v>
      </c>
    </row>
    <row r="3" customFormat="false" ht="42.75" hidden="false" customHeight="false" outlineLevel="0" collapsed="false">
      <c r="A3" s="3" t="s">
        <v>1</v>
      </c>
    </row>
    <row r="4" customFormat="false" ht="28.5" hidden="false" customHeight="false" outlineLevel="0" collapsed="false">
      <c r="A4" s="3" t="s">
        <v>2</v>
      </c>
    </row>
    <row r="5" customFormat="false" ht="42.75" hidden="false" customHeight="false" outlineLevel="0" collapsed="false">
      <c r="A5" s="3" t="s">
        <v>3</v>
      </c>
    </row>
    <row r="6" customFormat="false" ht="14.25" hidden="false" customHeight="false" outlineLevel="0" collapsed="false">
      <c r="A6" s="3" t="s">
        <v>4</v>
      </c>
    </row>
    <row r="8" customFormat="false" ht="15" hidden="false" customHeight="false" outlineLevel="0" collapsed="false">
      <c r="A8" s="2" t="s">
        <v>5</v>
      </c>
    </row>
    <row r="9" customFormat="false" ht="14.25" hidden="false" customHeight="false" outlineLevel="0" collapsed="false">
      <c r="A9" s="3" t="s">
        <v>6</v>
      </c>
    </row>
    <row r="10" customFormat="false" ht="14.15" hidden="false" customHeight="false" outlineLevel="0" collapsed="false">
      <c r="A10" s="4" t="s">
        <v>7</v>
      </c>
    </row>
    <row r="11" customFormat="false" ht="13.8" hidden="false" customHeight="false" outlineLevel="0" collapsed="false"/>
    <row r="12" customFormat="false" ht="14.25" hidden="false" customHeight="false" outlineLevel="0" collapsed="false">
      <c r="A12" s="1" t="s">
        <v>8</v>
      </c>
    </row>
    <row r="13" customFormat="false" ht="15" hidden="false" customHeight="false" outlineLevel="0" collapsed="false">
      <c r="A13" s="2" t="s">
        <v>9</v>
      </c>
    </row>
  </sheetData>
  <sheetProtection sheet="true" password="ea6d" objects="true" scenarios="true"/>
  <hyperlinks>
    <hyperlink ref="A10" r:id="rId1" display="Rodés, Á. (2021) “The NUNAtak Ice Thinning (NUNAIT) Calculator for Cosmonuclide Elevation Profiles” Geosciences 11, no. 9: 362. doi:10.3390/geosciences11090362"/>
    <hyperlink ref="A12" r:id="rId2" display="https://github.com/angelrodes/average_cosmogenic_production_rate_calculator"/>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14" activeCellId="0" sqref="B14"/>
    </sheetView>
  </sheetViews>
  <sheetFormatPr defaultColWidth="8.5078125" defaultRowHeight="16.5" zeroHeight="false" outlineLevelRow="0" outlineLevelCol="0"/>
  <cols>
    <col collapsed="false" customWidth="true" hidden="false" outlineLevel="0" max="1" min="1" style="5" width="23.37"/>
    <col collapsed="false" customWidth="true" hidden="false" outlineLevel="0" max="7" min="2" style="6" width="10.51"/>
    <col collapsed="false" customWidth="false" hidden="false" outlineLevel="0" max="1024" min="8" style="1" width="8.51"/>
  </cols>
  <sheetData>
    <row r="1" customFormat="false" ht="16.5" hidden="false" customHeight="false" outlineLevel="0" collapsed="false">
      <c r="A1" s="7" t="s">
        <v>10</v>
      </c>
      <c r="B1" s="7"/>
      <c r="C1" s="7"/>
      <c r="D1" s="7"/>
      <c r="E1" s="7"/>
      <c r="F1" s="7"/>
      <c r="G1" s="7"/>
    </row>
    <row r="2" customFormat="false" ht="16.5" hidden="false" customHeight="false" outlineLevel="0" collapsed="false">
      <c r="A2" s="8" t="s">
        <v>11</v>
      </c>
      <c r="B2" s="9" t="n">
        <v>10</v>
      </c>
      <c r="C2" s="9" t="n">
        <v>26</v>
      </c>
      <c r="D2" s="9" t="n">
        <v>36</v>
      </c>
      <c r="E2" s="9" t="n">
        <v>14</v>
      </c>
      <c r="F2" s="9" t="n">
        <v>21</v>
      </c>
      <c r="G2" s="9" t="n">
        <v>3</v>
      </c>
    </row>
    <row r="3" customFormat="false" ht="16.5" hidden="false" customHeight="false" outlineLevel="0" collapsed="false">
      <c r="A3" s="8" t="s">
        <v>12</v>
      </c>
      <c r="B3" s="9" t="s">
        <v>13</v>
      </c>
      <c r="C3" s="9" t="s">
        <v>14</v>
      </c>
      <c r="D3" s="9" t="s">
        <v>15</v>
      </c>
      <c r="E3" s="9" t="s">
        <v>16</v>
      </c>
      <c r="F3" s="9" t="s">
        <v>17</v>
      </c>
      <c r="G3" s="9" t="s">
        <v>18</v>
      </c>
    </row>
    <row r="4" customFormat="false" ht="16.5" hidden="false" customHeight="false" outlineLevel="0" collapsed="false">
      <c r="A4" s="8" t="s">
        <v>19</v>
      </c>
      <c r="B4" s="10" t="n">
        <v>4543000000</v>
      </c>
      <c r="C4" s="10" t="n">
        <f aca="false">B4</f>
        <v>4543000000</v>
      </c>
      <c r="D4" s="10" t="n">
        <f aca="false">C4</f>
        <v>4543000000</v>
      </c>
      <c r="E4" s="10" t="n">
        <f aca="false">D4</f>
        <v>4543000000</v>
      </c>
      <c r="F4" s="10" t="n">
        <f aca="false">E4</f>
        <v>4543000000</v>
      </c>
      <c r="G4" s="10" t="n">
        <f aca="false">F4</f>
        <v>4543000000</v>
      </c>
    </row>
    <row r="5" customFormat="false" ht="16.5" hidden="false" customHeight="false" outlineLevel="0" collapsed="false">
      <c r="A5" s="8" t="s">
        <v>20</v>
      </c>
      <c r="B5" s="10" t="n">
        <f aca="false">-LN(0.5)/1387000</f>
        <v>4.99745624051871E-007</v>
      </c>
      <c r="C5" s="10" t="n">
        <f aca="false">-LN(0.5)/705000</f>
        <v>9.83187490155951E-007</v>
      </c>
      <c r="D5" s="10" t="n">
        <f aca="false">-LN(0.5)/301000</f>
        <v>2.3028145533553E-006</v>
      </c>
      <c r="E5" s="10" t="n">
        <f aca="false">-LN(0.5)/5700</f>
        <v>0.000121604768519289</v>
      </c>
      <c r="F5" s="10" t="n">
        <f aca="false">-LN(0.5)/(100*F4)</f>
        <v>1.52574770099041E-012</v>
      </c>
      <c r="G5" s="10" t="n">
        <f aca="false">-LN(0.5)/(100*G4)</f>
        <v>1.52574770099041E-012</v>
      </c>
    </row>
    <row r="6" customFormat="false" ht="16.5" hidden="false" customHeight="false" outlineLevel="0" collapsed="false">
      <c r="A6" s="8" t="s">
        <v>21</v>
      </c>
      <c r="B6" s="9" t="n">
        <v>160</v>
      </c>
      <c r="C6" s="9" t="n">
        <f aca="false">B6</f>
        <v>160</v>
      </c>
      <c r="D6" s="9" t="n">
        <f aca="false">C6</f>
        <v>160</v>
      </c>
      <c r="E6" s="9" t="n">
        <f aca="false">D6</f>
        <v>160</v>
      </c>
      <c r="F6" s="9" t="n">
        <f aca="false">E6</f>
        <v>160</v>
      </c>
      <c r="G6" s="9" t="n">
        <f aca="false">F6</f>
        <v>160</v>
      </c>
    </row>
    <row r="7" customFormat="false" ht="16.5" hidden="false" customHeight="false" outlineLevel="0" collapsed="false">
      <c r="A7" s="8" t="s">
        <v>22</v>
      </c>
      <c r="B7" s="9" t="n">
        <v>850</v>
      </c>
      <c r="C7" s="9" t="n">
        <f aca="false">B7</f>
        <v>850</v>
      </c>
      <c r="D7" s="9" t="n">
        <f aca="false">C7</f>
        <v>850</v>
      </c>
      <c r="E7" s="9" t="n">
        <f aca="false">D7</f>
        <v>850</v>
      </c>
      <c r="F7" s="9" t="n">
        <f aca="false">E7</f>
        <v>850</v>
      </c>
      <c r="G7" s="9" t="n">
        <f aca="false">F7</f>
        <v>850</v>
      </c>
    </row>
    <row r="8" customFormat="false" ht="16.5" hidden="false" customHeight="false" outlineLevel="0" collapsed="false">
      <c r="A8" s="8" t="s">
        <v>23</v>
      </c>
      <c r="B8" s="9" t="n">
        <v>5000</v>
      </c>
      <c r="C8" s="9" t="n">
        <f aca="false">B8</f>
        <v>5000</v>
      </c>
      <c r="D8" s="9" t="n">
        <f aca="false">C8</f>
        <v>5000</v>
      </c>
      <c r="E8" s="9" t="n">
        <f aca="false">D8</f>
        <v>5000</v>
      </c>
      <c r="F8" s="9" t="n">
        <f aca="false">E8</f>
        <v>5000</v>
      </c>
      <c r="G8" s="9" t="n">
        <f aca="false">F8</f>
        <v>5000</v>
      </c>
    </row>
    <row r="9" customFormat="false" ht="16.5" hidden="false" customHeight="false" outlineLevel="0" collapsed="false">
      <c r="A9" s="8" t="s">
        <v>24</v>
      </c>
      <c r="B9" s="9" t="n">
        <v>500</v>
      </c>
      <c r="C9" s="9" t="n">
        <f aca="false">B9</f>
        <v>500</v>
      </c>
      <c r="D9" s="9" t="n">
        <f aca="false">C9</f>
        <v>500</v>
      </c>
      <c r="E9" s="9" t="n">
        <f aca="false">D9</f>
        <v>500</v>
      </c>
      <c r="F9" s="9" t="n">
        <f aca="false">E9</f>
        <v>500</v>
      </c>
      <c r="G9" s="9" t="n">
        <f aca="false">F9</f>
        <v>500</v>
      </c>
    </row>
    <row r="10" customFormat="false" ht="16.5" hidden="false" customHeight="false" outlineLevel="0" collapsed="false">
      <c r="A10" s="8" t="s">
        <v>25</v>
      </c>
      <c r="B10" s="9" t="n">
        <v>0.32069</v>
      </c>
      <c r="C10" s="9" t="n">
        <v>0.22282</v>
      </c>
      <c r="D10" s="9" t="n">
        <v>0.062</v>
      </c>
      <c r="E10" s="9" t="n">
        <v>0.0672</v>
      </c>
      <c r="F10" s="9" t="n">
        <v>1</v>
      </c>
      <c r="G10" s="9" t="n">
        <f aca="false">B10</f>
        <v>0.32069</v>
      </c>
    </row>
    <row r="11" customFormat="false" ht="16.5" hidden="false" customHeight="false" outlineLevel="0" collapsed="false">
      <c r="A11" s="8" t="s">
        <v>26</v>
      </c>
      <c r="B11" s="9" t="n">
        <f aca="false">B10*0.75</f>
        <v>0.2405175</v>
      </c>
      <c r="C11" s="9" t="n">
        <f aca="false">C10*0.75</f>
        <v>0.167115</v>
      </c>
      <c r="D11" s="9" t="n">
        <f aca="false">D10*0.75</f>
        <v>0.0465</v>
      </c>
      <c r="E11" s="9" t="n">
        <f aca="false">E10*0.75</f>
        <v>0.0504</v>
      </c>
      <c r="F11" s="9" t="n">
        <f aca="false">F10*0.75</f>
        <v>0.75</v>
      </c>
      <c r="G11" s="9" t="n">
        <f aca="false">G10*0.75</f>
        <v>0.2405175</v>
      </c>
    </row>
    <row r="12" customFormat="false" ht="16.5" hidden="false" customHeight="false" outlineLevel="0" collapsed="false">
      <c r="A12" s="8" t="s">
        <v>27</v>
      </c>
      <c r="B12" s="9" t="n">
        <f aca="false">B10*0.25</f>
        <v>0.0801725</v>
      </c>
      <c r="C12" s="9" t="n">
        <f aca="false">C10*0.25</f>
        <v>0.055705</v>
      </c>
      <c r="D12" s="9" t="n">
        <f aca="false">D10*0.25</f>
        <v>0.0155</v>
      </c>
      <c r="E12" s="9" t="n">
        <f aca="false">E10*0.25</f>
        <v>0.0168</v>
      </c>
      <c r="F12" s="9" t="n">
        <f aca="false">F10*0.25</f>
        <v>0.25</v>
      </c>
      <c r="G12" s="9" t="n">
        <f aca="false">G10*0.25</f>
        <v>0.0801725</v>
      </c>
    </row>
    <row r="13" customFormat="false" ht="16.5" hidden="false" customHeight="false" outlineLevel="0" collapsed="false">
      <c r="A13" s="8" t="s">
        <v>28</v>
      </c>
      <c r="B13" s="9" t="n">
        <f aca="false">1-B10</f>
        <v>0.67931</v>
      </c>
      <c r="C13" s="9" t="n">
        <f aca="false">1-C10</f>
        <v>0.77718</v>
      </c>
      <c r="D13" s="9" t="n">
        <f aca="false">1-D10</f>
        <v>0.938</v>
      </c>
      <c r="E13" s="9" t="n">
        <f aca="false">1-E10</f>
        <v>0.9328</v>
      </c>
      <c r="F13" s="9" t="n">
        <f aca="false">1-F10</f>
        <v>0</v>
      </c>
      <c r="G13" s="9" t="n">
        <f aca="false">1-G10</f>
        <v>0.67931</v>
      </c>
    </row>
    <row r="14" customFormat="false" ht="16.5" hidden="false" customHeight="false" outlineLevel="0" collapsed="false">
      <c r="A14" s="8" t="s">
        <v>29</v>
      </c>
      <c r="B14" s="11" t="n">
        <v>2.65</v>
      </c>
      <c r="C14" s="9" t="n">
        <f aca="false">B14</f>
        <v>2.65</v>
      </c>
      <c r="D14" s="9" t="n">
        <f aca="false">C14</f>
        <v>2.65</v>
      </c>
      <c r="E14" s="9" t="n">
        <f aca="false">D14</f>
        <v>2.65</v>
      </c>
      <c r="F14" s="9" t="n">
        <f aca="false">E14</f>
        <v>2.65</v>
      </c>
      <c r="G14" s="9" t="n">
        <f aca="false">F14</f>
        <v>2.65</v>
      </c>
    </row>
    <row r="15" customFormat="false" ht="16.5" hidden="false" customHeight="false" outlineLevel="0" collapsed="false">
      <c r="A15" s="8" t="s">
        <v>30</v>
      </c>
      <c r="B15" s="9" t="n">
        <v>1</v>
      </c>
      <c r="C15" s="9" t="n">
        <v>1.4587</v>
      </c>
      <c r="D15" s="9" t="n">
        <v>3.272</v>
      </c>
      <c r="E15" s="9" t="n">
        <v>8.2767</v>
      </c>
      <c r="F15" s="9" t="n">
        <v>4.086</v>
      </c>
      <c r="G15" s="9" t="n">
        <v>1</v>
      </c>
    </row>
    <row r="16" customFormat="false" ht="16.5" hidden="false" customHeight="false" outlineLevel="0" collapsed="false">
      <c r="A16" s="8" t="s">
        <v>31</v>
      </c>
      <c r="B16" s="9" t="n">
        <v>0.0126</v>
      </c>
      <c r="C16" s="9"/>
      <c r="D16" s="9"/>
      <c r="E16" s="9"/>
      <c r="F16" s="9"/>
      <c r="G16" s="9"/>
    </row>
    <row r="17" customFormat="false" ht="16.5" hidden="false" customHeight="false" outlineLevel="0" collapsed="false">
      <c r="A17" s="8" t="str">
        <f aca="false">"Scatter "&amp;A16</f>
        <v>Scatter Global Pμ/Ptotal</v>
      </c>
      <c r="B17" s="9" t="n">
        <v>0.00044</v>
      </c>
      <c r="C17" s="9"/>
      <c r="D17" s="9"/>
      <c r="E17" s="9"/>
      <c r="F17" s="9"/>
      <c r="G17" s="9"/>
    </row>
  </sheetData>
  <sheetProtection sheet="true" password="ea6d" objects="true" scenarios="true"/>
  <mergeCells count="1">
    <mergeCell ref="A1:G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7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13" activeCellId="0" sqref="B13"/>
    </sheetView>
  </sheetViews>
  <sheetFormatPr defaultColWidth="8.5078125" defaultRowHeight="16.5" zeroHeight="false" outlineLevelRow="0" outlineLevelCol="0"/>
  <cols>
    <col collapsed="false" customWidth="true" hidden="false" outlineLevel="0" max="1" min="1" style="5" width="21"/>
    <col collapsed="false" customWidth="true" hidden="false" outlineLevel="0" max="2" min="2" style="6" width="12.87"/>
    <col collapsed="false" customWidth="true" hidden="false" outlineLevel="0" max="3" min="3" style="12" width="12.87"/>
    <col collapsed="false" customWidth="true" hidden="false" outlineLevel="0" max="10" min="4" style="1" width="12.87"/>
    <col collapsed="false" customWidth="false" hidden="false" outlineLevel="0" max="1024" min="11" style="1" width="8.51"/>
  </cols>
  <sheetData>
    <row r="1" customFormat="false" ht="16.5" hidden="false" customHeight="false" outlineLevel="0" collapsed="false">
      <c r="A1" s="13" t="s">
        <v>32</v>
      </c>
      <c r="F1" s="13" t="s">
        <v>33</v>
      </c>
      <c r="G1" s="6"/>
      <c r="H1" s="6"/>
      <c r="I1" s="6"/>
      <c r="J1" s="6"/>
    </row>
    <row r="2" customFormat="false" ht="16.5" hidden="false" customHeight="false" outlineLevel="0" collapsed="false">
      <c r="F2" s="13"/>
      <c r="G2" s="6"/>
      <c r="H2" s="6"/>
      <c r="I2" s="6"/>
      <c r="J2" s="6"/>
    </row>
    <row r="3" customFormat="false" ht="16.5" hidden="false" customHeight="false" outlineLevel="0" collapsed="false">
      <c r="A3" s="5" t="s">
        <v>34</v>
      </c>
      <c r="B3" s="14" t="n">
        <v>-52.6</v>
      </c>
      <c r="C3" s="12" t="s">
        <v>35</v>
      </c>
      <c r="F3" s="15" t="str">
        <f aca="false">IF($B$8="Exposure age",B9/1000&amp;" ka average surface production rates:",IF($B$8="Erosion rate","Long-term average surface production rates:","Data type?"))</f>
        <v>35.7 ka average surface production rates:</v>
      </c>
      <c r="G3" s="15"/>
      <c r="H3" s="15"/>
      <c r="I3" s="15"/>
      <c r="J3" s="15"/>
    </row>
    <row r="4" customFormat="false" ht="16.5" hidden="false" customHeight="false" outlineLevel="0" collapsed="false">
      <c r="A4" s="5" t="s">
        <v>36</v>
      </c>
      <c r="B4" s="14" t="n">
        <v>32</v>
      </c>
      <c r="C4" s="12" t="s">
        <v>37</v>
      </c>
      <c r="F4" s="5"/>
      <c r="G4" s="6" t="s">
        <v>38</v>
      </c>
      <c r="I4" s="6" t="str">
        <f aca="false">"δ"&amp;G4</f>
        <v>δP</v>
      </c>
      <c r="J4" s="6"/>
    </row>
    <row r="5" customFormat="false" ht="16.5" hidden="false" customHeight="false" outlineLevel="0" collapsed="false">
      <c r="A5" s="5" t="s">
        <v>39</v>
      </c>
      <c r="B5" s="14" t="n">
        <v>10</v>
      </c>
      <c r="F5" s="16" t="s">
        <v>40</v>
      </c>
      <c r="G5" s="17" t="n">
        <f aca="false">ROUND(SUM(B60:G60),$B$69)</f>
        <v>4.4365</v>
      </c>
      <c r="H5" s="17" t="str">
        <f aca="false">"±"</f>
        <v>±</v>
      </c>
      <c r="I5" s="17" t="n">
        <f aca="false">ROUND(SUM(B64:G64),$B$69)</f>
        <v>0.36666</v>
      </c>
      <c r="J5" s="15" t="str">
        <f aca="false">HLOOKUP($B$5,Constants!$B$2:$G$3,2,0)&amp;" atoms/g/year"</f>
        <v>Be-10 atoms/g/year</v>
      </c>
      <c r="L5" s="18" t="n">
        <f aca="false">I5/G5</f>
        <v>0.0826462301363688</v>
      </c>
    </row>
    <row r="6" customFormat="false" ht="16.5" hidden="false" customHeight="false" outlineLevel="0" collapsed="false">
      <c r="A6" s="5" t="s">
        <v>41</v>
      </c>
      <c r="B6" s="14" t="n">
        <v>159000</v>
      </c>
      <c r="C6" s="12" t="str">
        <f aca="false">HLOOKUP(B5,Constants!B2:G3,2,0)&amp;" atoms/g"</f>
        <v>Be-10 atoms/g</v>
      </c>
      <c r="F6" s="5" t="s">
        <v>42</v>
      </c>
      <c r="G6" s="19" t="n">
        <f aca="false">ROUND(SUM(B61:G61),$B$69)</f>
        <v>0.01374</v>
      </c>
      <c r="H6" s="19" t="str">
        <f aca="false">"±"</f>
        <v>±</v>
      </c>
      <c r="I6" s="19" t="n">
        <f aca="false">ROUND(SUM(B65:G65),$B$69)</f>
        <v>0.00159</v>
      </c>
      <c r="J6" s="15" t="str">
        <f aca="false">HLOOKUP($B$5,Constants!$B$2:$G$3,2,0)&amp;" atoms/g/year"</f>
        <v>Be-10 atoms/g/year</v>
      </c>
      <c r="L6" s="18" t="n">
        <f aca="false">I6/G6</f>
        <v>0.115720524017467</v>
      </c>
    </row>
    <row r="7" customFormat="false" ht="16.5" hidden="false" customHeight="false" outlineLevel="0" collapsed="false">
      <c r="A7" s="5" t="s">
        <v>43</v>
      </c>
      <c r="B7" s="14" t="n">
        <v>5900</v>
      </c>
      <c r="C7" s="12" t="str">
        <f aca="false">HLOOKUP(B5,Constants!B2:G3,2,0)&amp;" atoms/g"</f>
        <v>Be-10 atoms/g</v>
      </c>
      <c r="F7" s="5" t="s">
        <v>44</v>
      </c>
      <c r="G7" s="19" t="n">
        <f aca="false">ROUND(SUM(B62:G62),$B$69)</f>
        <v>0.00458</v>
      </c>
      <c r="H7" s="19" t="str">
        <f aca="false">"±"</f>
        <v>±</v>
      </c>
      <c r="I7" s="19" t="n">
        <f aca="false">ROUND(SUM(B66:G66),$B$69)</f>
        <v>0.00053</v>
      </c>
      <c r="J7" s="15" t="str">
        <f aca="false">HLOOKUP($B$5,Constants!$B$2:$G$3,2,0)&amp;" atoms/g/year"</f>
        <v>Be-10 atoms/g/year</v>
      </c>
      <c r="L7" s="18" t="n">
        <f aca="false">I7/G7</f>
        <v>0.115720524017467</v>
      </c>
    </row>
    <row r="8" customFormat="false" ht="16.5" hidden="false" customHeight="false" outlineLevel="0" collapsed="false">
      <c r="A8" s="5" t="s">
        <v>45</v>
      </c>
      <c r="B8" s="14" t="s">
        <v>46</v>
      </c>
      <c r="F8" s="16" t="s">
        <v>47</v>
      </c>
      <c r="G8" s="20" t="n">
        <f aca="false">ROUND(SUM(B63:G63),$B$69)</f>
        <v>0.03881</v>
      </c>
      <c r="H8" s="20" t="str">
        <f aca="false">"±"</f>
        <v>±</v>
      </c>
      <c r="I8" s="20" t="n">
        <f aca="false">ROUND(SUM(B67:G67),$B$69)</f>
        <v>0.00448</v>
      </c>
      <c r="J8" s="15" t="str">
        <f aca="false">HLOOKUP($B$5,Constants!$B$2:$G$3,2,0)&amp;" atoms/g/year"</f>
        <v>Be-10 atoms/g/year</v>
      </c>
      <c r="L8" s="18" t="n">
        <f aca="false">I8/G8</f>
        <v>0.115434166451945</v>
      </c>
    </row>
    <row r="9" customFormat="false" ht="16.5" hidden="false" customHeight="false" outlineLevel="0" collapsed="false">
      <c r="A9" s="5" t="s">
        <v>48</v>
      </c>
      <c r="B9" s="14" t="n">
        <v>35700</v>
      </c>
      <c r="C9" s="12" t="str">
        <f aca="false">IF($B$8="Exposure age","years",IF($B$8="Erosion rate","m/Ma","Data type?"))</f>
        <v>years</v>
      </c>
      <c r="L9" s="18"/>
    </row>
    <row r="10" customFormat="false" ht="16.5" hidden="false" customHeight="false" outlineLevel="0" collapsed="false">
      <c r="A10" s="5" t="s">
        <v>49</v>
      </c>
      <c r="B10" s="14" t="n">
        <v>3200</v>
      </c>
      <c r="C10" s="12" t="str">
        <f aca="false">IF($B$8="Exposure age","years",IF($B$8="Erosion rate","m/Ma","Data type?"))</f>
        <v>years</v>
      </c>
      <c r="F10" s="5" t="s">
        <v>50</v>
      </c>
      <c r="G10" s="19" t="n">
        <f aca="false">ROUND(SUM(G5:G8),$B$69)</f>
        <v>4.49363</v>
      </c>
      <c r="H10" s="19" t="s">
        <v>51</v>
      </c>
      <c r="I10" s="19" t="n">
        <f aca="false">ROUND((I5^2+I6^2+I7^2+I8^2)^0.5,$B$69)</f>
        <v>0.36669</v>
      </c>
      <c r="J10" s="15" t="str">
        <f aca="false">HLOOKUP($B$5,Constants!$B$2:$G$3,2,0)&amp;" atoms/g/year"</f>
        <v>Be-10 atoms/g/year</v>
      </c>
      <c r="L10" s="18" t="n">
        <f aca="false">I10/G10</f>
        <v>0.0816021790846153</v>
      </c>
    </row>
    <row r="12" customFormat="false" ht="16.5" hidden="false" customHeight="false" outlineLevel="0" collapsed="false">
      <c r="B12" s="21"/>
      <c r="F12" s="22" t="s">
        <v>52</v>
      </c>
      <c r="G12" s="22"/>
      <c r="H12" s="22"/>
    </row>
    <row r="13" customFormat="false" ht="16.5" hidden="false" customHeight="false" outlineLevel="0" collapsed="false">
      <c r="F13" s="5"/>
      <c r="G13" s="6" t="s">
        <v>53</v>
      </c>
      <c r="H13" s="6"/>
    </row>
    <row r="14" customFormat="false" ht="16.5" hidden="false" customHeight="false" outlineLevel="0" collapsed="false">
      <c r="F14" s="16" t="s">
        <v>40</v>
      </c>
      <c r="G14" s="17" t="n">
        <f aca="false">Constants!B6</f>
        <v>160</v>
      </c>
      <c r="H14" s="23" t="s">
        <v>54</v>
      </c>
    </row>
    <row r="15" customFormat="false" ht="16.5" hidden="false" customHeight="false" outlineLevel="0" collapsed="false">
      <c r="F15" s="5" t="s">
        <v>42</v>
      </c>
      <c r="G15" s="19" t="n">
        <f aca="false">Constants!B7</f>
        <v>850</v>
      </c>
      <c r="H15" s="1" t="s">
        <v>54</v>
      </c>
    </row>
    <row r="16" customFormat="false" ht="16.5" hidden="false" customHeight="false" outlineLevel="0" collapsed="false">
      <c r="F16" s="5" t="s">
        <v>44</v>
      </c>
      <c r="G16" s="19" t="n">
        <f aca="false">Constants!B8</f>
        <v>5000</v>
      </c>
      <c r="H16" s="1" t="s">
        <v>54</v>
      </c>
    </row>
    <row r="17" customFormat="false" ht="16.5" hidden="false" customHeight="false" outlineLevel="0" collapsed="false">
      <c r="F17" s="16" t="s">
        <v>47</v>
      </c>
      <c r="G17" s="20" t="n">
        <f aca="false">Constants!B9</f>
        <v>500</v>
      </c>
      <c r="H17" s="23" t="s">
        <v>54</v>
      </c>
    </row>
    <row r="18" customFormat="false" ht="16.5" hidden="false" customHeight="false" outlineLevel="0" collapsed="false">
      <c r="G18" s="6"/>
    </row>
    <row r="19" customFormat="false" ht="16.5" hidden="false" customHeight="false" outlineLevel="0" collapsed="false">
      <c r="F19" s="5" t="s">
        <v>20</v>
      </c>
      <c r="G19" s="24" t="n">
        <f aca="false">HLOOKUP(B5,Constants!B2:G5,4,0)</f>
        <v>4.99745624051871E-007</v>
      </c>
      <c r="H19" s="1" t="s">
        <v>55</v>
      </c>
    </row>
    <row r="20" customFormat="false" ht="16.5" hidden="false" customHeight="false" outlineLevel="0" collapsed="false">
      <c r="F20" s="5" t="s">
        <v>56</v>
      </c>
      <c r="G20" s="19" t="n">
        <f aca="false">LN(2)/G19</f>
        <v>1387000</v>
      </c>
      <c r="H20" s="1" t="s">
        <v>57</v>
      </c>
    </row>
    <row r="21" s="1" customFormat="true" ht="16.5" hidden="false" customHeight="false" outlineLevel="0" collapsed="false"/>
    <row r="22" s="1" customFormat="true" ht="16.5" hidden="false" customHeight="false" outlineLevel="0" collapsed="false"/>
    <row r="28" s="1" customFormat="true" ht="14.25" hidden="false" customHeight="false" outlineLevel="0" collapsed="false"/>
    <row r="29" s="1" customFormat="true" ht="16.5" hidden="false" customHeight="false" outlineLevel="0" collapsed="false"/>
    <row r="30" s="1" customFormat="true" ht="16.5" hidden="false" customHeight="false" outlineLevel="0" collapsed="false"/>
    <row r="31" s="1" customFormat="true" ht="14.25" hidden="false" customHeight="false" outlineLevel="0" collapsed="false"/>
    <row r="32" s="1" customFormat="true" ht="15" hidden="false" customHeight="false" outlineLevel="0" collapsed="false">
      <c r="A32" s="13" t="s">
        <v>58</v>
      </c>
    </row>
    <row r="33" s="1" customFormat="true" ht="15" hidden="false" customHeight="false" outlineLevel="0" collapsed="false">
      <c r="A33" s="13"/>
    </row>
    <row r="34" customFormat="false" ht="16.5" hidden="false" customHeight="false" outlineLevel="0" collapsed="false">
      <c r="A34" s="25" t="str">
        <f aca="false">Constants!A2</f>
        <v>Nuclides</v>
      </c>
      <c r="B34" s="26" t="n">
        <f aca="false">Constants!B2</f>
        <v>10</v>
      </c>
      <c r="C34" s="26" t="n">
        <f aca="false">Constants!C2</f>
        <v>26</v>
      </c>
      <c r="D34" s="26" t="n">
        <f aca="false">Constants!D2</f>
        <v>36</v>
      </c>
      <c r="E34" s="26" t="n">
        <f aca="false">Constants!E2</f>
        <v>14</v>
      </c>
      <c r="F34" s="26" t="n">
        <f aca="false">Constants!F2</f>
        <v>21</v>
      </c>
      <c r="G34" s="26" t="n">
        <f aca="false">Constants!G2</f>
        <v>3</v>
      </c>
      <c r="H34" s="26"/>
    </row>
    <row r="35" customFormat="false" ht="16.5" hidden="false" customHeight="false" outlineLevel="0" collapsed="false">
      <c r="A35" s="27"/>
      <c r="B35" s="27"/>
      <c r="C35" s="27"/>
      <c r="D35" s="27"/>
      <c r="E35" s="27"/>
      <c r="F35" s="27"/>
      <c r="G35" s="27"/>
      <c r="H35" s="27"/>
    </row>
    <row r="36" customFormat="false" ht="16.5" hidden="false" customHeight="false" outlineLevel="0" collapsed="false">
      <c r="A36" s="25" t="s">
        <v>59</v>
      </c>
      <c r="B36" s="27" t="n">
        <f aca="false">((B3+1)/30.31)^2</f>
        <v>2.89819451720759</v>
      </c>
      <c r="C36" s="27"/>
      <c r="D36" s="27"/>
      <c r="E36" s="27"/>
      <c r="F36" s="27"/>
      <c r="G36" s="27"/>
      <c r="H36" s="27"/>
    </row>
    <row r="37" customFormat="false" ht="16.5" hidden="false" customHeight="false" outlineLevel="0" collapsed="false">
      <c r="A37" s="25" t="s">
        <v>60</v>
      </c>
      <c r="B37" s="28" t="n">
        <f aca="false">IF(OR(B3="",B4=""),Constants!B16,(1.29+B3/900+1.056*EXP(-B36)) * (0.1+0.9*EXP(-B4/2000))/100 )</f>
        <v>0.0127134025195768</v>
      </c>
      <c r="C37" s="28" t="n">
        <f aca="false">$B37*Constants!C$15</f>
        <v>0.0185450402553066</v>
      </c>
      <c r="D37" s="28" t="n">
        <f aca="false">$B37*Constants!D$15</f>
        <v>0.0415982530440552</v>
      </c>
      <c r="E37" s="28" t="n">
        <f aca="false">$B37*Constants!E$15</f>
        <v>0.105225018633781</v>
      </c>
      <c r="F37" s="28" t="n">
        <f aca="false">$B37*Constants!F$15</f>
        <v>0.0519469626949907</v>
      </c>
      <c r="G37" s="28" t="n">
        <f aca="false">$B37*Constants!G$15</f>
        <v>0.0127134025195768</v>
      </c>
      <c r="H37" s="28"/>
    </row>
    <row r="38" customFormat="false" ht="16.5" hidden="false" customHeight="false" outlineLevel="0" collapsed="false">
      <c r="A38" s="25" t="str">
        <f aca="false">"δ "&amp;A37</f>
        <v>δ Pμ/Ptotal</v>
      </c>
      <c r="B38" s="28" t="n">
        <f aca="false">IF(OR($B$3="",$B$4=""),Constants!B17,0.2*B37)</f>
        <v>0.00254268050391535</v>
      </c>
      <c r="C38" s="28" t="n">
        <f aca="false">IF(OR($B$3="",$B$4=""),Constants!C17,0.2*C37)</f>
        <v>0.00370900805106133</v>
      </c>
      <c r="D38" s="28" t="n">
        <f aca="false">IF(OR($B$3="",$B$4=""),Constants!D17,0.2*D37)</f>
        <v>0.00831965060881104</v>
      </c>
      <c r="E38" s="28" t="n">
        <f aca="false">IF(OR($B$3="",$B$4=""),Constants!E17,0.2*E37)</f>
        <v>0.0210450037267562</v>
      </c>
      <c r="F38" s="28" t="n">
        <f aca="false">IF(OR($B$3="",$B$4=""),Constants!F17,0.2*F37)</f>
        <v>0.0103893925389981</v>
      </c>
      <c r="G38" s="28" t="n">
        <f aca="false">IF(OR($B$3="",$B$4=""),Constants!G17,0.2*G37)</f>
        <v>0.00254268050391535</v>
      </c>
      <c r="H38" s="28"/>
    </row>
    <row r="39" customFormat="false" ht="16.5" hidden="false" customHeight="false" outlineLevel="0" collapsed="false">
      <c r="A39" s="27"/>
      <c r="B39" s="27"/>
      <c r="C39" s="27"/>
      <c r="D39" s="27"/>
      <c r="E39" s="27"/>
      <c r="F39" s="27"/>
      <c r="G39" s="27"/>
      <c r="H39" s="27"/>
    </row>
    <row r="40" customFormat="false" ht="16.5" hidden="false" customHeight="false" outlineLevel="0" collapsed="false">
      <c r="A40" s="25" t="s">
        <v>61</v>
      </c>
      <c r="B40" s="26"/>
      <c r="C40" s="26"/>
      <c r="D40" s="26"/>
      <c r="E40" s="26"/>
      <c r="F40" s="26"/>
      <c r="G40" s="26"/>
      <c r="H40" s="26"/>
    </row>
    <row r="41" customFormat="false" ht="16.5" hidden="false" customHeight="false" outlineLevel="0" collapsed="false">
      <c r="A41" s="25" t="s">
        <v>62</v>
      </c>
      <c r="B41" s="28" t="n">
        <f aca="false">1-B$37</f>
        <v>0.987286597480423</v>
      </c>
      <c r="C41" s="28" t="n">
        <f aca="false">1-C$37</f>
        <v>0.981454959744693</v>
      </c>
      <c r="D41" s="28" t="n">
        <f aca="false">1-D$37</f>
        <v>0.958401746955945</v>
      </c>
      <c r="E41" s="28" t="n">
        <f aca="false">1-E$37</f>
        <v>0.894774981366219</v>
      </c>
      <c r="F41" s="28" t="n">
        <f aca="false">1-F$37</f>
        <v>0.948053037305009</v>
      </c>
      <c r="G41" s="28" t="n">
        <f aca="false">1-G$37</f>
        <v>0.987286597480423</v>
      </c>
      <c r="H41" s="28"/>
    </row>
    <row r="42" customFormat="false" ht="16.5" hidden="false" customHeight="false" outlineLevel="0" collapsed="false">
      <c r="A42" s="25" t="s">
        <v>63</v>
      </c>
      <c r="B42" s="28" t="n">
        <f aca="false">B$37*Constants!B11</f>
        <v>0.00305779579050231</v>
      </c>
      <c r="C42" s="28" t="n">
        <f aca="false">C$37*Constants!C11</f>
        <v>0.00309915440226557</v>
      </c>
      <c r="D42" s="28" t="n">
        <f aca="false">D$37*Constants!D11</f>
        <v>0.00193431876654857</v>
      </c>
      <c r="E42" s="28" t="n">
        <f aca="false">E$37*Constants!E11</f>
        <v>0.00530334093914257</v>
      </c>
      <c r="F42" s="28" t="n">
        <f aca="false">F$37*Constants!F11</f>
        <v>0.038960222021243</v>
      </c>
      <c r="G42" s="28" t="n">
        <f aca="false">G$37*Constants!G11</f>
        <v>0.00305779579050231</v>
      </c>
      <c r="H42" s="28"/>
    </row>
    <row r="43" customFormat="false" ht="16.5" hidden="false" customHeight="false" outlineLevel="0" collapsed="false">
      <c r="A43" s="25" t="s">
        <v>64</v>
      </c>
      <c r="B43" s="28" t="n">
        <f aca="false">B$37*Constants!B12</f>
        <v>0.00101926526350077</v>
      </c>
      <c r="C43" s="28" t="n">
        <f aca="false">C$37*Constants!C12</f>
        <v>0.00103305146742186</v>
      </c>
      <c r="D43" s="28" t="n">
        <f aca="false">D$37*Constants!D12</f>
        <v>0.000644772922182856</v>
      </c>
      <c r="E43" s="28" t="n">
        <f aca="false">E$37*Constants!E12</f>
        <v>0.00176778031304752</v>
      </c>
      <c r="F43" s="28" t="n">
        <f aca="false">F$37*Constants!F12</f>
        <v>0.0129867406737477</v>
      </c>
      <c r="G43" s="28" t="n">
        <f aca="false">G$37*Constants!G12</f>
        <v>0.00101926526350077</v>
      </c>
      <c r="H43" s="28"/>
    </row>
    <row r="44" customFormat="false" ht="16.5" hidden="false" customHeight="false" outlineLevel="0" collapsed="false">
      <c r="A44" s="25" t="s">
        <v>65</v>
      </c>
      <c r="B44" s="28" t="n">
        <f aca="false">B$37*Constants!B13</f>
        <v>0.0086363414655737</v>
      </c>
      <c r="C44" s="28" t="n">
        <f aca="false">C$37*Constants!C13</f>
        <v>0.0144128343856192</v>
      </c>
      <c r="D44" s="28" t="n">
        <f aca="false">D$37*Constants!D13</f>
        <v>0.0390191613553238</v>
      </c>
      <c r="E44" s="28" t="n">
        <f aca="false">E$37*Constants!E13</f>
        <v>0.098153897381591</v>
      </c>
      <c r="F44" s="28" t="n">
        <f aca="false">F$37*Constants!F13</f>
        <v>0</v>
      </c>
      <c r="G44" s="28" t="n">
        <f aca="false">G$37*Constants!G13</f>
        <v>0.0086363414655737</v>
      </c>
      <c r="H44" s="28"/>
    </row>
    <row r="45" customFormat="false" ht="16.5" hidden="false" customHeight="false" outlineLevel="0" collapsed="false">
      <c r="A45" s="25"/>
      <c r="B45" s="26"/>
      <c r="C45" s="26"/>
      <c r="D45" s="26"/>
      <c r="E45" s="26"/>
      <c r="F45" s="26"/>
      <c r="G45" s="26"/>
      <c r="H45" s="26"/>
    </row>
    <row r="46" customFormat="false" ht="16.5" hidden="false" customHeight="false" outlineLevel="0" collapsed="false">
      <c r="A46" s="25" t="str">
        <f aca="false">"δ "&amp;A40</f>
        <v>δ Pi/Ptotal:</v>
      </c>
      <c r="B46" s="26"/>
      <c r="C46" s="26"/>
      <c r="D46" s="26"/>
      <c r="E46" s="26"/>
      <c r="F46" s="26"/>
      <c r="G46" s="26"/>
      <c r="H46" s="26"/>
    </row>
    <row r="47" customFormat="false" ht="16.5" hidden="false" customHeight="false" outlineLevel="0" collapsed="false">
      <c r="A47" s="25" t="str">
        <f aca="false">"δ "&amp;A41</f>
        <v>δ Psp/Ptotal</v>
      </c>
      <c r="B47" s="28" t="n">
        <f aca="false">(MAX(0.01^2,($B10/$B9)^2-($B7/$B6)^2))^0.5</f>
        <v>0.0815945035059205</v>
      </c>
      <c r="C47" s="28" t="n">
        <f aca="false">(MAX(0.01^2,($B10/$B9)^2-($B7/$B6)^2))^0.5</f>
        <v>0.0815945035059205</v>
      </c>
      <c r="D47" s="28" t="n">
        <f aca="false">(MAX(0.01^2,($B10/$B9)^2-($B7/$B6)^2))^0.5</f>
        <v>0.0815945035059205</v>
      </c>
      <c r="E47" s="28" t="n">
        <f aca="false">(MAX(0.01^2,($B10/$B9)^2-($B7/$B6)^2))^0.5</f>
        <v>0.0815945035059205</v>
      </c>
      <c r="F47" s="28" t="n">
        <f aca="false">(MAX(0.01^2,($B10/$B9)^2-($B7/$B6)^2))^0.5</f>
        <v>0.0815945035059205</v>
      </c>
      <c r="G47" s="28" t="n">
        <f aca="false">(MAX(0.01^2,($B10/$B9)^2-($B7/$B6)^2))^0.5</f>
        <v>0.0815945035059205</v>
      </c>
      <c r="H47" s="28"/>
    </row>
    <row r="48" customFormat="false" ht="16.5" hidden="false" customHeight="false" outlineLevel="0" collapsed="false">
      <c r="A48" s="25" t="str">
        <f aca="false">"δ "&amp;A42</f>
        <v>δ Pfμ1/Ptotal</v>
      </c>
      <c r="B48" s="28" t="n">
        <f aca="false">B42*((B$38/B$37)^2/3)^0.5</f>
        <v>0.000353083844554682</v>
      </c>
      <c r="C48" s="28" t="n">
        <f aca="false">C42*((C$38/C$37)^2/3)^0.5</f>
        <v>0.000357859525681648</v>
      </c>
      <c r="D48" s="28" t="n">
        <f aca="false">D42*((D$38/D$37)^2/3)^0.5</f>
        <v>0.000223355892113072</v>
      </c>
      <c r="E48" s="28" t="n">
        <f aca="false">E42*((E$38/E$37)^2/3)^0.5</f>
        <v>0.000612377063763665</v>
      </c>
      <c r="F48" s="28" t="n">
        <f aca="false">F42*((F$38/F$37)^2/3)^0.5</f>
        <v>0.00449873893433045</v>
      </c>
      <c r="G48" s="28" t="n">
        <f aca="false">G42*((G$38/G$37)^2/3)^0.5</f>
        <v>0.000353083844554682</v>
      </c>
      <c r="H48" s="28"/>
    </row>
    <row r="49" customFormat="false" ht="16.5" hidden="false" customHeight="false" outlineLevel="0" collapsed="false">
      <c r="A49" s="25" t="str">
        <f aca="false">"δ "&amp;A43</f>
        <v>δ Pfμ2/Ptotal</v>
      </c>
      <c r="B49" s="28" t="n">
        <f aca="false">B43*((B$38/B$37)^2/3)^0.5</f>
        <v>0.000117694614851561</v>
      </c>
      <c r="C49" s="28" t="n">
        <f aca="false">C43*((C$38/C$37)^2/3)^0.5</f>
        <v>0.000119286508560549</v>
      </c>
      <c r="D49" s="28" t="n">
        <f aca="false">D43*((D$38/D$37)^2/3)^0.5</f>
        <v>7.44519640376906E-005</v>
      </c>
      <c r="E49" s="28" t="n">
        <f aca="false">E43*((E$38/E$37)^2/3)^0.5</f>
        <v>0.000204125687921221</v>
      </c>
      <c r="F49" s="28" t="n">
        <f aca="false">F43*((F$38/F$37)^2/3)^0.5</f>
        <v>0.00149957964477682</v>
      </c>
      <c r="G49" s="28" t="n">
        <f aca="false">G43*((G$38/G$37)^2/3)^0.5</f>
        <v>0.000117694614851561</v>
      </c>
      <c r="H49" s="28"/>
    </row>
    <row r="50" customFormat="false" ht="16.5" hidden="false" customHeight="false" outlineLevel="0" collapsed="false">
      <c r="A50" s="25" t="str">
        <f aca="false">"δ "&amp;A44</f>
        <v>δ Pμ-/Ptotal</v>
      </c>
      <c r="B50" s="28" t="n">
        <f aca="false">B44*((B$38/B$37)^2/3)^0.5</f>
        <v>0.0009972388139925</v>
      </c>
      <c r="C50" s="28" t="n">
        <f aca="false">C44*((C$38/C$37)^2/3)^0.5</f>
        <v>0.00166425076246455</v>
      </c>
      <c r="D50" s="28" t="n">
        <f aca="false">D44*((D$38/D$37)^2/3)^0.5</f>
        <v>0.00450554466240992</v>
      </c>
      <c r="E50" s="28" t="n">
        <f aca="false">E44*((E$38/E$37)^2/3)^0.5</f>
        <v>0.0113338358150545</v>
      </c>
      <c r="F50" s="28" t="n">
        <f aca="false">F44*((F$38/F$37)^2/3)^0.5</f>
        <v>0</v>
      </c>
      <c r="G50" s="28" t="n">
        <f aca="false">G44*((G$38/G$37)^2/3)^0.5</f>
        <v>0.0009972388139925</v>
      </c>
      <c r="H50" s="28"/>
    </row>
    <row r="51" customFormat="false" ht="16.5" hidden="false" customHeight="false" outlineLevel="0" collapsed="false">
      <c r="A51" s="25"/>
      <c r="B51" s="26"/>
      <c r="C51" s="26"/>
      <c r="D51" s="26"/>
      <c r="E51" s="26"/>
      <c r="F51" s="26"/>
      <c r="G51" s="26"/>
      <c r="H51" s="26"/>
    </row>
    <row r="52" customFormat="false" ht="16.5" hidden="false" customHeight="false" outlineLevel="0" collapsed="false">
      <c r="A52" s="25" t="s">
        <v>66</v>
      </c>
      <c r="B52" s="26"/>
      <c r="C52" s="26"/>
      <c r="D52" s="26"/>
      <c r="E52" s="26"/>
      <c r="F52" s="26"/>
      <c r="G52" s="26"/>
      <c r="H52" s="26"/>
    </row>
    <row r="53" customFormat="false" ht="16.5" hidden="false" customHeight="false" outlineLevel="0" collapsed="false">
      <c r="A53" s="25" t="s">
        <v>67</v>
      </c>
      <c r="B53" s="29" t="n">
        <f aca="false">IF($B$8="Exposure age",B41/Constants!B$5*(1-EXP(-Constants!B$5*$B$9)),IF($B$8="Erosion rate",B41/(Constants!B$5+Constants!B$14*$B$9/10000/Constants!B6),"Data type?"))</f>
        <v>34933.5813328264</v>
      </c>
      <c r="C53" s="29" t="n">
        <f aca="false">IF($B$8="Exposure age",C41/Constants!C$5*(1-EXP(-Constants!C$5*$B$9)),IF($B$8="Erosion rate",C41/(Constants!C$5+Constants!C$14*$B$9/10000/Constants!C6),"Data type?"))</f>
        <v>34430.1615400992</v>
      </c>
      <c r="D53" s="29" t="n">
        <f aca="false">IF($B$8="Exposure age",D41/Constants!D$5*(1-EXP(-Constants!D$5*$B$9)),IF($B$8="Erosion rate",D41/(Constants!D$5+Constants!D$14*$B$9/10000/Constants!D6),"Data type?"))</f>
        <v>32846.2903331444</v>
      </c>
      <c r="E53" s="29" t="n">
        <f aca="false">IF($B$8="Exposure age",E41/Constants!E$5*(1-EXP(-Constants!E$5*$B$9)),IF($B$8="Erosion rate",E41/(Constants!E$5+Constants!E$14*$B$9/10000/Constants!E6),"Data type?"))</f>
        <v>7262.25849058508</v>
      </c>
      <c r="F53" s="29" t="n">
        <f aca="false">IF($B$8="Exposure age",F41/Constants!F$5*(1-EXP(-Constants!F$5*$B$9)),IF($B$8="Erosion rate",F41/(Constants!F$5+Constants!F$14*$B$9/10000/Constants!F6),"Data type?"))</f>
        <v>33845.4925402413</v>
      </c>
      <c r="G53" s="29" t="n">
        <f aca="false">IF($B$8="Exposure age",G41/Constants!G$5*(1-EXP(-Constants!G$5*$B$9)),IF($B$8="Erosion rate",G41/(Constants!G$5+Constants!G$14*$B$9/10000/Constants!G6),"Data type?"))</f>
        <v>35246.1306016084</v>
      </c>
      <c r="H53" s="29"/>
    </row>
    <row r="54" customFormat="false" ht="16.5" hidden="false" customHeight="false" outlineLevel="0" collapsed="false">
      <c r="A54" s="25" t="s">
        <v>68</v>
      </c>
      <c r="B54" s="29" t="n">
        <f aca="false">IF($B$8="Exposure age",B42/Constants!B$5*(1-EXP(-Constants!B$5*$B$9)),IF($B$8="Erosion rate",B42/(Constants!B$5+Constants!B$14*$B$9/10000/Constants!B7),"Data type?"))</f>
        <v>108.195288196247</v>
      </c>
      <c r="C54" s="29" t="n">
        <f aca="false">IF($B$8="Exposure age",C42/Constants!C$5*(1-EXP(-Constants!C$5*$B$9)),IF($B$8="Erosion rate",C42/(Constants!C$5+Constants!C$14*$B$9/10000/Constants!C7),"Data type?"))</f>
        <v>108.720614887381</v>
      </c>
      <c r="D54" s="29" t="n">
        <f aca="false">IF($B$8="Exposure age",D42/Constants!D$5*(1-EXP(-Constants!D$5*$B$9)),IF($B$8="Erosion rate",D42/(Constants!D$5+Constants!D$14*$B$9/10000/Constants!D7),"Data type?"))</f>
        <v>66.2928630970291</v>
      </c>
      <c r="E54" s="29" t="n">
        <f aca="false">IF($B$8="Exposure age",E42/Constants!E$5*(1-EXP(-Constants!E$5*$B$9)),IF($B$8="Erosion rate",E42/(Constants!E$5+Constants!E$14*$B$9/10000/Constants!E7),"Data type?"))</f>
        <v>43.0434841896772</v>
      </c>
      <c r="F54" s="29" t="n">
        <f aca="false">IF($B$8="Exposure age",F42/Constants!F$5*(1-EXP(-Constants!F$5*$B$9)),IF($B$8="Erosion rate",F42/(Constants!F$5+Constants!F$14*$B$9/10000/Constants!F7),"Data type?"))</f>
        <v>1390.87988952024</v>
      </c>
      <c r="G54" s="29" t="n">
        <f aca="false">IF($B$8="Exposure age",G42/Constants!G$5*(1-EXP(-Constants!G$5*$B$9)),IF($B$8="Erosion rate",G42/(Constants!G$5+Constants!G$14*$B$9/10000/Constants!G7),"Data type?"))</f>
        <v>109.163306845386</v>
      </c>
      <c r="H54" s="29"/>
    </row>
    <row r="55" customFormat="false" ht="16.5" hidden="false" customHeight="false" outlineLevel="0" collapsed="false">
      <c r="A55" s="25" t="s">
        <v>69</v>
      </c>
      <c r="B55" s="29" t="n">
        <f aca="false">IF($B$8="Exposure age",B43/Constants!B$5*(1-EXP(-Constants!B$5*$B$9)),IF($B$8="Erosion rate",B43/(Constants!B$5+Constants!B$14*$B$9/10000/Constants!B8),"Data type?"))</f>
        <v>36.0650960654156</v>
      </c>
      <c r="C55" s="29" t="n">
        <f aca="false">IF($B$8="Exposure age",C43/Constants!C$5*(1-EXP(-Constants!C$5*$B$9)),IF($B$8="Erosion rate",C43/(Constants!C$5+Constants!C$14*$B$9/10000/Constants!C8),"Data type?"))</f>
        <v>36.2402049624604</v>
      </c>
      <c r="D55" s="29" t="n">
        <f aca="false">IF($B$8="Exposure age",D43/Constants!D$5*(1-EXP(-Constants!D$5*$B$9)),IF($B$8="Erosion rate",D43/(Constants!D$5+Constants!D$14*$B$9/10000/Constants!D8),"Data type?"))</f>
        <v>22.097621032343</v>
      </c>
      <c r="E55" s="29" t="n">
        <f aca="false">IF($B$8="Exposure age",E43/Constants!E$5*(1-EXP(-Constants!E$5*$B$9)),IF($B$8="Erosion rate",E43/(Constants!E$5+Constants!E$14*$B$9/10000/Constants!E8),"Data type?"))</f>
        <v>14.3478280632257</v>
      </c>
      <c r="F55" s="29" t="n">
        <f aca="false">IF($B$8="Exposure age",F43/Constants!F$5*(1-EXP(-Constants!F$5*$B$9)),IF($B$8="Erosion rate",F43/(Constants!F$5+Constants!F$14*$B$9/10000/Constants!F8),"Data type?"))</f>
        <v>463.626629840082</v>
      </c>
      <c r="G55" s="29" t="n">
        <f aca="false">IF($B$8="Exposure age",G43/Constants!G$5*(1-EXP(-Constants!G$5*$B$9)),IF($B$8="Erosion rate",G43/(Constants!G$5+Constants!G$14*$B$9/10000/Constants!G8),"Data type?"))</f>
        <v>36.387768948462</v>
      </c>
      <c r="H55" s="29"/>
    </row>
    <row r="56" customFormat="false" ht="16.5" hidden="false" customHeight="false" outlineLevel="0" collapsed="false">
      <c r="A56" s="25" t="s">
        <v>70</v>
      </c>
      <c r="B56" s="29" t="n">
        <f aca="false">IF($B$8="Exposure age",B44/Constants!B$5*(1-EXP(-Constants!B$5*$B$9)),IF($B$8="Erosion rate",B44/(Constants!B$5+Constants!B$14*$B$9/10000/Constants!B9),"Data type?"))</f>
        <v>305.583341023387</v>
      </c>
      <c r="C56" s="29" t="n">
        <f aca="false">IF($B$8="Exposure age",C44/Constants!C$5*(1-EXP(-Constants!C$5*$B$9)),IF($B$8="Erosion rate",C44/(Constants!C$5+Constants!C$14*$B$9/10000/Constants!C9),"Data type?"))</f>
        <v>505.612826366125</v>
      </c>
      <c r="D56" s="29" t="n">
        <f aca="false">IF($B$8="Exposure age",D44/Constants!D$5*(1-EXP(-Constants!D$5*$B$9)),IF($B$8="Erosion rate",D44/(Constants!D$5+Constants!D$14*$B$9/10000/Constants!D9),"Data type?"))</f>
        <v>1337.26248569921</v>
      </c>
      <c r="E56" s="29" t="n">
        <f aca="false">IF($B$8="Exposure age",E44/Constants!E$5*(1-EXP(-Constants!E$5*$B$9)),IF($B$8="Erosion rate",E44/(Constants!E$5+Constants!E$14*$B$9/10000/Constants!E9),"Data type?"))</f>
        <v>796.646072462914</v>
      </c>
      <c r="F56" s="29" t="n">
        <f aca="false">IF($B$8="Exposure age",F44/Constants!F$5*(1-EXP(-Constants!F$5*$B$9)),IF($B$8="Erosion rate",F44/(Constants!F$5+Constants!F$14*$B$9/10000/Constants!F9),"Data type?"))</f>
        <v>0</v>
      </c>
      <c r="G56" s="29" t="n">
        <f aca="false">IF($B$8="Exposure age",G44/Constants!G$5*(1-EXP(-Constants!G$5*$B$9)),IF($B$8="Erosion rate",G44/(Constants!G$5+Constants!G$14*$B$9/10000/Constants!G9),"Data type?"))</f>
        <v>308.317382199379</v>
      </c>
      <c r="H56" s="29"/>
    </row>
    <row r="57" customFormat="false" ht="16.5" hidden="false" customHeight="false" outlineLevel="0" collapsed="false">
      <c r="A57" s="25" t="s">
        <v>71</v>
      </c>
      <c r="B57" s="29" t="n">
        <f aca="false">SUM(B53:B56)</f>
        <v>35383.4250581114</v>
      </c>
      <c r="C57" s="29" t="n">
        <f aca="false">SUM(C53:C56)</f>
        <v>35080.7351863152</v>
      </c>
      <c r="D57" s="29" t="n">
        <f aca="false">SUM(D53:D56)</f>
        <v>34271.943302973</v>
      </c>
      <c r="E57" s="29" t="n">
        <f aca="false">SUM(E53:E56)</f>
        <v>8116.2958753009</v>
      </c>
      <c r="F57" s="29" t="n">
        <f aca="false">SUM(F53:F56)</f>
        <v>35699.9990596016</v>
      </c>
      <c r="G57" s="29" t="n">
        <f aca="false">SUM(G53:G56)</f>
        <v>35699.9990596016</v>
      </c>
      <c r="H57" s="29"/>
    </row>
    <row r="58" customFormat="false" ht="16.5" hidden="false" customHeight="false" outlineLevel="0" collapsed="false">
      <c r="A58" s="25"/>
      <c r="B58" s="26"/>
      <c r="C58" s="26"/>
      <c r="D58" s="26"/>
      <c r="E58" s="26"/>
      <c r="F58" s="26"/>
      <c r="G58" s="26"/>
      <c r="H58" s="26"/>
    </row>
    <row r="59" customFormat="false" ht="16.5" hidden="false" customHeight="false" outlineLevel="0" collapsed="false">
      <c r="A59" s="25" t="s">
        <v>72</v>
      </c>
      <c r="B59" s="26" t="n">
        <f aca="false">IF($B$5=B$34,$B6/B57,"")</f>
        <v>4.49362942504488</v>
      </c>
      <c r="C59" s="26" t="str">
        <f aca="false">IF($B$5=C$34,$B6/C57,"")</f>
        <v/>
      </c>
      <c r="D59" s="26" t="str">
        <f aca="false">IF($B$5=D$34,$B6/D57,"")</f>
        <v/>
      </c>
      <c r="E59" s="26" t="str">
        <f aca="false">IF($B$5=E$34,$B6/E57,"")</f>
        <v/>
      </c>
      <c r="F59" s="26" t="str">
        <f aca="false">IF($B$5=F$34,$B6/F57,"")</f>
        <v/>
      </c>
      <c r="G59" s="26" t="str">
        <f aca="false">IF($B$5=G$34,$B6/G57,"")</f>
        <v/>
      </c>
      <c r="H59" s="26" t="n">
        <f aca="false">IF(SUM(B59:G59)&gt;0,SUM(B59:G59),"")</f>
        <v>4.49362942504488</v>
      </c>
    </row>
    <row r="60" customFormat="false" ht="16.5" hidden="false" customHeight="false" outlineLevel="0" collapsed="false">
      <c r="A60" s="25" t="s">
        <v>73</v>
      </c>
      <c r="B60" s="26" t="n">
        <f aca="false">IF($B$5=B$34,B$59*B41,"")</f>
        <v>4.43650010539047</v>
      </c>
      <c r="C60" s="26" t="str">
        <f aca="false">IF($B$5=C$34,C$59*C41,"")</f>
        <v/>
      </c>
      <c r="D60" s="26" t="str">
        <f aca="false">IF($B$5=D$34,D$59*D41,"")</f>
        <v/>
      </c>
      <c r="E60" s="26" t="str">
        <f aca="false">IF($B$5=E$34,E$59*E41,"")</f>
        <v/>
      </c>
      <c r="F60" s="26" t="str">
        <f aca="false">IF($B$5=F$34,F$59*F41,"")</f>
        <v/>
      </c>
      <c r="G60" s="26" t="str">
        <f aca="false">IF($B$5=G$34,G$59*G41,"")</f>
        <v/>
      </c>
      <c r="H60" s="26" t="n">
        <f aca="false">IF(SUM(B60:G60)&gt;0,SUM(B60:G60),"")</f>
        <v>4.43650010539047</v>
      </c>
    </row>
    <row r="61" customFormat="false" ht="16.5" hidden="false" customHeight="false" outlineLevel="0" collapsed="false">
      <c r="A61" s="25" t="s">
        <v>74</v>
      </c>
      <c r="B61" s="26" t="n">
        <f aca="false">IF($B$5=B$34,B$59*B42,"")</f>
        <v>0.0137406011399795</v>
      </c>
      <c r="C61" s="26" t="str">
        <f aca="false">IF($B$5=C$34,C$59*C42,"")</f>
        <v/>
      </c>
      <c r="D61" s="26" t="str">
        <f aca="false">IF($B$5=D$34,D$59*D42,"")</f>
        <v/>
      </c>
      <c r="E61" s="26" t="str">
        <f aca="false">IF($B$5=E$34,E$59*E42,"")</f>
        <v/>
      </c>
      <c r="F61" s="26" t="str">
        <f aca="false">IF($B$5=F$34,F$59*F42,"")</f>
        <v/>
      </c>
      <c r="G61" s="26" t="str">
        <f aca="false">IF($B$5=G$34,G$59*G42,"")</f>
        <v/>
      </c>
      <c r="H61" s="26" t="n">
        <f aca="false">IF(SUM(B61:G61)&gt;0,SUM(B61:G61),"")</f>
        <v>0.0137406011399795</v>
      </c>
    </row>
    <row r="62" customFormat="false" ht="16.5" hidden="false" customHeight="false" outlineLevel="0" collapsed="false">
      <c r="A62" s="25" t="s">
        <v>75</v>
      </c>
      <c r="B62" s="26" t="n">
        <f aca="false">IF($B$5=B$34,B$59*B43,"")</f>
        <v>0.00458020037999318</v>
      </c>
      <c r="C62" s="26" t="str">
        <f aca="false">IF($B$5=C$34,C$59*C43,"")</f>
        <v/>
      </c>
      <c r="D62" s="26" t="str">
        <f aca="false">IF($B$5=D$34,D$59*D43,"")</f>
        <v/>
      </c>
      <c r="E62" s="26" t="str">
        <f aca="false">IF($B$5=E$34,E$59*E43,"")</f>
        <v/>
      </c>
      <c r="F62" s="26" t="str">
        <f aca="false">IF($B$5=F$34,F$59*F43,"")</f>
        <v/>
      </c>
      <c r="G62" s="26" t="str">
        <f aca="false">IF($B$5=G$34,G$59*G43,"")</f>
        <v/>
      </c>
      <c r="H62" s="26" t="n">
        <f aca="false">IF(SUM(B62:G62)&gt;0,SUM(B62:G62),"")</f>
        <v>0.00458020037999318</v>
      </c>
    </row>
    <row r="63" customFormat="false" ht="16.5" hidden="false" customHeight="false" outlineLevel="0" collapsed="false">
      <c r="A63" s="25" t="s">
        <v>76</v>
      </c>
      <c r="B63" s="26" t="n">
        <f aca="false">IF($B$5=B$34,B$59*B44,"")</f>
        <v>0.0388085181344372</v>
      </c>
      <c r="C63" s="26" t="str">
        <f aca="false">IF($B$5=C$34,C$59*C44,"")</f>
        <v/>
      </c>
      <c r="D63" s="26" t="str">
        <f aca="false">IF($B$5=D$34,D$59*D44,"")</f>
        <v/>
      </c>
      <c r="E63" s="26" t="str">
        <f aca="false">IF($B$5=E$34,E$59*E44,"")</f>
        <v/>
      </c>
      <c r="F63" s="26" t="str">
        <f aca="false">IF($B$5=F$34,F$59*F44,"")</f>
        <v/>
      </c>
      <c r="G63" s="26" t="str">
        <f aca="false">IF($B$5=G$34,G$59*G44,"")</f>
        <v/>
      </c>
      <c r="H63" s="26" t="n">
        <f aca="false">IF(SUM(B63:G63)&gt;0,SUM(B63:G63),"")</f>
        <v>0.0388085181344372</v>
      </c>
    </row>
    <row r="64" customFormat="false" ht="16.5" hidden="false" customHeight="false" outlineLevel="0" collapsed="false">
      <c r="A64" s="25" t="str">
        <f aca="false">"δ "&amp;A60</f>
        <v>δ Psp</v>
      </c>
      <c r="B64" s="26" t="n">
        <f aca="false">IF($B$5=B$34,B$59*B47,"")</f>
        <v>0.366655461876132</v>
      </c>
      <c r="C64" s="26" t="str">
        <f aca="false">IF($B$5=C$34,C$59*C47,"")</f>
        <v/>
      </c>
      <c r="D64" s="26" t="str">
        <f aca="false">IF($B$5=D$34,D$59*D47,"")</f>
        <v/>
      </c>
      <c r="E64" s="26" t="str">
        <f aca="false">IF($B$5=E$34,E$59*E47,"")</f>
        <v/>
      </c>
      <c r="F64" s="26" t="str">
        <f aca="false">IF($B$5=F$34,F$59*F47,"")</f>
        <v/>
      </c>
      <c r="G64" s="26" t="str">
        <f aca="false">IF($B$5=G$34,G$59*G47,"")</f>
        <v/>
      </c>
      <c r="H64" s="26" t="n">
        <f aca="false">IF(SUM(B64:G64)&gt;0,SUM(B64:G64),"")</f>
        <v>0.366655461876132</v>
      </c>
    </row>
    <row r="65" customFormat="false" ht="16.5" hidden="false" customHeight="false" outlineLevel="0" collapsed="false">
      <c r="A65" s="25" t="str">
        <f aca="false">"δ "&amp;A61</f>
        <v>δ Pfμ1</v>
      </c>
      <c r="B65" s="26" t="n">
        <f aca="false">IF($B$5=B$34,B$59*B48,"")</f>
        <v>0.00158662795339889</v>
      </c>
      <c r="C65" s="26" t="str">
        <f aca="false">IF($B$5=C$34,C$59*C48,"")</f>
        <v/>
      </c>
      <c r="D65" s="26" t="str">
        <f aca="false">IF($B$5=D$34,D$59*D48,"")</f>
        <v/>
      </c>
      <c r="E65" s="26" t="str">
        <f aca="false">IF($B$5=E$34,E$59*E48,"")</f>
        <v/>
      </c>
      <c r="F65" s="26" t="str">
        <f aca="false">IF($B$5=F$34,F$59*F48,"")</f>
        <v/>
      </c>
      <c r="G65" s="26" t="str">
        <f aca="false">IF($B$5=G$34,G$59*G48,"")</f>
        <v/>
      </c>
      <c r="H65" s="26" t="n">
        <f aca="false">IF(SUM(B65:G65)&gt;0,SUM(B65:G65),"")</f>
        <v>0.00158662795339889</v>
      </c>
    </row>
    <row r="66" customFormat="false" ht="16.5" hidden="false" customHeight="false" outlineLevel="0" collapsed="false">
      <c r="A66" s="25" t="str">
        <f aca="false">"δ "&amp;A62</f>
        <v>δ Pfμ2</v>
      </c>
      <c r="B66" s="26" t="n">
        <f aca="false">IF($B$5=B$34,B$59*B49,"")</f>
        <v>0.000528875984466298</v>
      </c>
      <c r="C66" s="26" t="str">
        <f aca="false">IF($B$5=C$34,C$59*C49,"")</f>
        <v/>
      </c>
      <c r="D66" s="26" t="str">
        <f aca="false">IF($B$5=D$34,D$59*D49,"")</f>
        <v/>
      </c>
      <c r="E66" s="26" t="str">
        <f aca="false">IF($B$5=E$34,E$59*E49,"")</f>
        <v/>
      </c>
      <c r="F66" s="26" t="str">
        <f aca="false">IF($B$5=F$34,F$59*F49,"")</f>
        <v/>
      </c>
      <c r="G66" s="26" t="str">
        <f aca="false">IF($B$5=G$34,G$59*G49,"")</f>
        <v/>
      </c>
      <c r="H66" s="26" t="n">
        <f aca="false">IF(SUM(B66:G66)&gt;0,SUM(B66:G66),"")</f>
        <v>0.000528875984466298</v>
      </c>
    </row>
    <row r="67" customFormat="false" ht="16.5" hidden="false" customHeight="false" outlineLevel="0" collapsed="false">
      <c r="A67" s="25" t="str">
        <f aca="false">"δ "&amp;A63</f>
        <v>δ Pμ-</v>
      </c>
      <c r="B67" s="26" t="n">
        <f aca="false">IF($B$5=B$34,B$59*B50,"")</f>
        <v>0.00448122167835356</v>
      </c>
      <c r="C67" s="26" t="str">
        <f aca="false">IF($B$5=C$34,C$59*C50,"")</f>
        <v/>
      </c>
      <c r="D67" s="26" t="str">
        <f aca="false">IF($B$5=D$34,D$59*D50,"")</f>
        <v/>
      </c>
      <c r="E67" s="26" t="str">
        <f aca="false">IF($B$5=E$34,E$59*E50,"")</f>
        <v/>
      </c>
      <c r="F67" s="26" t="str">
        <f aca="false">IF($B$5=F$34,F$59*F50,"")</f>
        <v/>
      </c>
      <c r="G67" s="26" t="str">
        <f aca="false">IF($B$5=G$34,G$59*G50,"")</f>
        <v/>
      </c>
      <c r="H67" s="26" t="n">
        <f aca="false">IF(SUM(B67:G67)&gt;0,SUM(B67:G67),"")</f>
        <v>0.00448122167835356</v>
      </c>
    </row>
    <row r="68" customFormat="false" ht="16.5" hidden="false" customHeight="false" outlineLevel="0" collapsed="false">
      <c r="A68" s="25"/>
      <c r="B68" s="26"/>
      <c r="C68" s="26"/>
      <c r="D68" s="26"/>
      <c r="E68" s="26"/>
      <c r="F68" s="26"/>
      <c r="G68" s="26"/>
      <c r="H68" s="26"/>
    </row>
    <row r="69" customFormat="false" ht="16.5" hidden="false" customHeight="false" outlineLevel="0" collapsed="false">
      <c r="A69" s="25" t="s">
        <v>77</v>
      </c>
      <c r="B69" s="26" t="n">
        <f aca="false">-ROUNDDOWN(LOG(MIN(H59:H67)),0)+2</f>
        <v>5</v>
      </c>
      <c r="C69" s="26"/>
      <c r="D69" s="26"/>
      <c r="E69" s="26"/>
      <c r="F69" s="26"/>
      <c r="G69" s="26"/>
      <c r="H69" s="26"/>
    </row>
    <row r="70" customFormat="false" ht="16.5" hidden="false" customHeight="false" outlineLevel="0" collapsed="false">
      <c r="A70" s="25"/>
      <c r="B70" s="26"/>
      <c r="C70" s="26"/>
      <c r="D70" s="26"/>
      <c r="E70" s="26"/>
      <c r="F70" s="26"/>
      <c r="G70" s="26"/>
      <c r="H70" s="26"/>
    </row>
    <row r="71" customFormat="false" ht="16.5" hidden="false" customHeight="false" outlineLevel="0" collapsed="false">
      <c r="A71" s="25" t="s">
        <v>78</v>
      </c>
      <c r="B71" s="25"/>
      <c r="C71" s="25"/>
      <c r="D71" s="25"/>
      <c r="E71" s="25"/>
      <c r="F71" s="25"/>
      <c r="G71" s="25"/>
      <c r="H71" s="25"/>
    </row>
    <row r="72" customFormat="false" ht="16.5" hidden="false" customHeight="false" outlineLevel="0" collapsed="false">
      <c r="A72" s="25" t="s">
        <v>46</v>
      </c>
      <c r="B72" s="25"/>
      <c r="C72" s="25"/>
      <c r="D72" s="25"/>
      <c r="E72" s="25"/>
      <c r="F72" s="25"/>
      <c r="G72" s="25"/>
      <c r="H72" s="25"/>
    </row>
    <row r="73" customFormat="false" ht="16.5" hidden="false" customHeight="false" outlineLevel="0" collapsed="false">
      <c r="A73" s="25" t="s">
        <v>79</v>
      </c>
      <c r="B73" s="25"/>
      <c r="C73" s="25"/>
      <c r="D73" s="25"/>
      <c r="E73" s="25"/>
      <c r="F73" s="25"/>
      <c r="G73" s="25"/>
      <c r="H73" s="25"/>
    </row>
    <row r="74" customFormat="false" ht="16.5" hidden="false" customHeight="false" outlineLevel="0" collapsed="false">
      <c r="C74" s="6"/>
      <c r="D74" s="6"/>
      <c r="E74" s="6"/>
      <c r="F74" s="6"/>
      <c r="G74" s="6"/>
    </row>
    <row r="75" customFormat="false" ht="16.5" hidden="false" customHeight="false" outlineLevel="0" collapsed="false">
      <c r="C75" s="6"/>
      <c r="D75" s="6"/>
      <c r="E75" s="6"/>
      <c r="F75" s="6"/>
      <c r="G75" s="6"/>
    </row>
    <row r="76" customFormat="false" ht="16.5" hidden="false" customHeight="false" outlineLevel="0" collapsed="false">
      <c r="C76" s="6"/>
      <c r="D76" s="6"/>
      <c r="E76" s="6"/>
      <c r="F76" s="6"/>
      <c r="G76" s="6"/>
    </row>
    <row r="77" customFormat="false" ht="16.5" hidden="false" customHeight="false" outlineLevel="0" collapsed="false">
      <c r="C77" s="6"/>
      <c r="D77" s="6"/>
      <c r="E77" s="6"/>
      <c r="F77" s="6"/>
      <c r="G77" s="6"/>
    </row>
  </sheetData>
  <sheetProtection sheet="true" password="ea6d" objects="true" scenarios="true"/>
  <mergeCells count="2">
    <mergeCell ref="F3:J3"/>
    <mergeCell ref="F12:H12"/>
  </mergeCells>
  <dataValidations count="2">
    <dataValidation allowBlank="false" operator="equal" showDropDown="false" showErrorMessage="true" showInputMessage="false" sqref="B5" type="list">
      <formula1>$B$34:$G$34</formula1>
      <formula2>0</formula2>
    </dataValidation>
    <dataValidation allowBlank="false" operator="equal" showDropDown="false" showErrorMessage="true" showInputMessage="false" sqref="B8" type="list">
      <formula1>$A$72:$A$73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2018-05-25T11:28:45Z</dcterms:created>
  <dc:creator>wps</dc:creator>
  <dc:description/>
  <dc:language>en-GB</dc:language>
  <cp:lastModifiedBy>Angel R</cp:lastModifiedBy>
  <dcterms:modified xsi:type="dcterms:W3CDTF">2021-12-15T19:06:52Z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