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9. 14-09-2023\13 Sept\13 Sept\"/>
    </mc:Choice>
  </mc:AlternateContent>
  <xr:revisionPtr revIDLastSave="0" documentId="13_ncr:1_{CBE36D77-D3AA-4FF8-9F87-6BBE052F9774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45" i="11" l="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32" i="1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J36" i="11" s="1"/>
  <c r="E36" i="11"/>
  <c r="G36" i="11"/>
  <c r="D31" i="11"/>
  <c r="J31" i="11" s="1"/>
  <c r="E31" i="11"/>
  <c r="G31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G69" i="11"/>
  <c r="G70" i="11"/>
  <c r="D69" i="11"/>
  <c r="H69" i="11" s="1"/>
  <c r="E69" i="11"/>
  <c r="D70" i="11"/>
  <c r="J70" i="11" s="1"/>
  <c r="E70" i="11"/>
  <c r="F88" i="11"/>
  <c r="F86" i="11"/>
  <c r="F85" i="11"/>
  <c r="F84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0" i="11"/>
  <c r="F26" i="11"/>
  <c r="F25" i="11"/>
  <c r="F24" i="11"/>
  <c r="F23" i="11"/>
  <c r="F22" i="11"/>
  <c r="H32" i="11" l="1"/>
  <c r="J32" i="11"/>
  <c r="I48" i="11"/>
  <c r="I47" i="11"/>
  <c r="J46" i="11"/>
  <c r="I46" i="11"/>
  <c r="I34" i="11"/>
  <c r="J40" i="11"/>
  <c r="I40" i="11"/>
  <c r="I32" i="11"/>
  <c r="I37" i="11"/>
  <c r="J45" i="11"/>
  <c r="I45" i="11"/>
  <c r="I44" i="11"/>
  <c r="J43" i="11"/>
  <c r="I42" i="11"/>
  <c r="I41" i="11"/>
  <c r="J39" i="11"/>
  <c r="H37" i="11"/>
  <c r="H44" i="11"/>
  <c r="H45" i="11"/>
  <c r="I43" i="11"/>
  <c r="I36" i="11"/>
  <c r="H47" i="11"/>
  <c r="H41" i="11"/>
  <c r="I39" i="11"/>
  <c r="I38" i="11"/>
  <c r="H34" i="11"/>
  <c r="H48" i="11"/>
  <c r="H42" i="11"/>
  <c r="H38" i="11"/>
  <c r="H36" i="11"/>
  <c r="I35" i="11"/>
  <c r="J35" i="11"/>
  <c r="H33" i="11"/>
  <c r="I33" i="11"/>
  <c r="I31" i="11"/>
  <c r="H31" i="11"/>
  <c r="J20" i="11"/>
  <c r="J19" i="11"/>
  <c r="I19" i="11"/>
  <c r="I15" i="11"/>
  <c r="J17" i="11"/>
  <c r="H15" i="11"/>
  <c r="I17" i="11"/>
  <c r="I20" i="11"/>
  <c r="I18" i="11"/>
  <c r="H18" i="11"/>
  <c r="I16" i="11"/>
  <c r="H16" i="11"/>
  <c r="J69" i="11"/>
  <c r="I70" i="11"/>
  <c r="H70" i="11"/>
  <c r="I69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E26" i="11"/>
  <c r="G26" i="11"/>
  <c r="D27" i="11"/>
  <c r="J27" i="11" s="1"/>
  <c r="E27" i="11"/>
  <c r="G27" i="11"/>
  <c r="D28" i="11"/>
  <c r="H28" i="11" s="1"/>
  <c r="E28" i="11"/>
  <c r="G28" i="11"/>
  <c r="D29" i="11"/>
  <c r="E29" i="11"/>
  <c r="G29" i="11"/>
  <c r="D30" i="11"/>
  <c r="J30" i="11" s="1"/>
  <c r="E30" i="11"/>
  <c r="G30" i="11"/>
  <c r="K13" i="60"/>
  <c r="K12" i="60"/>
  <c r="K48" i="11" l="1"/>
  <c r="K32" i="11"/>
  <c r="K46" i="11"/>
  <c r="K40" i="11"/>
  <c r="K34" i="11"/>
  <c r="K47" i="11"/>
  <c r="K36" i="11"/>
  <c r="K39" i="11"/>
  <c r="K43" i="11"/>
  <c r="K45" i="11"/>
  <c r="K37" i="11"/>
  <c r="K44" i="11"/>
  <c r="K42" i="11"/>
  <c r="K38" i="11"/>
  <c r="K35" i="11"/>
  <c r="K41" i="11"/>
  <c r="K33" i="11"/>
  <c r="K31" i="11"/>
  <c r="K20" i="11"/>
  <c r="K15" i="11"/>
  <c r="K19" i="11"/>
  <c r="K17" i="11"/>
  <c r="K18" i="11"/>
  <c r="K69" i="11"/>
  <c r="K70" i="11"/>
  <c r="K16" i="11"/>
  <c r="I25" i="11"/>
  <c r="I29" i="11"/>
  <c r="J21" i="11"/>
  <c r="I27" i="11"/>
  <c r="J26" i="11"/>
  <c r="I23" i="11"/>
  <c r="I21" i="11"/>
  <c r="I30" i="11"/>
  <c r="J29" i="11"/>
  <c r="H27" i="11"/>
  <c r="I26" i="11"/>
  <c r="J25" i="11"/>
  <c r="H23" i="11"/>
  <c r="I22" i="11"/>
  <c r="I28" i="11"/>
  <c r="I24" i="11"/>
  <c r="H30" i="11"/>
  <c r="J28" i="11"/>
  <c r="H26" i="11"/>
  <c r="J24" i="11"/>
  <c r="H22" i="11"/>
  <c r="K24" i="11" l="1"/>
  <c r="K25" i="11"/>
  <c r="K23" i="11"/>
  <c r="K27" i="11"/>
  <c r="K26" i="11"/>
  <c r="K29" i="11"/>
  <c r="K21" i="11"/>
  <c r="K28" i="11"/>
  <c r="K22" i="11"/>
  <c r="K30" i="11"/>
  <c r="F80" i="11" l="1"/>
  <c r="F79" i="11"/>
  <c r="F78" i="11"/>
  <c r="F77" i="11"/>
  <c r="F76" i="11"/>
  <c r="F75" i="11"/>
  <c r="F74" i="11"/>
  <c r="F73" i="11"/>
  <c r="F72" i="11"/>
  <c r="D71" i="11"/>
  <c r="H71" i="11" s="1"/>
  <c r="E71" i="11"/>
  <c r="G71" i="11"/>
  <c r="D72" i="11"/>
  <c r="J72" i="11" s="1"/>
  <c r="E72" i="11"/>
  <c r="G72" i="11"/>
  <c r="D73" i="11"/>
  <c r="J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E80" i="11"/>
  <c r="G80" i="11"/>
  <c r="D81" i="11"/>
  <c r="J81" i="11" s="1"/>
  <c r="E81" i="11"/>
  <c r="G81" i="11"/>
  <c r="D49" i="11"/>
  <c r="J49" i="11" s="1"/>
  <c r="E49" i="11"/>
  <c r="G49" i="11"/>
  <c r="D50" i="11"/>
  <c r="I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I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E68" i="11"/>
  <c r="G68" i="11"/>
  <c r="D91" i="11"/>
  <c r="J91" i="11" s="1"/>
  <c r="E91" i="11"/>
  <c r="G91" i="11"/>
  <c r="G6" i="11"/>
  <c r="D82" i="11"/>
  <c r="J82" i="11" s="1"/>
  <c r="E82" i="11"/>
  <c r="G82" i="11"/>
  <c r="D83" i="11"/>
  <c r="H83" i="11" s="1"/>
  <c r="E83" i="11"/>
  <c r="G83" i="11"/>
  <c r="E84" i="11"/>
  <c r="G84" i="11"/>
  <c r="J85" i="11"/>
  <c r="E85" i="11"/>
  <c r="G85" i="11"/>
  <c r="J86" i="11"/>
  <c r="E86" i="11"/>
  <c r="G86" i="11"/>
  <c r="D87" i="11"/>
  <c r="E87" i="11"/>
  <c r="G87" i="11"/>
  <c r="D88" i="11"/>
  <c r="H88" i="11" s="1"/>
  <c r="E88" i="11"/>
  <c r="G88" i="11"/>
  <c r="D89" i="11"/>
  <c r="E89" i="11"/>
  <c r="G89" i="11"/>
  <c r="D92" i="11"/>
  <c r="J92" i="11" s="1"/>
  <c r="E92" i="11"/>
  <c r="G92" i="11"/>
  <c r="D93" i="11"/>
  <c r="J93" i="11" s="1"/>
  <c r="E93" i="11"/>
  <c r="G93" i="11"/>
  <c r="D20" i="60"/>
  <c r="J89" i="11" l="1"/>
  <c r="J68" i="11"/>
  <c r="J80" i="11"/>
  <c r="J79" i="11"/>
  <c r="J71" i="11"/>
  <c r="I75" i="11"/>
  <c r="I71" i="11"/>
  <c r="I77" i="11"/>
  <c r="H77" i="11"/>
  <c r="H73" i="11"/>
  <c r="I73" i="11"/>
  <c r="I81" i="11"/>
  <c r="I79" i="11"/>
  <c r="I78" i="11"/>
  <c r="J50" i="11"/>
  <c r="H81" i="11"/>
  <c r="H75" i="11"/>
  <c r="I74" i="11"/>
  <c r="I80" i="11"/>
  <c r="I63" i="11"/>
  <c r="J62" i="11"/>
  <c r="H80" i="11"/>
  <c r="J78" i="11"/>
  <c r="H76" i="11"/>
  <c r="J74" i="11"/>
  <c r="H72" i="11"/>
  <c r="J63" i="11"/>
  <c r="I76" i="11"/>
  <c r="I72" i="11"/>
  <c r="I62" i="11"/>
  <c r="I58" i="11"/>
  <c r="J54" i="11"/>
  <c r="I66" i="11"/>
  <c r="H54" i="11"/>
  <c r="J67" i="11"/>
  <c r="J66" i="11"/>
  <c r="H58" i="11"/>
  <c r="J59" i="11"/>
  <c r="H55" i="11"/>
  <c r="I52" i="11"/>
  <c r="I51" i="11"/>
  <c r="I67" i="11"/>
  <c r="I59" i="11"/>
  <c r="I55" i="11"/>
  <c r="H50" i="11"/>
  <c r="H68" i="11"/>
  <c r="H64" i="11"/>
  <c r="H60" i="11"/>
  <c r="H56" i="11"/>
  <c r="H51" i="11"/>
  <c r="I56" i="11"/>
  <c r="H52" i="11"/>
  <c r="K52" i="11" s="1"/>
  <c r="I68" i="11"/>
  <c r="I64" i="11"/>
  <c r="I60" i="11"/>
  <c r="I57" i="11"/>
  <c r="I49" i="11"/>
  <c r="H65" i="11"/>
  <c r="H61" i="11"/>
  <c r="H57" i="11"/>
  <c r="H53" i="11"/>
  <c r="H49" i="11"/>
  <c r="I65" i="11"/>
  <c r="I61" i="11"/>
  <c r="I53" i="11"/>
  <c r="I91" i="11"/>
  <c r="H91" i="11"/>
  <c r="H84" i="11"/>
  <c r="H87" i="11"/>
  <c r="I89" i="11"/>
  <c r="I92" i="11"/>
  <c r="H89" i="11"/>
  <c r="J88" i="11"/>
  <c r="J87" i="11"/>
  <c r="H92" i="11"/>
  <c r="I85" i="11"/>
  <c r="H85" i="11"/>
  <c r="J84" i="11"/>
  <c r="J83" i="11"/>
  <c r="I83" i="11"/>
  <c r="I87" i="11"/>
  <c r="H93" i="11"/>
  <c r="H86" i="11"/>
  <c r="H82" i="11"/>
  <c r="I93" i="11"/>
  <c r="I86" i="11"/>
  <c r="I82" i="11"/>
  <c r="I88" i="11"/>
  <c r="I84" i="11"/>
  <c r="D14" i="11"/>
  <c r="J14" i="11" s="1"/>
  <c r="E14" i="11"/>
  <c r="G14" i="11"/>
  <c r="K19" i="60"/>
  <c r="D19" i="60"/>
  <c r="K77" i="11" l="1"/>
  <c r="K57" i="11"/>
  <c r="K71" i="11"/>
  <c r="K67" i="11"/>
  <c r="K75" i="11"/>
  <c r="K54" i="11"/>
  <c r="K79" i="11"/>
  <c r="K59" i="11"/>
  <c r="K78" i="11"/>
  <c r="K58" i="11"/>
  <c r="K62" i="11"/>
  <c r="K73" i="11"/>
  <c r="K55" i="11"/>
  <c r="K51" i="11"/>
  <c r="K50" i="11"/>
  <c r="K66" i="11"/>
  <c r="K63" i="11"/>
  <c r="K81" i="11"/>
  <c r="K74" i="11"/>
  <c r="K72" i="11"/>
  <c r="K80" i="11"/>
  <c r="K76" i="11"/>
  <c r="K64" i="11"/>
  <c r="K56" i="11"/>
  <c r="K60" i="11"/>
  <c r="K68" i="11"/>
  <c r="K61" i="11"/>
  <c r="K49" i="11"/>
  <c r="K65" i="11"/>
  <c r="K53" i="11"/>
  <c r="K91" i="11"/>
  <c r="K92" i="11"/>
  <c r="K89" i="11"/>
  <c r="K83" i="11"/>
  <c r="K85" i="11"/>
  <c r="K87" i="11"/>
  <c r="K88" i="11"/>
  <c r="K84" i="11"/>
  <c r="K93" i="11"/>
  <c r="K82" i="11"/>
  <c r="K86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9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4" i="11"/>
  <c r="D95" i="11"/>
  <c r="H95" i="11" s="1"/>
  <c r="E9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5" i="11"/>
  <c r="I9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5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7" i="11"/>
  <c r="H98" i="11" s="1"/>
  <c r="I97" i="11"/>
  <c r="I98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16" i="29" l="1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9" i="11"/>
  <c r="I99" i="11"/>
  <c r="F364" i="29"/>
  <c r="F69" i="39"/>
  <c r="F72" i="39"/>
  <c r="F367" i="29"/>
  <c r="J94" i="11"/>
  <c r="K9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7" i="11" l="1"/>
  <c r="K98" i="11" s="1"/>
  <c r="K99" i="11" s="1"/>
  <c r="B10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7" i="11"/>
  <c r="J9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2" i="41" l="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<sst xmlns="http://schemas.openxmlformats.org/spreadsheetml/2006/main" count="4764" uniqueCount="1636">
  <si>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</si>
  <si>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</si>
  <si>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</si>
  <si>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</si>
  <si>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</si>
  <si>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</si>
  <si>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</si>
  <si>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</si>
  <si>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</si>
  <si>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</si>
  <si>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</si>
  <si>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</si>
  <si>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</si>
  <si>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</si>
  <si>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</si>
  <si>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</si>
  <si>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</si>
  <si>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</si>
  <si>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</si>
  <si>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</si>
  <si>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</si>
  <si>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</si>
  <si>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</si>
  <si>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</si>
  <si>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</si>
  <si>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</si>
  <si>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</si>
  <si>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</si>
  <si>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</si>
  <si>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</si>
  <si>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</si>
  <si>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</si>
  <si>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</si>
  <si>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</si>
  <si>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</si>
  <si>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</si>
  <si>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</si>
  <si>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</si>
  <si>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</si>
  <si>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</si>
  <si>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</si>
  <si>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</si>
  <si>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</si>
  <si>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</si>
  <si>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</si>
  <si>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</si>
  <si>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</si>
  <si>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</si>
  <si>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</si>
  <si>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</si>
  <si>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</si>
  <si>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</si>
  <si>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</si>
  <si>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</si>
  <si>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</si>
  <si>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</si>
  <si>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</si>
  <si>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</si>
  <si>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</si>
  <si>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</si>
  <si>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</si>
  <si>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</si>
  <si>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</si>
  <si>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</si>
  <si>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</si>
  <si>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</si>
  <si>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</si>
  <si>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</si>
  <si>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</si>
  <si>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</si>
  <si>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</si>
  <si>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</si>
  <si>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</si>
  <si>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</si>
  <si>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</si>
  <si>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</si>
  <si>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</si>
  <si>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</si>
  <si>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</si>
  <si>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</si>
  <si>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</si>
  <si>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</si>
  <si>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</si>
  <si>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</si>
  <si>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</si>
  <si>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</si>
  <si>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</si>
  <si>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</si>
  <si>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</si>
  <si>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</si>
  <si>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</si>
  <si>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</si>
  <si>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</si>
  <si>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</si>
  <si>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</si>
  <si>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</si>
  <si>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</si>
  <si>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</si>
  <si>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</si>
  <si>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</si>
  <si>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</si>
  <si>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</si>
  <si>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</si>
  <si>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</si>
  <si>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</si>
  <si>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</si>
  <si>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</si>
  <si>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</si>
  <si>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</si>
  <si>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</si>
  <si>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</si>
  <si>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</si>
  <si>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</si>
  <si>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</si>
  <si>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</si>
  <si>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</si>
  <si>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</si>
  <si>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</si>
  <si>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</si>
  <si>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</si>
  <si>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</si>
  <si>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</si>
  <si>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</si>
  <si>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</si>
  <si>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</si>
  <si>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</si>
  <si>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</si>
  <si>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</si>
  <si>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</si>
  <si>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</si>
  <si>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</si>
  <si>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</si>
  <si>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</si>
  <si>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</si>
  <si>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</si>
  <si>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</si>
  <si>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</si>
  <si>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</si>
  <si>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</si>
  <si>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</si>
  <si>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</si>
  <si>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</si>
  <si>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</si>
  <si>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</si>
  <si>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</si>
  <si>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</si>
  <si>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</si>
  <si>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</si>
  <si>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</si>
  <si>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</si>
  <si>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</si>
  <si>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</si>
  <si>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</si>
  <si>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</si>
  <si>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</si>
  <si>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</si>
  <si>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</si>
  <si>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</si>
  <si>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</si>
  <si>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</si>
  <si>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</si>
  <si>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</si>
  <si>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</si>
  <si>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</si>
  <si>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</si>
  <si>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</si>
  <si>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</si>
  <si>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</si>
  <si>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</si>
  <si>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</si>
  <si>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</si>
  <si>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</si>
  <si>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</si>
  <si>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</si>
  <si>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</si>
  <si>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</si>
  <si>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</si>
  <si>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</si>
  <si>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</si>
  <si>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</si>
  <si>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</si>
  <si>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</si>
  <si>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</si>
  <si>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</si>
  <si>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</si>
  <si>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</si>
  <si>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</si>
  <si>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</si>
  <si>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</si>
  <si>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</si>
  <si>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</si>
  <si>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</si>
  <si>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</si>
  <si>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</si>
  <si>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</si>
  <si>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</si>
  <si>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</si>
  <si>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</si>
  <si>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</si>
  <si>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</si>
  <si>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</si>
  <si>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</si>
  <si>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</si>
  <si>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</si>
  <si>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</si>
  <si>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</si>
  <si>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</si>
  <si>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</si>
  <si>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</si>
  <si>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</si>
  <si>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</si>
  <si>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</si>
  <si>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</si>
  <si>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</si>
  <si>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</si>
  <si>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</si>
  <si>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</si>
  <si>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</si>
  <si>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</si>
  <si>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</si>
  <si>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</si>
  <si>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</si>
  <si>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</si>
  <si>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</si>
  <si>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</si>
  <si>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</si>
  <si>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</si>
  <si>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</si>
  <si>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</si>
  <si>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</si>
  <si>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</si>
  <si>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</si>
  <si>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</si>
  <si>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</si>
  <si>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</si>
  <si>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</si>
  <si>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</si>
  <si>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</si>
  <si>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</si>
  <si>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</si>
  <si>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</si>
  <si>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</si>
  <si>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</si>
  <si>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</si>
  <si>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</si>
  <si>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</si>
  <si>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</si>
  <si>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</si>
  <si>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</si>
  <si>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</si>
  <si>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</si>
  <si>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</si>
  <si>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</si>
  <si>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</si>
  <si>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</si>
  <si>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</si>
  <si>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</si>
  <si>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</si>
  <si>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</si>
  <si>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</si>
  <si>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</si>
  <si>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</si>
  <si>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</si>
  <si>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</si>
  <si>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</si>
  <si>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</si>
  <si>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</si>
  <si>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</si>
  <si>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</si>
  <si>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</si>
  <si>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</si>
  <si>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</si>
  <si>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</si>
  <si>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</si>
  <si>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</si>
  <si>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</si>
  <si>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</si>
  <si>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</si>
  <si>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</si>
  <si>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</si>
  <si>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</si>
  <si>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</si>
  <si>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</si>
  <si>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</si>
  <si>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</si>
  <si>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</si>
  <si>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</si>
  <si>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</si>
  <si>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</si>
  <si>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</si>
  <si>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</si>
  <si>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</si>
  <si>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</si>
  <si>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</si>
  <si>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</si>
  <si>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</si>
  <si>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</si>
  <si>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</si>
  <si>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</si>
  <si>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</si>
  <si>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</si>
  <si>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</si>
  <si>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</si>
  <si>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</si>
  <si>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</si>
  <si>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</si>
  <si>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</si>
  <si>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</si>
  <si>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</si>
  <si>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</si>
  <si>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</si>
  <si>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</si>
  <si>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</si>
  <si>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</si>
  <si>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</si>
  <si>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</si>
  <si>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</si>
  <si>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</si>
  <si>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</si>
  <si>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</si>
  <si>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</si>
  <si>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</si>
  <si>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</si>
  <si>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</si>
  <si>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</si>
  <si>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</si>
  <si>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</si>
  <si>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</si>
  <si>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</si>
  <si>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</si>
  <si>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</si>
  <si>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</si>
  <si>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</si>
  <si>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</si>
  <si>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</si>
  <si>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</si>
  <si>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</si>
  <si>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</si>
  <si>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</si>
  <si>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</si>
  <si>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</si>
  <si>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</si>
  <si>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</si>
  <si>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</si>
  <si>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</si>
  <si>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</si>
  <si>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</si>
  <si>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</si>
  <si>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</si>
  <si>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</si>
  <si>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</si>
  <si>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</si>
  <si>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</si>
  <si>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</si>
  <si>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</si>
  <si>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</si>
  <si>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</si>
  <si>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</si>
  <si>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</si>
  <si>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</si>
  <si>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</si>
  <si>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</si>
  <si>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</si>
  <si>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</si>
  <si>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</si>
  <si>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</si>
  <si>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</si>
  <si>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</si>
  <si>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</si>
  <si>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</si>
  <si>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</si>
  <si>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</si>
  <si>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</si>
  <si>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</si>
  <si>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</si>
  <si>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</si>
  <si>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</si>
  <si>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</si>
  <si>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</si>
  <si>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</si>
  <si>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</si>
  <si>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</si>
  <si>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</si>
  <si>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</si>
  <si>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</si>
  <si>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</si>
  <si>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</si>
  <si>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</si>
  <si>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</si>
  <si>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</si>
  <si>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</si>
  <si>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</si>
  <si>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</si>
  <si>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</si>
  <si>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</si>
  <si>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</si>
  <si>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</si>
  <si>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</si>
  <si>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</si>
  <si>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</si>
  <si>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</si>
  <si>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</si>
  <si>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</si>
  <si>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</si>
  <si>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</si>
  <si>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</si>
  <si>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</si>
  <si>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</si>
  <si>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</si>
  <si>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</si>
  <si>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</si>
  <si>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</si>
  <si>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</si>
  <si>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</si>
  <si>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</si>
  <si>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</si>
  <si>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</si>
  <si>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</si>
  <si>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</si>
  <si>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</si>
  <si>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</si>
  <si>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</si>
  <si>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</si>
  <si>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</si>
  <si>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</si>
  <si>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</si>
  <si>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</si>
  <si>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</si>
  <si>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</si>
  <si>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</si>
  <si>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</si>
  <si>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</si>
  <si>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</si>
  <si>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</si>
  <si>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</si>
  <si>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</si>
  <si>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</si>
  <si>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</si>
  <si>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</si>
  <si>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</si>
  <si>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</si>
  <si>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</si>
  <si>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</si>
  <si>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</si>
  <si>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</si>
  <si>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</si>
  <si>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</si>
  <si>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</si>
  <si>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</si>
  <si>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</si>
  <si>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</si>
  <si>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</si>
  <si>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</si>
  <si>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</si>
  <si>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</si>
  <si>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</si>
  <si>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</si>
  <si>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</si>
  <si>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</si>
  <si>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</si>
  <si>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</si>
  <si>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</si>
  <si>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</si>
  <si>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</si>
  <si>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</si>
  <si>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</si>
  <si>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</si>
  <si>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</si>
  <si>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</si>
  <si>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</si>
  <si>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</si>
  <si>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</si>
  <si>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</si>
  <si>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</si>
  <si>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</si>
  <si>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</si>
  <si>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</si>
  <si>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</si>
  <si>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</si>
  <si>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</si>
  <si>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</si>
  <si>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</si>
  <si>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</si>
  <si>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</si>
  <si>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</si>
  <si>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</si>
  <si>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</si>
  <si>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</si>
  <si>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</si>
  <si>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</si>
  <si>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</si>
  <si>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</si>
  <si>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</si>
  <si>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</si>
  <si>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</si>
  <si>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</si>
  <si>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</si>
  <si>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</si>
  <si>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</si>
  <si>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</si>
  <si>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</si>
  <si>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</si>
  <si>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</si>
  <si>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</si>
  <si>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</si>
  <si>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</si>
  <si>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</si>
  <si>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</si>
  <si>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</si>
  <si>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</si>
  <si>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</si>
  <si>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</si>
  <si>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</si>
  <si>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</si>
  <si>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</si>
  <si>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</si>
  <si>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</si>
  <si>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</si>
  <si>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</si>
  <si>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</si>
  <si>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</si>
  <si>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</si>
  <si>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</si>
  <si>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</si>
  <si>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</si>
  <si>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</si>
  <si>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</si>
  <si>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</si>
  <si>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</si>
  <si>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</si>
  <si>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</si>
  <si>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</si>
  <si>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</si>
  <si>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</si>
  <si>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</si>
  <si>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</si>
  <si>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</si>
  <si>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</si>
  <si>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</si>
  <si>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</si>
  <si>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</si>
  <si>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</si>
  <si>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</si>
  <si>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</si>
  <si>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</si>
  <si>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</si>
  <si>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</si>
  <si>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</si>
  <si>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</si>
  <si>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</si>
  <si>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</si>
  <si>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</si>
  <si>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</si>
  <si>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</si>
  <si>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</si>
  <si>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</si>
  <si>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</si>
  <si>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</si>
  <si>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</si>
  <si>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</si>
  <si>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</si>
  <si>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</si>
  <si>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</si>
  <si>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</si>
  <si>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</si>
  <si>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</si>
  <si>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</si>
  <si>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</si>
  <si>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</si>
  <si>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</si>
  <si>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</si>
  <si>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</si>
  <si>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</si>
  <si>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</si>
  <si>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</si>
  <si>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</si>
  <si>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</si>
  <si>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</si>
  <si>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</si>
  <si>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</si>
  <si>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</si>
  <si>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</si>
  <si>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</si>
  <si>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</si>
  <si>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</si>
  <si>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</si>
  <si>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</si>
  <si>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</si>
  <si>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</si>
  <si>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</si>
  <si>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</si>
  <si>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</si>
  <si>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</si>
  <si>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</si>
  <si>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</si>
  <si>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</si>
  <si>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</si>
  <si>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</si>
  <si>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</si>
  <si>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</si>
  <si>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</si>
  <si>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</si>
  <si>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</si>
  <si>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</si>
  <si>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</si>
  <si>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</si>
  <si>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</si>
  <si>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</si>
  <si>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</si>
  <si>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</si>
  <si>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</si>
  <si>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</si>
  <si>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</si>
  <si>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</si>
  <si>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</si>
  <si>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</si>
  <si>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</si>
  <si>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</si>
  <si>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</si>
  <si>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</si>
  <si>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</si>
  <si>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</si>
  <si>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</si>
  <si>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</si>
  <si>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</si>
  <si>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</si>
  <si>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</si>
  <si>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</si>
  <si>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</si>
  <si>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</si>
  <si>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</si>
  <si>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</si>
  <si>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</si>
  <si>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</si>
  <si>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</si>
  <si>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</si>
  <si>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</si>
  <si>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</si>
  <si>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</si>
  <si>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</si>
  <si>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</si>
  <si>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</si>
  <si>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</si>
  <si>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</si>
  <si>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</si>
  <si>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</si>
  <si>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</si>
  <si>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</si>
  <si>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</si>
  <si>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</si>
  <si>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</si>
  <si>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</si>
  <si>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</si>
  <si>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</si>
  <si>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</si>
  <si>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</si>
  <si>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</si>
  <si>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</si>
  <si>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</si>
  <si>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</si>
  <si>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</si>
  <si>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</si>
  <si>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</si>
  <si>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</si>
  <si>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</si>
  <si>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</si>
  <si>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</si>
  <si>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</si>
  <si>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</si>
  <si>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</si>
  <si>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</si>
  <si>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</si>
  <si>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</si>
  <si>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</si>
  <si>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</si>
  <si>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</si>
  <si>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</si>
  <si>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</si>
  <si>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</si>
  <si>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</si>
  <si>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</si>
  <si>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</si>
  <si>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</si>
  <si>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</si>
  <si>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</si>
  <si>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</si>
  <si>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</si>
  <si>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</si>
  <si>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</si>
  <si>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</si>
  <si>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</si>
  <si>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</si>
  <si>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</si>
  <si>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</si>
  <si>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</si>
  <si>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</si>
  <si>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</si>
  <si>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</si>
  <si>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</si>
  <si>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</si>
  <si>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</si>
  <si>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</si>
  <si>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</si>
  <si>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</si>
  <si>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</si>
  <si>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</si>
  <si>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</si>
  <si>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</si>
  <si>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</si>
  <si>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</si>
  <si>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</si>
  <si>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</si>
  <si>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</si>
  <si>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</si>
  <si>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</si>
  <si>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</si>
  <si>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</si>
  <si>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</si>
  <si>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</si>
  <si>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</si>
  <si>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</si>
  <si>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</si>
  <si>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</si>
  <si>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</si>
  <si>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</si>
  <si>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</si>
  <si>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</si>
  <si>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</si>
  <si>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</si>
  <si>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</si>
  <si>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</si>
  <si>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</si>
  <si>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</si>
  <si>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</si>
  <si>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</si>
  <si>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</si>
  <si>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</si>
  <si>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</si>
  <si>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</si>
  <si>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</si>
  <si>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</si>
  <si>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</si>
  <si>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</si>
  <si>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</si>
  <si>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</si>
  <si>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</si>
  <si>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</si>
  <si>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</si>
  <si>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</si>
  <si>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</si>
  <si>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</si>
  <si>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</si>
  <si>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</si>
  <si>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</si>
  <si>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</si>
  <si>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</si>
  <si>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</si>
  <si>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</si>
  <si>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</si>
  <si>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</si>
  <si>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</si>
  <si>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</si>
  <si>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</si>
  <si>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</si>
  <si>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</si>
  <si>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</si>
  <si>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</si>
  <si>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</si>
  <si>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</si>
  <si>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</si>
  <si>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</si>
  <si>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</si>
  <si>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</si>
  <si>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</si>
  <si>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</si>
  <si>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</si>
  <si>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</si>
  <si>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</si>
  <si>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</si>
  <si>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</si>
  <si>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</si>
  <si>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</si>
  <si>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</si>
  <si>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</si>
  <si>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</si>
  <si>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</si>
  <si>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</si>
  <si>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</si>
  <si>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</si>
  <si>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</si>
  <si>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</si>
  <si>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</si>
  <si>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</si>
  <si>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</si>
  <si>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</si>
  <si>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</si>
  <si>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</si>
  <si>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</si>
  <si>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</si>
  <si>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</si>
  <si>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</si>
  <si>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</si>
  <si>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</si>
  <si>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</si>
  <si>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</si>
  <si>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</si>
  <si>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</si>
  <si>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</si>
  <si>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</si>
  <si>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</si>
  <si>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</si>
  <si>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</si>
  <si>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</si>
  <si>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</si>
  <si>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</si>
  <si>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</si>
  <si>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</si>
  <si>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</si>
  <si>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</si>
  <si>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</si>
  <si>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</si>
  <si>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</si>
  <si>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</si>
  <si>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</si>
  <si>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</si>
  <si>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</si>
  <si>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</si>
  <si>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</si>
  <si>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</si>
  <si>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</si>
  <si>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</si>
  <si>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</si>
  <si>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</si>
  <si>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</si>
  <si>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</si>
  <si>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</si>
  <si>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</si>
  <si>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</si>
  <si>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</si>
  <si>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</si>
  <si>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</si>
  <si>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</si>
  <si>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</si>
  <si>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</si>
  <si>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</si>
  <si>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</si>
  <si>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</si>
  <si>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</si>
  <si>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</si>
  <si>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</si>
  <si>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</si>
  <si>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</si>
  <si>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</si>
  <si>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</si>
  <si>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</si>
  <si>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</si>
  <si>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</si>
  <si>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</si>
  <si>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</si>
  <si>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</si>
  <si>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</si>
  <si>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</si>
  <si>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</si>
  <si>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</si>
  <si>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</si>
  <si>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</si>
  <si>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</si>
  <si>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</si>
  <si>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</si>
  <si>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</si>
  <si>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</si>
  <si>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</si>
  <si>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</si>
  <si>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</si>
  <si>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</si>
  <si>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</si>
  <si>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</si>
  <si>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</si>
  <si>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</si>
  <si>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</si>
  <si>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</si>
  <si>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</si>
  <si>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</si>
  <si>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</si>
  <si>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</si>
  <si>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</si>
  <si>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</si>
  <si>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</si>
  <si>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</si>
  <si>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</si>
  <si>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</si>
  <si>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</si>
  <si>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</si>
  <si>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</si>
  <si>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</si>
  <si>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</si>
  <si>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</si>
  <si>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</si>
  <si>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</si>
  <si>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</si>
  <si>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</si>
  <si>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</si>
  <si>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</si>
  <si>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</si>
  <si>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</si>
  <si>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</si>
  <si>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</si>
  <si>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</si>
  <si>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</si>
  <si>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</si>
  <si>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</si>
  <si>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</si>
  <si>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</si>
  <si>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</si>
  <si>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</si>
  <si>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</si>
  <si>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</si>
  <si>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</si>
  <si>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</si>
  <si>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</si>
  <si>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</si>
  <si>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</si>
  <si>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</si>
  <si>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</si>
  <si>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</si>
  <si>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</si>
  <si>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</si>
  <si>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</si>
  <si>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</si>
  <si>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</si>
  <si>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</si>
  <si>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</si>
  <si>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</si>
  <si>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</si>
  <si>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</si>
  <si>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</si>
  <si>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</si>
  <si>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</si>
  <si>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</si>
  <si>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</si>
  <si>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</si>
  <si>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</si>
  <si>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</si>
  <si>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</si>
  <si>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</si>
  <si>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</si>
  <si>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</si>
  <si>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</si>
  <si>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</si>
  <si>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</si>
  <si>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</si>
  <si>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</si>
  <si>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</si>
  <si>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</si>
  <si>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</si>
  <si>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</si>
  <si>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</si>
  <si>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</si>
  <si>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</si>
  <si>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</si>
  <si>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</si>
  <si>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</si>
  <si>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</si>
  <si>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</si>
  <si>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</si>
  <si>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</si>
  <si>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</si>
  <si>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</si>
  <si>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</si>
  <si>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</si>
  <si>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</si>
  <si>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</si>
  <si>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</si>
  <si>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</si>
  <si>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</si>
  <si>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</si>
  <si>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</si>
  <si>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</si>
  <si>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</si>
  <si>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</si>
  <si>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</si>
  <si>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</si>
  <si>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</si>
  <si>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</si>
  <si>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</si>
  <si>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</si>
  <si>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</si>
  <si>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</si>
  <si>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</si>
  <si>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</si>
  <si>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</si>
  <si>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</si>
  <si>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</si>
  <si>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</si>
  <si>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</si>
  <si>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</si>
  <si>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</si>
  <si>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</si>
  <si>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</si>
  <si>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</si>
  <si>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</si>
  <si>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</si>
  <si>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</si>
  <si>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</si>
  <si>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</si>
  <si>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</si>
  <si>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</si>
  <si>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</si>
  <si>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</si>
  <si>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</si>
  <si>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</si>
  <si>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</si>
  <si>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</si>
  <si>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</si>
  <si>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</si>
  <si>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</si>
  <si>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</si>
  <si>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</si>
  <si>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</si>
  <si>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</si>
  <si>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</si>
  <si>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</si>
  <si>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</si>
  <si>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</si>
  <si>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</si>
  <si>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</si>
  <si>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</si>
  <si>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</si>
  <si>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</si>
  <si>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</si>
  <si>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</si>
  <si>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</si>
  <si>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</si>
  <si>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</si>
  <si>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</si>
  <si>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</si>
  <si>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</si>
  <si>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</si>
  <si>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</si>
  <si>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</si>
  <si>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</si>
  <si>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</si>
  <si>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</si>
  <si>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</si>
  <si>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</si>
  <si>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</si>
  <si>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</si>
  <si>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</si>
  <si>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</si>
  <si>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</si>
  <si>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</si>
  <si>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</si>
  <si>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</si>
  <si>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</si>
  <si>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</si>
  <si>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</si>
  <si>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</si>
  <si>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</si>
  <si>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</si>
  <si>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</si>
  <si>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</si>
  <si>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</si>
  <si>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</si>
  <si>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</si>
  <si>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</si>
  <si>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</si>
  <si>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</si>
  <si>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</si>
  <si>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</si>
  <si>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</si>
  <si>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</si>
  <si>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</si>
  <si>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</si>
  <si>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</si>
  <si>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</si>
  <si>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</si>
  <si>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</si>
  <si>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</si>
  <si>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</si>
  <si>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</si>
  <si>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</si>
  <si>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</si>
  <si>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</si>
  <si>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</si>
  <si>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</si>
  <si>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</si>
  <si>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</si>
  <si>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</si>
  <si>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</si>
  <si>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</si>
  <si>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</si>
  <si>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</si>
  <si>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</si>
  <si>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</si>
  <si>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</si>
  <si>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</si>
  <si>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</si>
  <si>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</si>
  <si>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</si>
  <si>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</si>
  <si>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</si>
  <si>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</si>
  <si>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</si>
  <si>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</si>
  <si>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</si>
  <si>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</si>
  <si>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</si>
  <si>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</si>
  <si>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</si>
  <si>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</si>
  <si>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</si>
  <si>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</si>
  <si>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</si>
  <si>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</si>
  <si>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</si>
  <si>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</si>
  <si>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</si>
  <si>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</si>
  <si>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</si>
  <si>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</si>
  <si>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</si>
  <si>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</si>
  <si>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</si>
  <si>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</si>
  <si>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</si>
  <si>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</si>
  <si>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</si>
  <si>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</si>
  <si>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</si>
  <si>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</si>
  <si>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</si>
  <si>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</si>
  <si>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</si>
  <si>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</si>
  <si>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</si>
  <si>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</si>
  <si>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</si>
  <si>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</si>
  <si>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</si>
  <si>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</si>
  <si>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</si>
  <si>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</si>
  <si>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</si>
  <si>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</si>
  <si>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</si>
  <si>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</si>
  <si>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</si>
  <si>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</si>
  <si>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</si>
  <si>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</si>
  <si>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</si>
  <si>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</si>
  <si>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</si>
  <si>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</si>
  <si>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</si>
  <si>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</si>
  <si>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</si>
  <si>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</si>
  <si>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</si>
  <si>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</si>
  <si>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</si>
  <si>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</si>
  <si>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</si>
  <si>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</si>
  <si>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</si>
  <si>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</si>
  <si>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</si>
  <si>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</si>
  <si>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</si>
  <si>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</si>
  <si>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</si>
  <si>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</si>
  <si>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</si>
  <si>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</si>
  <si>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</si>
  <si>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</si>
  <si>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</si>
  <si>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</si>
  <si>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</si>
  <si>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</si>
  <si>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</si>
  <si>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</si>
  <si>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</si>
  <si>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</si>
  <si>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</si>
  <si>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</si>
  <si>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</si>
  <si>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</si>
  <si>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</si>
  <si>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</si>
  <si>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</si>
  <si>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</si>
  <si>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</si>
  <si>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</si>
  <si>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</si>
  <si>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</si>
  <si>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</si>
  <si>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</si>
  <si>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</si>
  <si>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</si>
  <si>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</si>
  <si>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</si>
  <si>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</si>
  <si>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</si>
  <si>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</si>
  <si>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</si>
  <si>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</si>
  <si>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</si>
  <si>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</si>
  <si>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</si>
  <si>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</si>
  <si>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</si>
  <si>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</si>
  <si>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</si>
  <si>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</si>
  <si>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</si>
  <si>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</si>
  <si>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</si>
  <si>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</si>
  <si>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</si>
  <si>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</si>
  <si>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</si>
  <si>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</si>
  <si>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</si>
  <si>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</si>
  <si>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</si>
  <si>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</si>
  <si>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</si>
  <si>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</si>
  <si>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</si>
  <si>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</si>
  <si>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</si>
  <si>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</si>
  <si>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</si>
  <si>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</si>
  <si>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</si>
  <si>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</si>
  <si>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</si>
  <si>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</si>
  <si>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</si>
  <si>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</si>
  <si>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</si>
  <si>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</si>
  <si>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</si>
  <si>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</si>
  <si>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</si>
  <si>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</si>
  <si>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</si>
  <si>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</si>
  <si>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</si>
  <si>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</si>
  <si>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</si>
  <si>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</si>
  <si>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</si>
  <si>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</si>
  <si>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</si>
  <si>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</si>
  <si>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</si>
  <si>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</si>
  <si>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</si>
  <si>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</si>
  <si>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</si>
  <si>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</si>
  <si>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</si>
  <si>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</si>
  <si>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</si>
  <si>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</si>
  <si>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</si>
  <si>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</si>
  <si>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</si>
  <si>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</si>
  <si>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</si>
  <si>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</si>
  <si>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</si>
  <si>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</si>
  <si>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</si>
  <si>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</si>
  <si>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</si>
  <si>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</si>
  <si>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</si>
  <si>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</si>
  <si>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</si>
  <si>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</si>
  <si>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</si>
  <si>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</si>
  <si>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</si>
  <si>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</si>
  <si>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</si>
  <si>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</si>
  <si>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</si>
  <si>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</si>
  <si>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</si>
  <si>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</si>
  <si>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</si>
  <si>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</si>
  <si>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</si>
  <si>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</si>
  <si>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</si>
  <si>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</si>
  <si>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</si>
  <si>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</si>
  <si>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</si>
  <si>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</si>
  <si>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</si>
  <si>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</si>
  <si>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</si>
  <si>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</si>
  <si>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</si>
  <si>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</si>
  <si>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</si>
  <si>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</si>
  <si>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</si>
  <si>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</si>
  <si>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</si>
  <si>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</si>
  <si>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</si>
  <si>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</si>
  <si>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</si>
  <si>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</si>
  <si>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</si>
  <si>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</si>
  <si>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</si>
  <si>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</si>
  <si>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</si>
  <si>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</si>
  <si>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</si>
  <si>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</si>
  <si>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</si>
  <si>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</si>
  <si>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</si>
  <si>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</si>
  <si>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</si>
  <si>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</si>
  <si>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</si>
  <si>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</si>
  <si>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</si>
  <si>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</si>
  <si>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</si>
  <si>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</si>
  <si>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</si>
  <si>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</si>
  <si>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</si>
  <si>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</si>
  <si>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</si>
  <si>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</si>
  <si>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</si>
  <si>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</si>
  <si>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</si>
  <si>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</si>
  <si>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</si>
  <si>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</si>
  <si>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</si>
  <si>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</si>
  <si>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</si>
  <si>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</si>
  <si>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</si>
  <si>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</si>
  <si>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</si>
  <si>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</si>
  <si>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</si>
  <si>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</si>
  <si>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</si>
  <si>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</si>
  <si>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</si>
  <si>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</si>
  <si>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</si>
  <si>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</si>
  <si>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</si>
  <si>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</si>
  <si>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</si>
  <si>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</si>
  <si>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</si>
  <si>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</si>
  <si>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</si>
  <si>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</si>
  <si>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</si>
  <si>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</si>
  <si>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</si>
  <si>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</si>
  <si>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</si>
  <si>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</si>
  <si>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</si>
  <si>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</si>
  <si>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</si>
  <si>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</si>
  <si>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</si>
  <si>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</si>
  <si>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</si>
  <si>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</si>
  <si>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</si>
  <si>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</si>
  <si>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</si>
  <si>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</si>
  <si>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</si>
  <si>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</si>
  <si>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</si>
  <si>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</si>
  <si>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</si>
  <si>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</si>
  <si>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</si>
  <si>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</si>
  <si>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</si>
  <si>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</si>
  <si>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</si>
  <si>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</si>
  <si>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</si>
  <si>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</si>
  <si>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</si>
  <si>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</si>
  <si>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</si>
  <si>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</si>
  <si>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</si>
  <si>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</si>
  <si>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</si>
  <si>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</si>
  <si>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</si>
  <si>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</si>
  <si>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</si>
  <si>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</si>
  <si>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</si>
  <si>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</si>
  <si>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</si>
  <si>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</si>
  <si>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</si>
  <si>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</si>
  <si>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</si>
  <si>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</si>
  <si>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</si>
  <si>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</si>
  <si>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</si>
  <si>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</si>
  <si>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</si>
  <si>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</si>
  <si>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</si>
  <si>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</si>
  <si>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</si>
  <si>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</si>
  <si>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</si>
  <si>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</si>
  <si>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</si>
  <si>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</si>
  <si>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</si>
  <si>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</si>
  <si>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</si>
  <si>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</si>
  <si>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</si>
  <si>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</si>
  <si>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</si>
  <si>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</si>
  <si>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</si>
  <si>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</si>
  <si>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</si>
  <si>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</si>
  <si>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</si>
  <si>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</si>
  <si>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</si>
  <si>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</si>
  <si>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</si>
  <si>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</si>
  <si>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</si>
  <si>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</si>
  <si>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</si>
  <si>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</si>
  <si>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</si>
  <si>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</si>
  <si>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</si>
  <si>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</si>
  <si>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</si>
  <si>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</si>
  <si>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</si>
  <si>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</si>
  <si>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</si>
  <si>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</si>
  <si>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</si>
  <si>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</si>
  <si>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</si>
  <si>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</si>
  <si>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</si>
  <si>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</si>
  <si>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</si>
  <si>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</si>
  <si>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</si>
  <si>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</si>
  <si>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</si>
  <si>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</si>
  <si>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</si>
  <si>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</si>
  <si>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</si>
  <si>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</si>
  <si>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</si>
  <si>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</si>
  <si>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</si>
  <si>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</si>
  <si>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</si>
  <si>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</si>
  <si>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</si>
  <si>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</si>
  <si>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</si>
  <si>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</si>
  <si>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</si>
  <si>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</si>
  <si>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</si>
  <si>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</si>
  <si>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</si>
  <si>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</si>
  <si>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</si>
  <si>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</si>
  <si>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</si>
  <si>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</si>
  <si>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</si>
  <si>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</si>
  <si>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</si>
  <si>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</si>
  <si>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</si>
  <si>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</si>
  <si>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</si>
  <si>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</si>
  <si>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</si>
  <si>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</si>
  <si>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</si>
  <si>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</si>
  <si>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</si>
  <si>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</si>
  <si>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</si>
  <si>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</si>
  <si>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</si>
  <si>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</si>
  <si>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</si>
  <si>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</si>
  <si>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</si>
  <si>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</si>
  <si>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</si>
  <si>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</si>
  <si>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</si>
  <si>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</si>
  <si>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</si>
  <si>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</si>
  <si>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</si>
  <si>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</si>
  <si>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</si>
  <si>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</si>
  <si>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</si>
  <si>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</si>
  <si>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</si>
  <si>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</si>
  <si>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</si>
  <si>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</si>
  <si>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</si>
  <si>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</si>
  <si>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</si>
  <si>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</si>
  <si>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</si>
  <si>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</si>
  <si>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</si>
  <si>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</si>
  <si>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</si>
  <si>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</si>
  <si>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</si>
  <si>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</si>
  <si>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</si>
  <si>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</si>
  <si>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</si>
  <si>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</si>
  <si>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</si>
  <si>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</si>
  <si>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</si>
  <si>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</si>
  <si>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</si>
  <si>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</si>
  <si>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</si>
  <si>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</si>
  <si>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</si>
  <si>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</si>
  <si>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</si>
  <si>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</si>
  <si>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</si>
  <si>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</si>
  <si>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</si>
  <si>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</si>
  <si>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</si>
  <si>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</si>
  <si>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</si>
  <si>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</si>
  <si>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</si>
  <si>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</si>
  <si>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</si>
  <si>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</si>
  <si>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</si>
  <si>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</si>
  <si>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</si>
  <si>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</si>
  <si>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</si>
  <si>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</si>
  <si>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</si>
  <si>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</si>
  <si>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</si>
  <si>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</si>
  <si>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</si>
  <si>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</si>
  <si>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</si>
  <si>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</si>
  <si>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</si>
  <si>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</si>
  <si>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</si>
  <si>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</si>
  <si>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</si>
  <si>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</si>
  <si>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</si>
  <si>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</si>
  <si>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</si>
  <si>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</si>
  <si>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</si>
  <si>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</si>
  <si>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</si>
  <si>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</si>
  <si>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>CC1-A</t>
  </si>
  <si>
    <t xml:space="preserve">Pemasangan APP </t>
  </si>
  <si>
    <t>SGB 01</t>
  </si>
  <si>
    <t>P12C-2</t>
  </si>
  <si>
    <t xml:space="preserve"> </t>
  </si>
  <si>
    <t>KOORDINAT : -6.972269, 110.697552</t>
  </si>
  <si>
    <t>AGR ENI KUSRINI</t>
  </si>
  <si>
    <t>T1-393/165</t>
  </si>
  <si>
    <t>Trafo 3 Fasa 50 KVA 1 Tiang (G312-A)</t>
  </si>
  <si>
    <t>Daya 41.500 VA</t>
  </si>
  <si>
    <t>ATB</t>
  </si>
  <si>
    <t>KONSTRUKSI JTR 3 PHASE</t>
  </si>
  <si>
    <t>JL DEMPET MINTRENG DEMPET, KEC DEMPET</t>
  </si>
  <si>
    <t>Demak, 14 Agustus 2023</t>
  </si>
  <si>
    <t>MANAGER ULP</t>
  </si>
  <si>
    <t>ACHMAD SUHENDRO</t>
  </si>
  <si>
    <t>Staff Teknik</t>
  </si>
  <si>
    <t>TL Teknik</t>
  </si>
  <si>
    <t>Manager ULP</t>
  </si>
  <si>
    <t>Manager Perencanaan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</si>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</sst>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50" fillId="48" borderId="21" xfId="1614" applyFont="1" applyFill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0.41499999999999992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9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303535</xdr:colOff>
      <xdr:row>31</xdr:row>
      <xdr:rowOff>87970</xdr:rowOff>
    </xdr:from>
    <xdr:to>
      <xdr:col>13</xdr:col>
      <xdr:colOff>323022</xdr:colOff>
      <xdr:row>31</xdr:row>
      <xdr:rowOff>107674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1531609F-2FDE-43D9-ADD4-376FF42FD0AC}"/>
            </a:ext>
          </a:extLst>
        </xdr:cNvPr>
        <xdr:cNvCxnSpPr/>
      </xdr:nvCxnSpPr>
      <xdr:spPr>
        <a:xfrm flipH="1" flipV="1">
          <a:off x="1380274" y="4751079"/>
          <a:ext cx="3448487" cy="19704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229500</xdr:colOff>
      <xdr:row>28</xdr:row>
      <xdr:rowOff>110390</xdr:rowOff>
    </xdr:from>
    <xdr:to>
      <xdr:col>13</xdr:col>
      <xdr:colOff>350898</xdr:colOff>
      <xdr:row>29</xdr:row>
      <xdr:rowOff>73963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16C7E608-D3F0-4888-9141-4695987FF879}"/>
            </a:ext>
          </a:extLst>
        </xdr:cNvPr>
        <xdr:cNvGrpSpPr/>
      </xdr:nvGrpSpPr>
      <xdr:grpSpPr>
        <a:xfrm>
          <a:off x="4729241" y="4380218"/>
          <a:ext cx="121398" cy="11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6" name="Oval 165">
            <a:extLst>
              <a:ext uri="{FF2B5EF4-FFF2-40B4-BE49-F238E27FC236}">
                <a16:creationId xmlns:a16="http://schemas.microsoft.com/office/drawing/2014/main" id="{9379E983-F77B-CBE1-D770-E4C698DA2E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6097FB6-D364-040C-DD12-16B3E319F894}"/>
              </a:ext>
            </a:extLst>
          </xdr:cNvPr>
          <xdr:cNvCxnSpPr>
            <a:stCxn id="166" idx="1"/>
            <a:endCxn id="1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A37D21FD-4B6B-2F24-2E9D-BBF5DE1BE124}"/>
              </a:ext>
            </a:extLst>
          </xdr:cNvPr>
          <xdr:cNvCxnSpPr>
            <a:stCxn id="166" idx="3"/>
            <a:endCxn id="1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375671</xdr:colOff>
      <xdr:row>28</xdr:row>
      <xdr:rowOff>110390</xdr:rowOff>
    </xdr:from>
    <xdr:to>
      <xdr:col>10</xdr:col>
      <xdr:colOff>121288</xdr:colOff>
      <xdr:row>29</xdr:row>
      <xdr:rowOff>73963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AA9C2278-8892-44A4-AE65-DDEDA29F6227}"/>
            </a:ext>
          </a:extLst>
        </xdr:cNvPr>
        <xdr:cNvGrpSpPr/>
      </xdr:nvGrpSpPr>
      <xdr:grpSpPr>
        <a:xfrm>
          <a:off x="3351412" y="4380218"/>
          <a:ext cx="126617" cy="11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B56A79C0-9E7B-0ED7-881B-8D469FD3DE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CDDAC4F-EC04-1D76-CDC2-F3E1FE6A1563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D85E6C-A350-6438-00E0-AD978C122C30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102745</xdr:colOff>
      <xdr:row>29</xdr:row>
      <xdr:rowOff>57023</xdr:rowOff>
    </xdr:from>
    <xdr:to>
      <xdr:col>13</xdr:col>
      <xdr:colOff>247278</xdr:colOff>
      <xdr:row>29</xdr:row>
      <xdr:rowOff>57023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884C3786-43EF-4945-A19D-BB8FA24B8559}"/>
            </a:ext>
          </a:extLst>
        </xdr:cNvPr>
        <xdr:cNvCxnSpPr>
          <a:cxnSpLocks/>
          <a:stCxn id="166" idx="3"/>
          <a:endCxn id="170" idx="5"/>
        </xdr:cNvCxnSpPr>
      </xdr:nvCxnSpPr>
      <xdr:spPr>
        <a:xfrm flipH="1">
          <a:off x="3464510" y="4606611"/>
          <a:ext cx="1287533" cy="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322542</xdr:colOff>
      <xdr:row>27</xdr:row>
      <xdr:rowOff>121400</xdr:rowOff>
    </xdr:from>
    <xdr:to>
      <xdr:col>8</xdr:col>
      <xdr:colOff>95755</xdr:colOff>
      <xdr:row>28</xdr:row>
      <xdr:rowOff>131443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7E6F649C-8EAD-435D-8087-2C5D3F972BAF}"/>
            </a:ext>
          </a:extLst>
        </xdr:cNvPr>
        <xdr:cNvSpPr/>
      </xdr:nvSpPr>
      <xdr:spPr>
        <a:xfrm>
          <a:off x="2542281" y="4196443"/>
          <a:ext cx="154213" cy="1591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294747</xdr:colOff>
      <xdr:row>28</xdr:row>
      <xdr:rowOff>117717</xdr:rowOff>
    </xdr:from>
    <xdr:to>
      <xdr:col>6</xdr:col>
      <xdr:colOff>40364</xdr:colOff>
      <xdr:row>29</xdr:row>
      <xdr:rowOff>81290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1FC2E813-3289-4C75-9311-AB8DCCA1D3B2}"/>
            </a:ext>
          </a:extLst>
        </xdr:cNvPr>
        <xdr:cNvGrpSpPr/>
      </xdr:nvGrpSpPr>
      <xdr:grpSpPr>
        <a:xfrm>
          <a:off x="1746488" y="4387545"/>
          <a:ext cx="126617" cy="11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id="{C534993C-2283-147C-92C3-3806D8EF6BE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E1674743-ADFA-3A3A-81BB-CA83F572A88E}"/>
              </a:ext>
            </a:extLst>
          </xdr:cNvPr>
          <xdr:cNvCxnSpPr>
            <a:stCxn id="181" idx="1"/>
            <a:endCxn id="1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1298C19C-081F-5709-0716-A18CCE175E91}"/>
              </a:ext>
            </a:extLst>
          </xdr:cNvPr>
          <xdr:cNvCxnSpPr>
            <a:stCxn id="181" idx="3"/>
            <a:endCxn id="1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100853</xdr:colOff>
      <xdr:row>29</xdr:row>
      <xdr:rowOff>56752</xdr:rowOff>
    </xdr:from>
    <xdr:to>
      <xdr:col>10</xdr:col>
      <xdr:colOff>13214</xdr:colOff>
      <xdr:row>29</xdr:row>
      <xdr:rowOff>57023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93EBDAAC-2AB9-41A3-A279-EE8C49BA6678}"/>
            </a:ext>
          </a:extLst>
        </xdr:cNvPr>
        <xdr:cNvCxnSpPr>
          <a:cxnSpLocks/>
          <a:stCxn id="170" idx="3"/>
        </xdr:cNvCxnSpPr>
      </xdr:nvCxnSpPr>
      <xdr:spPr>
        <a:xfrm flipH="1" flipV="1">
          <a:off x="1557618" y="4606340"/>
          <a:ext cx="1817361" cy="27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42875</xdr:colOff>
      <xdr:row>15</xdr:row>
      <xdr:rowOff>88028</xdr:rowOff>
    </xdr:from>
    <xdr:to>
      <xdr:col>8</xdr:col>
      <xdr:colOff>274788</xdr:colOff>
      <xdr:row>21</xdr:row>
      <xdr:rowOff>53359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2980073F-58E1-4D5A-A5B9-0FED4F4EEFF4}"/>
            </a:ext>
          </a:extLst>
        </xdr:cNvPr>
        <xdr:cNvSpPr txBox="1"/>
      </xdr:nvSpPr>
      <xdr:spPr>
        <a:xfrm>
          <a:off x="2256616" y="2393735"/>
          <a:ext cx="612913" cy="87184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ENI KUSRINI</a:t>
          </a:r>
        </a:p>
      </xdr:txBody>
    </xdr:sp>
    <xdr:clientData/>
  </xdr:twoCellAnchor>
  <xdr:twoCellAnchor>
    <xdr:from>
      <xdr:col>7</xdr:col>
      <xdr:colOff>253896</xdr:colOff>
      <xdr:row>30</xdr:row>
      <xdr:rowOff>34770</xdr:rowOff>
    </xdr:from>
    <xdr:to>
      <xdr:col>9</xdr:col>
      <xdr:colOff>42688</xdr:colOff>
      <xdr:row>35</xdr:row>
      <xdr:rowOff>22609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269C1349-3367-498E-981E-A1A4BB93507D}"/>
            </a:ext>
          </a:extLst>
        </xdr:cNvPr>
        <xdr:cNvSpPr txBox="1"/>
      </xdr:nvSpPr>
      <xdr:spPr>
        <a:xfrm>
          <a:off x="2467637" y="4600201"/>
          <a:ext cx="550792" cy="74327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T1-393/163A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CG6-T</a:t>
          </a:r>
        </a:p>
      </xdr:txBody>
    </xdr:sp>
    <xdr:clientData/>
  </xdr:twoCellAnchor>
  <xdr:twoCellAnchor>
    <xdr:from>
      <xdr:col>8</xdr:col>
      <xdr:colOff>72229</xdr:colOff>
      <xdr:row>23</xdr:row>
      <xdr:rowOff>97076</xdr:rowOff>
    </xdr:from>
    <xdr:to>
      <xdr:col>8</xdr:col>
      <xdr:colOff>335367</xdr:colOff>
      <xdr:row>26</xdr:row>
      <xdr:rowOff>70480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863E2B28-F6B3-445D-A7C0-ACA7F2C1DF40}"/>
            </a:ext>
          </a:extLst>
        </xdr:cNvPr>
        <xdr:cNvSpPr txBox="1"/>
      </xdr:nvSpPr>
      <xdr:spPr>
        <a:xfrm rot="5649403">
          <a:off x="2594204" y="3654536"/>
          <a:ext cx="420665" cy="263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8</xdr:col>
      <xdr:colOff>187548</xdr:colOff>
      <xdr:row>21</xdr:row>
      <xdr:rowOff>18069</xdr:rowOff>
    </xdr:from>
    <xdr:to>
      <xdr:col>8</xdr:col>
      <xdr:colOff>188107</xdr:colOff>
      <xdr:row>28</xdr:row>
      <xdr:rowOff>107673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0AAD6EC-079B-4623-8874-8225A6F8685E}"/>
            </a:ext>
          </a:extLst>
        </xdr:cNvPr>
        <xdr:cNvCxnSpPr>
          <a:cxnSpLocks/>
          <a:stCxn id="196" idx="0"/>
          <a:endCxn id="191" idx="2"/>
        </xdr:cNvCxnSpPr>
      </xdr:nvCxnSpPr>
      <xdr:spPr>
        <a:xfrm flipV="1">
          <a:off x="2788287" y="3198591"/>
          <a:ext cx="559" cy="113321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119132</xdr:colOff>
      <xdr:row>20</xdr:row>
      <xdr:rowOff>106482</xdr:rowOff>
    </xdr:from>
    <xdr:to>
      <xdr:col>8</xdr:col>
      <xdr:colOff>257081</xdr:colOff>
      <xdr:row>21</xdr:row>
      <xdr:rowOff>18069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6B3D51F7-11B7-40BF-8D2B-2BAA0D9CE31D}"/>
            </a:ext>
          </a:extLst>
        </xdr:cNvPr>
        <xdr:cNvSpPr/>
      </xdr:nvSpPr>
      <xdr:spPr>
        <a:xfrm>
          <a:off x="2719871" y="3137917"/>
          <a:ext cx="137949" cy="60674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124239</xdr:colOff>
      <xdr:row>28</xdr:row>
      <xdr:rowOff>107673</xdr:rowOff>
    </xdr:from>
    <xdr:to>
      <xdr:col>8</xdr:col>
      <xdr:colOff>250856</xdr:colOff>
      <xdr:row>29</xdr:row>
      <xdr:rowOff>71246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37EC01EA-2607-4958-BBEA-E8688D8F84C6}"/>
            </a:ext>
          </a:extLst>
        </xdr:cNvPr>
        <xdr:cNvGrpSpPr/>
      </xdr:nvGrpSpPr>
      <xdr:grpSpPr>
        <a:xfrm>
          <a:off x="2718980" y="4377501"/>
          <a:ext cx="126617" cy="1146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6" name="Oval 195">
            <a:extLst>
              <a:ext uri="{FF2B5EF4-FFF2-40B4-BE49-F238E27FC236}">
                <a16:creationId xmlns:a16="http://schemas.microsoft.com/office/drawing/2014/main" id="{7FFA74B8-3715-53C4-72DE-13DD032A7F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7263598-1C99-5338-A4F5-4A07254DCB84}"/>
              </a:ext>
            </a:extLst>
          </xdr:cNvPr>
          <xdr:cNvCxnSpPr>
            <a:stCxn id="196" idx="1"/>
            <a:endCxn id="1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96BE7162-5A45-D1F8-F14C-60E0DCECD04F}"/>
              </a:ext>
            </a:extLst>
          </xdr:cNvPr>
          <xdr:cNvCxnSpPr>
            <a:stCxn id="196" idx="3"/>
            <a:endCxn id="1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269327</xdr:colOff>
      <xdr:row>30</xdr:row>
      <xdr:rowOff>45983</xdr:rowOff>
    </xdr:from>
    <xdr:to>
      <xdr:col>11</xdr:col>
      <xdr:colOff>6569</xdr:colOff>
      <xdr:row>33</xdr:row>
      <xdr:rowOff>105103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B5FF812-6D7D-487E-AB22-82CAB06E24EF}"/>
            </a:ext>
          </a:extLst>
        </xdr:cNvPr>
        <xdr:cNvSpPr txBox="1"/>
      </xdr:nvSpPr>
      <xdr:spPr>
        <a:xfrm>
          <a:off x="3245068" y="4611414"/>
          <a:ext cx="499242" cy="51237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T1-393/164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</xdr:txBody>
    </xdr:sp>
    <xdr:clientData/>
  </xdr:twoCellAnchor>
  <xdr:twoCellAnchor>
    <xdr:from>
      <xdr:col>8</xdr:col>
      <xdr:colOff>188107</xdr:colOff>
      <xdr:row>21</xdr:row>
      <xdr:rowOff>18069</xdr:rowOff>
    </xdr:from>
    <xdr:to>
      <xdr:col>10</xdr:col>
      <xdr:colOff>57980</xdr:colOff>
      <xdr:row>28</xdr:row>
      <xdr:rowOff>110390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6EDBB9AC-12E5-45A6-BE07-AA1C79AB028E}"/>
            </a:ext>
          </a:extLst>
        </xdr:cNvPr>
        <xdr:cNvCxnSpPr>
          <a:cxnSpLocks/>
          <a:stCxn id="170" idx="0"/>
          <a:endCxn id="191" idx="2"/>
        </xdr:cNvCxnSpPr>
      </xdr:nvCxnSpPr>
      <xdr:spPr>
        <a:xfrm flipH="1" flipV="1">
          <a:off x="2782848" y="3230293"/>
          <a:ext cx="631873" cy="114992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13214</xdr:colOff>
      <xdr:row>28</xdr:row>
      <xdr:rowOff>127181</xdr:rowOff>
    </xdr:from>
    <xdr:to>
      <xdr:col>13</xdr:col>
      <xdr:colOff>247278</xdr:colOff>
      <xdr:row>28</xdr:row>
      <xdr:rowOff>127181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BC4273D1-55A3-417A-BF1C-C4951BF2B24E}"/>
            </a:ext>
          </a:extLst>
        </xdr:cNvPr>
        <xdr:cNvCxnSpPr>
          <a:cxnSpLocks/>
          <a:stCxn id="166" idx="1"/>
          <a:endCxn id="170" idx="1"/>
        </xdr:cNvCxnSpPr>
      </xdr:nvCxnSpPr>
      <xdr:spPr>
        <a:xfrm flipH="1">
          <a:off x="3369955" y="4397009"/>
          <a:ext cx="1377064" cy="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78828</xdr:colOff>
      <xdr:row>24</xdr:row>
      <xdr:rowOff>78828</xdr:rowOff>
    </xdr:from>
    <xdr:to>
      <xdr:col>9</xdr:col>
      <xdr:colOff>341966</xdr:colOff>
      <xdr:row>27</xdr:row>
      <xdr:rowOff>52232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B2E65DE-6D95-4065-8CAD-371F6BEFCD0D}"/>
            </a:ext>
          </a:extLst>
        </xdr:cNvPr>
        <xdr:cNvSpPr txBox="1"/>
      </xdr:nvSpPr>
      <xdr:spPr>
        <a:xfrm rot="3844722">
          <a:off x="2972807" y="3826073"/>
          <a:ext cx="426662" cy="263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11</xdr:col>
      <xdr:colOff>167859</xdr:colOff>
      <xdr:row>27</xdr:row>
      <xdr:rowOff>134314</xdr:rowOff>
    </xdr:from>
    <xdr:to>
      <xdr:col>12</xdr:col>
      <xdr:colOff>213521</xdr:colOff>
      <xdr:row>29</xdr:row>
      <xdr:rowOff>95279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B39AFB95-1346-4D34-A92F-4C7BBE9B3A7A}"/>
            </a:ext>
          </a:extLst>
        </xdr:cNvPr>
        <xdr:cNvSpPr txBox="1"/>
      </xdr:nvSpPr>
      <xdr:spPr>
        <a:xfrm>
          <a:off x="3905600" y="4253055"/>
          <a:ext cx="426662" cy="263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13</xdr:col>
      <xdr:colOff>197069</xdr:colOff>
      <xdr:row>27</xdr:row>
      <xdr:rowOff>65690</xdr:rowOff>
    </xdr:from>
    <xdr:to>
      <xdr:col>13</xdr:col>
      <xdr:colOff>354724</xdr:colOff>
      <xdr:row>28</xdr:row>
      <xdr:rowOff>78827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2435037D-EF87-4D65-8184-ED2A6659F380}"/>
            </a:ext>
          </a:extLst>
        </xdr:cNvPr>
        <xdr:cNvSpPr/>
      </xdr:nvSpPr>
      <xdr:spPr>
        <a:xfrm>
          <a:off x="4696810" y="4184431"/>
          <a:ext cx="157655" cy="16422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60203</xdr:colOff>
      <xdr:row>24</xdr:row>
      <xdr:rowOff>64583</xdr:rowOff>
    </xdr:from>
    <xdr:to>
      <xdr:col>9</xdr:col>
      <xdr:colOff>208986</xdr:colOff>
      <xdr:row>25</xdr:row>
      <xdr:rowOff>128197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99F918A9-89F9-8447-C36E-D2CDEAE11AC9}"/>
            </a:ext>
          </a:extLst>
        </xdr:cNvPr>
        <xdr:cNvGrpSpPr/>
      </xdr:nvGrpSpPr>
      <xdr:grpSpPr>
        <a:xfrm rot="2749021">
          <a:off x="3002986" y="3763024"/>
          <a:ext cx="214700" cy="148783"/>
          <a:chOff x="3869119" y="3934810"/>
          <a:chExt cx="256191" cy="273536"/>
        </a:xfrm>
      </xdr:grpSpPr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C9AEF456-93FB-410E-B69A-DF72067ABA7A}"/>
              </a:ext>
            </a:extLst>
          </xdr:cNvPr>
          <xdr:cNvCxnSpPr>
            <a:cxnSpLocks/>
          </xdr:cNvCxnSpPr>
        </xdr:nvCxnSpPr>
        <xdr:spPr>
          <a:xfrm flipH="1" flipV="1">
            <a:off x="3875690" y="3934810"/>
            <a:ext cx="243051" cy="273536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789F8FE4-62F3-4AA1-869F-7ED0F3FA6F90}"/>
              </a:ext>
            </a:extLst>
          </xdr:cNvPr>
          <xdr:cNvCxnSpPr>
            <a:cxnSpLocks/>
          </xdr:cNvCxnSpPr>
        </xdr:nvCxnSpPr>
        <xdr:spPr>
          <a:xfrm flipV="1">
            <a:off x="3869119" y="3941379"/>
            <a:ext cx="256191" cy="26039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223231</xdr:colOff>
      <xdr:row>28</xdr:row>
      <xdr:rowOff>26389</xdr:rowOff>
    </xdr:from>
    <xdr:to>
      <xdr:col>12</xdr:col>
      <xdr:colOff>56931</xdr:colOff>
      <xdr:row>29</xdr:row>
      <xdr:rowOff>24086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1ED2D00C-CD94-4481-AC30-23826F7E482C}"/>
            </a:ext>
          </a:extLst>
        </xdr:cNvPr>
        <xdr:cNvGrpSpPr/>
      </xdr:nvGrpSpPr>
      <xdr:grpSpPr>
        <a:xfrm>
          <a:off x="3960972" y="4296217"/>
          <a:ext cx="214700" cy="148783"/>
          <a:chOff x="3869119" y="3934810"/>
          <a:chExt cx="256191" cy="273536"/>
        </a:xfrm>
      </xdr:grpSpPr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8007B3E9-36B6-81EA-E118-5F26D4C95F27}"/>
              </a:ext>
            </a:extLst>
          </xdr:cNvPr>
          <xdr:cNvCxnSpPr>
            <a:cxnSpLocks/>
          </xdr:cNvCxnSpPr>
        </xdr:nvCxnSpPr>
        <xdr:spPr>
          <a:xfrm flipH="1" flipV="1">
            <a:off x="3875690" y="3934810"/>
            <a:ext cx="243051" cy="273536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F69E4483-BC3E-1840-0748-9F84BBBDAA94}"/>
              </a:ext>
            </a:extLst>
          </xdr:cNvPr>
          <xdr:cNvCxnSpPr>
            <a:cxnSpLocks/>
          </xdr:cNvCxnSpPr>
        </xdr:nvCxnSpPr>
        <xdr:spPr>
          <a:xfrm flipV="1">
            <a:off x="3869119" y="3941379"/>
            <a:ext cx="256191" cy="26039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5</xdr:col>
      <xdr:colOff>452437</xdr:colOff>
      <xdr:row>14</xdr:row>
      <xdr:rowOff>23813</xdr:rowOff>
    </xdr:from>
    <xdr:to>
      <xdr:col>24</xdr:col>
      <xdr:colOff>95250</xdr:colOff>
      <xdr:row>56</xdr:row>
      <xdr:rowOff>158917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15A3F-CDDD-587A-A18E-9BBAA63C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6937" y="2262188"/>
          <a:ext cx="11358563" cy="7135979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17318</xdr:colOff>
      <xdr:row>10</xdr:row>
      <xdr:rowOff>86591</xdr:rowOff>
    </xdr:from>
    <xdr:to>
      <xdr:col>17</xdr:col>
      <xdr:colOff>121227</xdr:colOff>
      <xdr:row>47</xdr:row>
      <xdr:rowOff>103732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01E7A0-7DEF-02EF-6628-CEF51831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4045" y="1801091"/>
          <a:ext cx="7377546" cy="57840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SUMIFS(RAB!$F$14:$F$93,RAB!$C$14:$C$93,C714)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SUMIFS(RAB!$F$14:$F$93,RAB!$C$14:$C$93,C715)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SUMIFS(RAB!$F$14:$F$93,RAB!$C$14:$C$93,C716)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SUMIFS(RAB!$F$14:$F$93,RAB!$C$14:$C$93,C717)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SUMIFS(RAB!$F$14:$F$93,RAB!$C$14:$C$93,C718)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SUMIFS(RAB!$F$14:$F$93,RAB!$C$14:$C$93,C719)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SUMIFS(RAB!$F$14:$F$93,RAB!$C$14:$C$93,C720)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SUMIFS(RAB!$F$14:$F$93,RAB!$C$14:$C$93,C721)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SUMIFS(RAB!$F$14:$F$93,RAB!$C$14:$C$93,C722)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SUMIFS(RAB!$F$14:$F$93,RAB!$C$14:$C$93,C723)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SUMIFS(RAB!$F$14:$F$93,RAB!$C$14:$C$93,C724)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SUMIFS(RAB!$F$14:$F$93,RAB!$C$14:$C$93,C725)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SUMIFS(RAB!$F$14:$F$93,RAB!$C$14:$C$93,C726)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SUMIFS(RAB!$F$14:$F$93,RAB!$C$14:$C$93,C727)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SUMIFS(RAB!$F$14:$F$93,RAB!$C$14:$C$93,C728)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SUMIFS(RAB!$F$14:$F$93,RAB!$C$14:$C$93,C729)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SUMIFS(RAB!$F$14:$F$93,RAB!$C$14:$C$93,C730)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SUMIFS(RAB!$F$14:$F$93,RAB!$C$14:$C$93,C731)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SUMIFS(RAB!$F$14:$F$93,RAB!$C$14:$C$93,C732)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SUMIFS(RAB!$F$14:$F$93,RAB!$C$14:$C$93,C733)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SUMIFS(RAB!$F$14:$F$93,RAB!$C$14:$C$93,C734)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SUMIFS(RAB!$F$14:$F$93,RAB!$C$14:$C$93,C735)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SUMIFS(RAB!$F$14:$F$93,RAB!$C$14:$C$93,C736)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SUMIFS(RAB!$F$14:$F$93,RAB!$C$14:$C$93,C737)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SUMIFS(RAB!$F$14:$F$93,RAB!$C$14:$C$93,C738)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SUMIFS(RAB!$F$14:$F$93,RAB!$C$14:$C$93,C739)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SUMIFS(RAB!$F$14:$F$93,RAB!$C$14:$C$93,C740)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SUMIFS(RAB!$F$14:$F$93,RAB!$C$14:$C$93,C741)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SUMIFS(RAB!$F$14:$F$93,RAB!$C$14:$C$93,C742)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SUMIFS(RAB!$F$14:$F$93,RAB!$C$14:$C$93,C743)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SUMIFS(RAB!$F$14:$F$93,RAB!$C$14:$C$93,C744)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SUMIFS(RAB!$F$14:$F$93,RAB!$C$14:$C$93,C745)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SUMIFS(RAB!$F$14:$F$93,RAB!$C$14:$C$93,C746)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SUMIFS(RAB!$F$14:$F$93,RAB!$C$14:$C$93,C747)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SUMIFS(RAB!$F$14:$F$93,RAB!$C$14:$C$93,C748)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SUMIFS(RAB!$F$14:$F$93,RAB!$C$14:$C$93,C749)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SUMIFS(RAB!$F$14:$F$93,RAB!$C$14:$C$93,C750)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SUMIFS(RAB!$F$14:$F$93,RAB!$C$14:$C$93,C751)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SUMIFS(RAB!$F$14:$F$93,RAB!$C$14:$C$93,C752)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SUMIFS(RAB!$F$14:$F$93,RAB!$C$14:$C$93,C753)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SUMIFS(RAB!$F$14:$F$93,RAB!$C$14:$C$93,C754)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SUMIFS(RAB!$F$14:$F$93,RAB!$C$14:$C$93,C755)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SUMIFS(RAB!$F$14:$F$93,RAB!$C$14:$C$93,C756)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SUMIFS(RAB!$F$14:$F$93,RAB!$C$14:$C$93,C757)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SUMIFS(RAB!$F$14:$F$93,RAB!$C$14:$C$93,C758)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SUMIFS(RAB!$F$14:$F$93,RAB!$C$14:$C$93,C759)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SUMIFS(RAB!$F$14:$F$93,RAB!$C$14:$C$93,C760)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SUMIFS(RAB!$F$14:$F$93,RAB!$C$14:$C$93,C761)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SUMIFS(RAB!$F$14:$F$93,RAB!$C$14:$C$93,C762)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SUMIFS(RAB!$F$14:$F$93,RAB!$C$14:$C$93,C763)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SUMIFS(RAB!$F$14:$F$93,RAB!$C$14:$C$93,C764)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SUMIFS(RAB!$F$14:$F$93,RAB!$C$14:$C$93,C765)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SUMIFS(RAB!$F$14:$F$93,RAB!$C$14:$C$93,C766)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SUMIFS(RAB!$F$14:$F$93,RAB!$C$14:$C$93,C767)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SUMIFS(RAB!$F$14:$F$93,RAB!$C$14:$C$93,C768)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SUMIFS(RAB!$F$14:$F$93,RAB!$C$14:$C$93,C769)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SUMIFS(RAB!$F$14:$F$93,RAB!$C$14:$C$93,C770)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SUMIFS(RAB!$F$14:$F$93,RAB!$C$14:$C$93,C771)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SUMIFS(RAB!$F$14:$F$93,RAB!$C$14:$C$93,C772)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SUMIFS(RAB!$F$14:$F$93,RAB!$C$14:$C$93,C773)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SUMIFS(RAB!$F$14:$F$93,RAB!$C$14:$C$93,C774)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SUMIFS(RAB!$F$14:$F$93,RAB!$C$14:$C$93,C775)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SUMIFS(RAB!$F$14:$F$93,RAB!$C$14:$C$93,C776)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SUMIFS(RAB!$F$14:$F$93,RAB!$C$14:$C$93,C777)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SUMIFS(RAB!$F$14:$F$93,RAB!$C$14:$C$93,C778)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SUMIFS(RAB!$F$14:$F$93,RAB!$C$14:$C$93,C779)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SUMIFS(RAB!$F$14:$F$93,RAB!$C$14:$C$93,C780)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SUMIFS(RAB!$F$14:$F$93,RAB!$C$14:$C$93,C781)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SUMIFS(RAB!$F$14:$F$93,RAB!$C$14:$C$93,C782)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SUMIFS(RAB!$F$14:$F$93,RAB!$C$14:$C$93,C783)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SUMIFS(RAB!$F$14:$F$93,RAB!$C$14:$C$93,C784)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SUMIFS(RAB!$F$14:$F$93,RAB!$C$14:$C$93,C785)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SUMIFS(RAB!$F$14:$F$93,RAB!$C$14:$C$93,C786)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SUMIFS(RAB!$F$14:$F$93,RAB!$C$14:$C$93,C787)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SUMIFS(RAB!$F$14:$F$93,RAB!$C$14:$C$93,C788)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SUMIFS(RAB!$F$14:$F$93,RAB!$C$14:$C$93,C789)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SUMIFS(RAB!$F$14:$F$93,RAB!$C$14:$C$93,C790)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SUMIFS(RAB!$F$14:$F$93,RAB!$C$14:$C$93,C791)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SUMIFS(RAB!$F$14:$F$93,RAB!$C$14:$C$93,C792)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SUMIFS(RAB!$F$14:$F$93,RAB!$C$14:$C$93,C793)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SUMIFS(RAB!$F$14:$F$93,RAB!$C$14:$C$93,C794)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SUMIFS(RAB!$F$14:$F$93,RAB!$C$14:$C$93,C795)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SUMIFS(RAB!$F$14:$F$93,RAB!$C$14:$C$93,C796)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SUMIFS(RAB!$F$14:$F$93,RAB!$C$14:$C$93,C797)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SUMIFS(RAB!$F$14:$F$93,RAB!$C$14:$C$93,C798)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SUMIFS(RAB!$F$14:$F$93,RAB!$C$14:$C$93,C799)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SUMIFS(RAB!$F$14:$F$93,RAB!$C$14:$C$93,C800)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SUMIFS(RAB!$F$14:$F$93,RAB!$C$14:$C$93,C801)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SUMIFS(RAB!$F$14:$F$93,RAB!$C$14:$C$93,C802)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SUMIFS(RAB!$F$14:$F$93,RAB!$C$14:$C$93,C803)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SUMIFS(RAB!$F$14:$F$93,RAB!$C$14:$C$93,C804)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SUMIFS(RAB!$F$14:$F$93,RAB!$C$14:$C$93,C805)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SUMIFS(RAB!$F$14:$F$93,RAB!$C$14:$C$93,C806)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SUMIFS(RAB!$F$14:$F$93,RAB!$C$14:$C$93,C807)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SUMIFS(RAB!$F$14:$F$93,RAB!$C$14:$C$93,C808)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SUMIFS(RAB!$F$14:$F$93,RAB!$C$14:$C$93,C809)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SUMIFS(RAB!$F$14:$F$93,RAB!$C$14:$C$93,C810)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SUMIFS(RAB!$F$14:$F$93,RAB!$C$14:$C$93,C811)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SUMIFS(RAB!$F$14:$F$93,RAB!$C$14:$C$93,C812)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SUMIFS(RAB!$F$14:$F$93,RAB!$C$14:$C$93,C813)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SUMIFS(RAB!$F$14:$F$93,RAB!$C$14:$C$93,C814)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SUMIFS(RAB!$F$14:$F$93,RAB!$C$14:$C$93,C815)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SUMIFS(RAB!$F$14:$F$93,RAB!$C$14:$C$93,C816)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SUMIFS(RAB!$F$14:$F$93,RAB!$C$14:$C$93,C817)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SUMIFS(RAB!$F$14:$F$93,RAB!$C$14:$C$93,C818)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SUMIFS(RAB!$F$14:$F$93,RAB!$C$14:$C$93,C819)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SUMIFS(RAB!$F$14:$F$93,RAB!$C$14:$C$93,C820)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SUMIFS(RAB!$F$14:$F$93,RAB!$C$14:$C$93,C821)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SUMIFS(RAB!$F$14:$F$93,RAB!$C$14:$C$93,C822)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SUMIFS(RAB!$F$14:$F$93,RAB!$C$14:$C$93,C823)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SUMIFS(RAB!$F$14:$F$93,RAB!$C$14:$C$93,C824)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SUMIFS(RAB!$F$14:$F$93,RAB!$C$14:$C$93,C825)</f>
        <v>3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SUMIFS(RAB!$F$14:$F$93,RAB!$C$14:$C$93,C826)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SUMIFS(RAB!$F$14:$F$93,RAB!$C$14:$C$93,C827)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SUMIFS(RAB!$F$14:$F$93,RAB!$C$14:$C$93,C828)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SUMIFS(RAB!$F$14:$F$93,RAB!$C$14:$C$93,C829)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SUMIFS(RAB!$F$14:$F$93,RAB!$C$14:$C$93,C830)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SUMIFS(RAB!$F$14:$F$93,RAB!$C$14:$C$93,C831)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SUMIFS(RAB!$F$14:$F$93,RAB!$C$14:$C$93,C832)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SUMIFS(RAB!$F$14:$F$93,RAB!$C$14:$C$93,C833)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SUMIFS(RAB!$F$14:$F$93,RAB!$C$14:$C$93,C834)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SUMIFS(RAB!$F$14:$F$93,RAB!$C$14:$C$93,C835)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SUMIFS(RAB!$F$14:$F$93,RAB!$C$14:$C$93,C836)</f>
        <v>3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SUMIFS(RAB!$F$14:$F$93,RAB!$C$14:$C$93,C837)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SUMIFS(RAB!$F$14:$F$93,RAB!$C$14:$C$93,C838)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SUMIFS(RAB!$F$14:$F$93,RAB!$C$14:$C$93,C839)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SUMIFS(RAB!$F$14:$F$93,RAB!$C$14:$C$93,C840)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SUMIFS(RAB!$F$14:$F$93,RAB!$C$14:$C$93,C841)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SUMIFS(RAB!$F$14:$F$93,RAB!$C$14:$C$93,C842)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SUMIFS(RAB!$F$14:$F$93,RAB!$C$14:$C$93,C843)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SUMIFS(RAB!$F$14:$F$93,RAB!$C$14:$C$93,C844)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SUMIFS(RAB!$F$14:$F$93,RAB!$C$14:$C$93,C845)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SUMIFS(RAB!$F$14:$F$93,RAB!$C$14:$C$93,C846)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SUMIFS(RAB!$F$14:$F$93,RAB!$C$14:$C$93,C847)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SUMIFS(RAB!$F$14:$F$93,RAB!$C$14:$C$93,C848)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SUMIFS(RAB!$F$14:$F$93,RAB!$C$14:$C$93,C849)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SUMIFS(RAB!$F$14:$F$93,RAB!$C$14:$C$93,C850)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SUMIFS(RAB!$F$14:$F$93,RAB!$C$14:$C$93,C851)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SUMIFS(RAB!$F$14:$F$93,RAB!$C$14:$C$93,C852)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SUMIFS(RAB!$F$14:$F$93,RAB!$C$14:$C$93,C853)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SUMIFS(RAB!$F$14:$F$93,RAB!$C$14:$C$93,C854)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SUMIFS(RAB!$F$14:$F$93,RAB!$C$14:$C$93,C855)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SUMIFS(RAB!$F$14:$F$93,RAB!$C$14:$C$93,C856)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SUMIFS(RAB!$F$14:$F$93,RAB!$C$14:$C$93,C857)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SUMIFS(RAB!$F$14:$F$93,RAB!$C$14:$C$93,C858)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SUMIFS(RAB!$F$14:$F$93,RAB!$C$14:$C$93,C859)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SUMIFS(RAB!$F$14:$F$93,RAB!$C$14:$C$93,C860)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SUMIFS(RAB!$F$14:$F$93,RAB!$C$14:$C$93,C861)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SUMIFS(RAB!$F$14:$F$93,RAB!$C$14:$C$93,C862)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SUMIFS(RAB!$F$14:$F$93,RAB!$C$14:$C$93,C863)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SUMIFS(RAB!$F$14:$F$93,RAB!$C$14:$C$93,C864)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SUMIFS(RAB!$F$14:$F$93,RAB!$C$14:$C$93,C865)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SUMIFS(RAB!$F$14:$F$93,RAB!$C$14:$C$93,C866)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SUMIFS(RAB!$F$14:$F$93,RAB!$C$14:$C$93,C867)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SUMIFS(RAB!$F$14:$F$93,RAB!$C$14:$C$93,C868)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SUMIFS(RAB!$F$14:$F$93,RAB!$C$14:$C$93,C869)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SUMIFS(RAB!$F$14:$F$93,RAB!$C$14:$C$93,C870)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SUMIFS(RAB!$F$14:$F$93,RAB!$C$14:$C$93,C871)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SUMIFS(RAB!$F$14:$F$93,RAB!$C$14:$C$93,C872)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SUMIFS(RAB!$F$14:$F$93,RAB!$C$14:$C$93,C873)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SUMIFS(RAB!$F$14:$F$93,RAB!$C$14:$C$93,C874)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SUMIFS(RAB!$F$14:$F$93,RAB!$C$14:$C$93,C875)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SUMIFS(RAB!$F$14:$F$93,RAB!$C$14:$C$93,C876)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SUMIFS(RAB!$F$14:$F$93,RAB!$C$14:$C$93,C877)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SUMIFS(RAB!$F$14:$F$93,RAB!$C$14:$C$93,C878)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SUMIFS(RAB!$F$14:$F$93,RAB!$C$14:$C$93,C879)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SUMIFS(RAB!$F$14:$F$93,RAB!$C$14:$C$93,C880)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SUMIFS(RAB!$F$14:$F$93,RAB!$C$14:$C$93,C881)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SUMIFS(RAB!$F$14:$F$93,RAB!$C$14:$C$93,C882)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SUMIFS(RAB!$F$14:$F$93,RAB!$C$14:$C$93,C883)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SUMIFS(RAB!$F$14:$F$93,RAB!$C$14:$C$93,C884)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SUMIFS(RAB!$F$14:$F$93,RAB!$C$14:$C$93,C885)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SUMIFS(RAB!$F$14:$F$93,RAB!$C$14:$C$93,C886)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SUMIFS(RAB!$F$14:$F$93,RAB!$C$14:$C$93,C887)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SUMIFS(RAB!$F$14:$F$93,RAB!$C$14:$C$93,C888)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SUMIFS(RAB!$F$14:$F$93,RAB!$C$14:$C$93,C889)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SUMIFS(RAB!$F$14:$F$93,RAB!$C$14:$C$93,C890)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SUMIFS(RAB!$F$14:$F$93,RAB!$C$14:$C$93,C891)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SUMIFS(RAB!$F$14:$F$93,RAB!$C$14:$C$93,C892)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SUMIFS(RAB!$F$14:$F$93,RAB!$C$14:$C$93,C893)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SUMIFS(RAB!$F$14:$F$93,RAB!$C$14:$C$93,C894)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SUMIFS(RAB!$F$14:$F$93,RAB!$C$14:$C$93,C895)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SUMIFS(RAB!$F$14:$F$93,RAB!$C$14:$C$93,C896)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SUMIFS(RAB!$F$14:$F$93,RAB!$C$14:$C$93,C897)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SUMIFS(RAB!$F$14:$F$93,RAB!$C$14:$C$93,C898)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SUMIFS(RAB!$F$14:$F$93,RAB!$C$14:$C$93,C899)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SUMIFS(RAB!$F$14:$F$93,RAB!$C$14:$C$93,C900)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SUMIFS(RAB!$F$14:$F$93,RAB!$C$14:$C$93,C901)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SUMIFS(RAB!$F$14:$F$93,RAB!$C$14:$C$93,C902)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SUMIFS(RAB!$F$14:$F$93,RAB!$C$14:$C$93,C903)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SUMIFS(RAB!$F$14:$F$93,RAB!$C$14:$C$93,C904)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SUMIFS(RAB!$F$14:$F$93,RAB!$C$14:$C$93,C905)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SUMIFS(RAB!$F$14:$F$93,RAB!$C$14:$C$93,C906)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SUMIFS(RAB!$F$14:$F$93,RAB!$C$14:$C$93,C907)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SUMIFS(RAB!$F$14:$F$93,RAB!$C$14:$C$93,C908)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SUMIFS(RAB!$F$14:$F$93,RAB!$C$14:$C$93,C909)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SUMIFS(RAB!$F$14:$F$93,RAB!$C$14:$C$93,C910)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SUMIFS(RAB!$F$14:$F$93,RAB!$C$14:$C$93,C911)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SUMIFS(RAB!$F$14:$F$93,RAB!$C$14:$C$93,C912)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SUMIFS(RAB!$F$14:$F$93,RAB!$C$14:$C$93,C913)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SUMIFS(RAB!$F$14:$F$93,RAB!$C$14:$C$93,C914)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SUMIFS(RAB!$F$14:$F$93,RAB!$C$14:$C$93,C915)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SUMIFS(RAB!$F$14:$F$93,RAB!$C$14:$C$93,C916)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SUMIFS(RAB!$F$14:$F$93,RAB!$C$14:$C$93,C917)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SUMIFS(RAB!$F$14:$F$93,RAB!$C$14:$C$93,C918)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SUMIFS(RAB!$F$14:$F$93,RAB!$C$14:$C$93,C919)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SUMIFS(RAB!$F$14:$F$93,RAB!$C$14:$C$93,C920)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SUMIFS(RAB!$F$14:$F$93,RAB!$C$14:$C$93,C921)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SUMIFS(RAB!$F$14:$F$93,RAB!$C$14:$C$93,C922)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SUMIFS(RAB!$F$14:$F$93,RAB!$C$14:$C$93,C923)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SUMIFS(RAB!$F$14:$F$93,RAB!$C$14:$C$93,C924)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SUMIFS(RAB!$F$14:$F$93,RAB!$C$14:$C$93,C925)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SUMIFS(RAB!$F$14:$F$93,RAB!$C$14:$C$93,C926)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SUMIFS(RAB!$F$14:$F$93,RAB!$C$14:$C$93,C927)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SUMIFS(RAB!$F$14:$F$93,RAB!$C$14:$C$93,C928)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SUMIFS(RAB!$F$14:$F$93,RAB!$C$14:$C$93,C929)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SUMIFS(RAB!$F$14:$F$93,RAB!$C$14:$C$93,C930)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SUMIFS(RAB!$F$14:$F$93,RAB!$C$14:$C$93,C931)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SUMIFS(RAB!$F$14:$F$93,RAB!$C$14:$C$93,C932)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SUMIFS(RAB!$F$14:$F$93,RAB!$C$14:$C$93,C933)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SUMIFS(RAB!$F$14:$F$93,RAB!$C$14:$C$93,C934)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SUMIFS(RAB!$F$14:$F$93,RAB!$C$14:$C$93,C935)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SUMIFS(RAB!$F$14:$F$93,RAB!$C$14:$C$93,C936)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SUMIFS(RAB!$F$14:$F$93,RAB!$C$14:$C$93,C937)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SUMIFS(RAB!$F$14:$F$93,RAB!$C$14:$C$93,C938)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SUMIFS(RAB!$F$14:$F$93,RAB!$C$14:$C$93,C939)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SUMIFS(RAB!$F$14:$F$93,RAB!$C$14:$C$93,C940)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SUMIFS(RAB!$F$14:$F$93,RAB!$C$14:$C$93,C941)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SUMIFS(RAB!$F$14:$F$93,RAB!$C$14:$C$93,C942)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SUMIFS(RAB!$F$14:$F$93,RAB!$C$14:$C$93,C943)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SUMIFS(RAB!$F$14:$F$93,RAB!$C$14:$C$93,C944)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SUMIFS(RAB!$F$14:$F$93,RAB!$C$14:$C$93,C945)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SUMIFS(RAB!$F$14:$F$93,RAB!$C$14:$C$93,C946)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SUMIFS(RAB!$F$14:$F$93,RAB!$C$14:$C$93,C947)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SUMIFS(RAB!$F$14:$F$93,RAB!$C$14:$C$93,C948)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SUMIFS(RAB!$F$14:$F$93,RAB!$C$14:$C$93,C949)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SUMIFS(RAB!$F$14:$F$93,RAB!$C$14:$C$93,C950)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SUMIFS(RAB!$F$14:$F$93,RAB!$C$14:$C$93,C951)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SUMIFS(RAB!$F$14:$F$93,RAB!$C$14:$C$93,C952)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SUMIFS(RAB!$F$14:$F$93,RAB!$C$14:$C$93,C953)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SUMIFS(RAB!$F$14:$F$93,RAB!$C$14:$C$93,C954)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SUMIFS(RAB!$F$14:$F$93,RAB!$C$14:$C$93,C955)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SUMIFS(RAB!$F$14:$F$93,RAB!$C$14:$C$93,C956)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SUMIFS(RAB!$F$14:$F$93,RAB!$C$14:$C$93,C957)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SUMIFS(RAB!$F$14:$F$93,RAB!$C$14:$C$93,C958)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SUMIFS(RAB!$F$14:$F$93,RAB!$C$14:$C$93,C959)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SUMIFS(RAB!$F$14:$F$93,RAB!$C$14:$C$93,C960)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SUMIFS(RAB!$F$14:$F$93,RAB!$C$14:$C$93,C961)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SUMIFS(RAB!$F$14:$F$93,RAB!$C$14:$C$93,C962)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SUMIFS(RAB!$F$14:$F$93,RAB!$C$14:$C$93,C963)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SUMIFS(RAB!$F$14:$F$93,RAB!$C$14:$C$93,C964)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SUMIFS(RAB!$F$14:$F$93,RAB!$C$14:$C$93,C965)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SUMIFS(RAB!$F$14:$F$93,RAB!$C$14:$C$93,C966)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SUMIFS(RAB!$F$14:$F$93,RAB!$C$14:$C$93,C967)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SUMIFS(RAB!$F$14:$F$93,RAB!$C$14:$C$93,C968)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SUMIFS(RAB!$F$14:$F$93,RAB!$C$14:$C$93,C969)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SUMIFS(RAB!$F$14:$F$93,RAB!$C$14:$C$93,C970)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SUMIFS(RAB!$F$14:$F$93,RAB!$C$14:$C$93,C971)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SUMIFS(RAB!$F$14:$F$93,RAB!$C$14:$C$93,C972)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SUMIFS(RAB!$F$14:$F$93,RAB!$C$14:$C$93,C973)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SUMIFS(RAB!$F$14:$F$93,RAB!$C$14:$C$93,C974)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SUMIFS(RAB!$F$14:$F$93,RAB!$C$14:$C$93,C975)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SUMIFS(RAB!$F$14:$F$93,RAB!$C$14:$C$93,C976)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SUMIFS(RAB!$F$14:$F$93,RAB!$C$14:$C$93,C977)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SUMIFS(RAB!$F$14:$F$93,RAB!$C$14:$C$93,C978)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SUMIFS(RAB!$F$14:$F$93,RAB!$C$14:$C$93,C979)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SUMIFS(RAB!$F$14:$F$93,RAB!$C$14:$C$93,C980)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SUMIFS(RAB!$F$14:$F$93,RAB!$C$14:$C$93,C981)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SUMIFS(RAB!$F$14:$F$93,RAB!$C$14:$C$93,C982)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SUMIFS(RAB!$F$14:$F$93,RAB!$C$14:$C$93,C983)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SUMIFS(RAB!$F$14:$F$93,RAB!$C$14:$C$93,C984)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SUMIFS(RAB!$F$14:$F$93,RAB!$C$14:$C$93,C985)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SUMIFS(RAB!$F$14:$F$93,RAB!$C$14:$C$93,C986)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SUMIFS(RAB!$F$14:$F$93,RAB!$C$14:$C$93,C987)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SUMIFS(RAB!$F$14:$F$93,RAB!$C$14:$C$93,C988)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SUMIFS(RAB!$F$14:$F$93,RAB!$C$14:$C$93,C989)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SUMIFS(RAB!$F$14:$F$93,RAB!$C$14:$C$93,C990)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SUMIFS(RAB!$F$14:$F$93,RAB!$C$14:$C$93,C991)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SUMIFS(RAB!$F$14:$F$93,RAB!$C$14:$C$93,C992)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SUMIFS(RAB!$F$14:$F$93,RAB!$C$14:$C$93,C993)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SUMIFS(RAB!$F$14:$F$93,RAB!$C$14:$C$93,C994)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SUMIFS(RAB!$F$14:$F$93,RAB!$C$14:$C$93,C995)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SUMIFS(RAB!$F$14:$F$93,RAB!$C$14:$C$93,C996)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SUMIFS(RAB!$F$14:$F$93,RAB!$C$14:$C$93,C997)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SUMIFS(RAB!$F$14:$F$93,RAB!$C$14:$C$93,C998)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SUMIFS(RAB!$F$14:$F$93,RAB!$C$14:$C$93,C999)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SUMIFS(RAB!$F$14:$F$93,RAB!$C$14:$C$93,C1000)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SUMIFS(RAB!$F$14:$F$93,RAB!$C$14:$C$93,C1001)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SUMIFS(RAB!$F$14:$F$93,RAB!$C$14:$C$93,C1002)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SUMIFS(RAB!$F$14:$F$93,RAB!$C$14:$C$93,C1003)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SUMIFS(RAB!$F$14:$F$93,RAB!$C$14:$C$93,C1004)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SUMIFS(RAB!$F$14:$F$93,RAB!$C$14:$C$93,C1005)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SUMIFS(RAB!$F$14:$F$93,RAB!$C$14:$C$93,C1006)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SUMIFS(RAB!$F$14:$F$93,RAB!$C$14:$C$93,C1007)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SUMIFS(RAB!$F$14:$F$93,RAB!$C$14:$C$93,C1008)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SUMIFS(RAB!$F$14:$F$93,RAB!$C$14:$C$93,C1009)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SUMIFS(RAB!$F$14:$F$93,RAB!$C$14:$C$93,C1010)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SUMIFS(RAB!$F$14:$F$93,RAB!$C$14:$C$93,C1011)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SUMIFS(RAB!$F$14:$F$93,RAB!$C$14:$C$93,C1012)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SUMIFS(RAB!$F$14:$F$93,RAB!$C$14:$C$93,C1013)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SUMIFS(RAB!$F$14:$F$93,RAB!$C$14:$C$93,C1014)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SUMIFS(RAB!$F$14:$F$93,RAB!$C$14:$C$93,C1015)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SUMIFS(RAB!$F$14:$F$93,RAB!$C$14:$C$93,C1016)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SUMIFS(RAB!$F$14:$F$93,RAB!$C$14:$C$93,C1017)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SUMIFS(RAB!$F$14:$F$93,RAB!$C$14:$C$93,C1018)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SUMIFS(RAB!$F$14:$F$93,RAB!$C$14:$C$93,C1019)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SUMIFS(RAB!$F$14:$F$93,RAB!$C$14:$C$93,C1020)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SUMIFS(RAB!$F$14:$F$93,RAB!$C$14:$C$93,C1021)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SUMIFS(RAB!$F$14:$F$93,RAB!$C$14:$C$93,C1022)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SUMIFS(RAB!$F$14:$F$93,RAB!$C$14:$C$93,C1023)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SUMIFS(RAB!$F$14:$F$93,RAB!$C$14:$C$93,C1024)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SUMIFS(RAB!$F$14:$F$93,RAB!$C$14:$C$93,C1025)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SUMIFS(RAB!$F$14:$F$93,RAB!$C$14:$C$93,C1026)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SUMIFS(RAB!$F$14:$F$93,RAB!$C$14:$C$93,C1027)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SUMIFS(RAB!$F$14:$F$93,RAB!$C$14:$C$93,C1028)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SUMIFS(RAB!$F$14:$F$93,RAB!$C$14:$C$93,C1029)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SUMIFS(RAB!$F$14:$F$93,RAB!$C$14:$C$93,C1030)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SUMIFS(RAB!$F$14:$F$93,RAB!$C$14:$C$93,C1031)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SUMIFS(RAB!$F$14:$F$93,RAB!$C$14:$C$93,C1032)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SUMIFS(RAB!$F$14:$F$93,RAB!$C$14:$C$93,C1033)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SUMIFS(RAB!$F$14:$F$93,RAB!$C$14:$C$93,C1034)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SUMIFS(RAB!$F$14:$F$93,RAB!$C$14:$C$93,C1035)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SUMIFS(RAB!$F$14:$F$93,RAB!$C$14:$C$93,C1036)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SUMIFS(RAB!$F$14:$F$93,RAB!$C$14:$C$93,C1037)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SUMIFS(RAB!$F$14:$F$93,RAB!$C$14:$C$93,C1038)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SUMIFS(RAB!$F$14:$F$93,RAB!$C$14:$C$93,C1039)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SUMIFS(RAB!$F$14:$F$93,RAB!$C$14:$C$93,C1040)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SUMIFS(RAB!$F$14:$F$93,RAB!$C$14:$C$93,C1041)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SUMIFS(RAB!$F$14:$F$93,RAB!$C$14:$C$93,C1042)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SUMIFS(RAB!$F$14:$F$93,RAB!$C$14:$C$93,C1043)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SUMIFS(RAB!$F$14:$F$93,RAB!$C$14:$C$93,C1044)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SUMIFS(RAB!$F$14:$F$93,RAB!$C$14:$C$93,C1045)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SUMIFS(RAB!$F$14:$F$93,RAB!$C$14:$C$93,C1046)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SUMIFS(RAB!$F$14:$F$93,RAB!$C$14:$C$93,C1047)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SUMIFS(RAB!$F$14:$F$93,RAB!$C$14:$C$93,C1048)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SUMIFS(RAB!$F$14:$F$93,RAB!$C$14:$C$93,C1049)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SUMIFS(RAB!$F$14:$F$93,RAB!$C$14:$C$93,C1050)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SUMIFS(RAB!$F$14:$F$93,RAB!$C$14:$C$93,C1051)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SUMIFS(RAB!$F$14:$F$93,RAB!$C$14:$C$93,C1052)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SUMIFS(RAB!$F$14:$F$93,RAB!$C$14:$C$93,C1053)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SUMIFS(RAB!$F$14:$F$93,RAB!$C$14:$C$93,C1054)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SUMIFS(RAB!$F$14:$F$93,RAB!$C$14:$C$93,C1055)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SUMIFS(RAB!$F$14:$F$93,RAB!$C$14:$C$93,C1056)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SUMIFS(RAB!$F$14:$F$93,RAB!$C$14:$C$93,C1057)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SUMIFS(RAB!$F$14:$F$93,RAB!$C$14:$C$93,C1058)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SUMIFS(RAB!$F$14:$F$93,RAB!$C$14:$C$93,C1059)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SUMIFS(RAB!$F$14:$F$93,RAB!$C$14:$C$93,C1060)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SUMIFS(RAB!$F$14:$F$93,RAB!$C$14:$C$93,C1061)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SUMIFS(RAB!$F$14:$F$93,RAB!$C$14:$C$93,C1062)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SUMIFS(RAB!$F$14:$F$93,RAB!$C$14:$C$93,C1063)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SUMIFS(RAB!$F$14:$F$93,RAB!$C$14:$C$93,C1064)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SUMIFS(RAB!$F$14:$F$93,RAB!$C$14:$C$93,C1065)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SUMIFS(RAB!$F$14:$F$93,RAB!$C$14:$C$93,C1066)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SUMIFS(RAB!$F$14:$F$93,RAB!$C$14:$C$93,C1067)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SUMIFS(RAB!$F$14:$F$93,RAB!$C$14:$C$93,C1068)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SUMIFS(RAB!$F$14:$F$93,RAB!$C$14:$C$93,C1069)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SUMIFS(RAB!$F$14:$F$93,RAB!$C$14:$C$93,C1070)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SUMIFS(RAB!$F$14:$F$93,RAB!$C$14:$C$93,C1071)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SUMIFS(RAB!$F$14:$F$93,RAB!$C$14:$C$93,C1072)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SUMIFS(RAB!$F$14:$F$93,RAB!$C$14:$C$93,C1073)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SUMIFS(RAB!$F$14:$F$93,RAB!$C$14:$C$93,C1074)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SUMIFS(RAB!$F$14:$F$93,RAB!$C$14:$C$93,C1075)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SUMIFS(RAB!$F$14:$F$93,RAB!$C$14:$C$93,C1076)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SUMIFS(RAB!$F$14:$F$93,RAB!$C$14:$C$93,C1077)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SUMIFS(RAB!$F$14:$F$93,RAB!$C$14:$C$93,C1078)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SUMIFS(RAB!$F$14:$F$93,RAB!$C$14:$C$93,C1079)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SUMIFS(RAB!$F$14:$F$93,RAB!$C$14:$C$93,C1080)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SUMIFS(RAB!$F$14:$F$93,RAB!$C$14:$C$93,C1081)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SUMIFS(RAB!$F$14:$F$93,RAB!$C$14:$C$93,C1082)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SUMIFS(RAB!$F$14:$F$93,RAB!$C$14:$C$93,C1083)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SUMIFS(RAB!$F$14:$F$93,RAB!$C$14:$C$93,C1084)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SUMIFS(RAB!$F$14:$F$93,RAB!$C$14:$C$93,C1085)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SUMIFS(RAB!$F$14:$F$93,RAB!$C$14:$C$93,C1086)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SUMIFS(RAB!$F$14:$F$93,RAB!$C$14:$C$93,C1087)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SUMIFS(RAB!$F$14:$F$93,RAB!$C$14:$C$93,C1088)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SUMIFS(RAB!$F$14:$F$93,RAB!$C$14:$C$93,C1089)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SUMIFS(RAB!$F$14:$F$93,RAB!$C$14:$C$93,C1090)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SUMIFS(RAB!$F$14:$F$93,RAB!$C$14:$C$93,C1091)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SUMIFS(RAB!$F$14:$F$93,RAB!$C$14:$C$93,C1092)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SUMIFS(RAB!$F$14:$F$93,RAB!$C$14:$C$93,C1093)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SUMIFS(RAB!$F$14:$F$93,RAB!$C$14:$C$93,C1094)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SUMIFS(RAB!$F$14:$F$93,RAB!$C$14:$C$93,C1095)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SUMIFS(RAB!$F$14:$F$93,RAB!$C$14:$C$93,C1096)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SUMIFS(RAB!$F$14:$F$93,RAB!$C$14:$C$93,C1097)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SUMIFS(RAB!$F$14:$F$93,RAB!$C$14:$C$93,C1098)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SUMIFS(RAB!$F$14:$F$93,RAB!$C$14:$C$93,C1099)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SUMIFS(RAB!$F$14:$F$93,RAB!$C$14:$C$93,C1100)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SUMIFS(RAB!$F$14:$F$93,RAB!$C$14:$C$93,C1101)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SUMIFS(RAB!$F$14:$F$93,RAB!$C$14:$C$93,C1102)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SUMIFS(RAB!$F$14:$F$93,RAB!$C$14:$C$93,C1103)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SUMIFS(RAB!$F$14:$F$93,RAB!$C$14:$C$93,C1104)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SUMIFS(RAB!$F$14:$F$93,RAB!$C$14:$C$93,C1105)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SUMIFS(RAB!$F$14:$F$93,RAB!$C$14:$C$93,C1106)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SUMIFS(RAB!$F$14:$F$93,RAB!$C$14:$C$93,C1107)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SUMIFS(RAB!$F$14:$F$93,RAB!$C$14:$C$93,C1108)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SUMIFS(RAB!$F$14:$F$93,RAB!$C$14:$C$93,C1109)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SUMIFS(RAB!$F$14:$F$93,RAB!$C$14:$C$93,C1110)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SUMIFS(RAB!$F$14:$F$93,RAB!$C$14:$C$93,C1111)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SUMIFS(RAB!$F$14:$F$93,RAB!$C$14:$C$93,C1112)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SUMIFS(RAB!$F$14:$F$93,RAB!$C$14:$C$93,C1113)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SUMIFS(RAB!$F$14:$F$93,RAB!$C$14:$C$93,C1114)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SUMIFS(RAB!$F$14:$F$93,RAB!$C$14:$C$93,C1115)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SUMIFS(RAB!$F$14:$F$93,RAB!$C$14:$C$93,C1116)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SUMIFS(RAB!$F$14:$F$93,RAB!$C$14:$C$93,C1117)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SUMIFS(RAB!$F$14:$F$93,RAB!$C$14:$C$93,C1118)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SUMIFS(RAB!$F$14:$F$93,RAB!$C$14:$C$93,C1119)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SUMIFS(RAB!$F$14:$F$93,RAB!$C$14:$C$93,C1120)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SUMIFS(RAB!$F$14:$F$93,RAB!$C$14:$C$93,C1121)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SUMIFS(RAB!$F$14:$F$93,RAB!$C$14:$C$93,C1122)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SUMIFS(RAB!$F$14:$F$93,RAB!$C$14:$C$93,C1123)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SUMIFS(RAB!$F$14:$F$93,RAB!$C$14:$C$93,C1124)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SUMIFS(RAB!$F$14:$F$93,RAB!$C$14:$C$93,C1125)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SUMIFS(RAB!$F$14:$F$93,RAB!$C$14:$C$93,C1126)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SUMIFS(RAB!$F$14:$F$93,RAB!$C$14:$C$93,C1127)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SUMIFS(RAB!$F$14:$F$93,RAB!$C$14:$C$93,C1128)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SUMIFS(RAB!$F$14:$F$93,RAB!$C$14:$C$93,C1129)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SUMIFS(RAB!$F$14:$F$93,RAB!$C$14:$C$93,C1130)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SUMIFS(RAB!$F$14:$F$93,RAB!$C$14:$C$93,C1131)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SUMIFS(RAB!$F$14:$F$93,RAB!$C$14:$C$93,C1132)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SUMIFS(RAB!$F$14:$F$93,RAB!$C$14:$C$93,C1133)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SUMIFS(RAB!$F$14:$F$93,RAB!$C$14:$C$93,C1134)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SUMIFS(RAB!$F$14:$F$93,RAB!$C$14:$C$93,C1135)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SUMIFS(RAB!$F$14:$F$93,RAB!$C$14:$C$93,C1136)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SUMIFS(RAB!$F$14:$F$93,RAB!$C$14:$C$93,C1137)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SUMIFS(RAB!$F$14:$F$93,RAB!$C$14:$C$93,C1138)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SUMIFS(RAB!$F$14:$F$93,RAB!$C$14:$C$93,C1139)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SUMIFS(RAB!$F$14:$F$93,RAB!$C$14:$C$93,C1140)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SUMIFS(RAB!$F$14:$F$93,RAB!$C$14:$C$93,C1141)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SUMIFS(RAB!$F$14:$F$93,RAB!$C$14:$C$93,C1142)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SUMIFS(RAB!$F$14:$F$93,RAB!$C$14:$C$93,C1143)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SUMIFS(RAB!$F$14:$F$93,RAB!$C$14:$C$93,C1144)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SUMIFS(RAB!$F$14:$F$93,RAB!$C$14:$C$93,C1145)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SUMIFS(RAB!$F$14:$F$93,RAB!$C$14:$C$93,C1146)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SUMIFS(RAB!$F$14:$F$93,RAB!$C$14:$C$93,C1147)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SUMIFS(RAB!$F$14:$F$93,RAB!$C$14:$C$93,C1148)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SUMIFS(RAB!$F$14:$F$93,RAB!$C$14:$C$93,C1149)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SUMIFS(RAB!$F$14:$F$93,RAB!$C$14:$C$93,C1150)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SUMIFS(RAB!$F$14:$F$93,RAB!$C$14:$C$93,C1151)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SUMIFS(RAB!$F$14:$F$93,RAB!$C$14:$C$93,C1152)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SUMIFS(RAB!$F$14:$F$93,RAB!$C$14:$C$93,C1153)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SUMIFS(RAB!$F$14:$F$93,RAB!$C$14:$C$93,C1154)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SUMIFS(RAB!$F$14:$F$93,RAB!$C$14:$C$93,C1155)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SUMIFS(RAB!$F$14:$F$93,RAB!$C$14:$C$93,C1156)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SUMIFS(RAB!$F$14:$F$93,RAB!$C$14:$C$93,C1157)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SUMIFS(RAB!$F$14:$F$93,RAB!$C$14:$C$93,C1158)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SUMIFS(RAB!$F$14:$F$93,RAB!$C$14:$C$93,C1159)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SUMIFS(RAB!$F$14:$F$93,RAB!$C$14:$C$93,C1160)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SUMIFS(RAB!$F$14:$F$93,RAB!$C$14:$C$93,C1161)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SUMIFS(RAB!$F$14:$F$93,RAB!$C$14:$C$93,C1162)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SUMIFS(RAB!$F$14:$F$93,RAB!$C$14:$C$93,C1163)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SUMIFS(RAB!$F$14:$F$93,RAB!$C$14:$C$93,C1164)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SUMIFS(RAB!$F$14:$F$93,RAB!$C$14:$C$93,C1165)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SUMIFS(RAB!$F$14:$F$93,RAB!$C$14:$C$93,C1166)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SUMIFS(RAB!$F$14:$F$93,RAB!$C$14:$C$93,C1167)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SUMIFS(RAB!$F$14:$F$93,RAB!$C$14:$C$93,C1168)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SUMIFS(RAB!$F$14:$F$93,RAB!$C$14:$C$93,C1169)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SUMIFS(RAB!$F$14:$F$93,RAB!$C$14:$C$93,C1170)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SUMIFS(RAB!$F$14:$F$93,RAB!$C$14:$C$93,C1171)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SUMIFS(RAB!$F$14:$F$93,RAB!$C$14:$C$93,C1172)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SUMIFS(RAB!$F$14:$F$93,RAB!$C$14:$C$93,C1173)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SUMIFS(RAB!$F$14:$F$93,RAB!$C$14:$C$93,C1174)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SUMIFS(RAB!$F$14:$F$93,RAB!$C$14:$C$93,C1175)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SUMIFS(RAB!$F$14:$F$93,RAB!$C$14:$C$93,C1176)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SUMIFS(RAB!$F$14:$F$93,RAB!$C$14:$C$93,C1177)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SUMIFS(RAB!$F$14:$F$93,RAB!$C$14:$C$93,C1178)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SUMIFS(RAB!$F$14:$F$93,RAB!$C$14:$C$93,C1179)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SUMIFS(RAB!$F$14:$F$93,RAB!$C$14:$C$93,C1180)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SUMIFS(RAB!$F$14:$F$93,RAB!$C$14:$C$93,C1181)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SUMIFS(RAB!$F$14:$F$93,RAB!$C$14:$C$93,C1182)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SUMIFS(RAB!$F$14:$F$93,RAB!$C$14:$C$93,C1183)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SUMIFS(RAB!$F$14:$F$93,RAB!$C$14:$C$93,C1184)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SUMIFS(RAB!$F$14:$F$93,RAB!$C$14:$C$93,C1185)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SUMIFS(RAB!$F$14:$F$93,RAB!$C$14:$C$93,C1186)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SUMIFS(RAB!$F$14:$F$93,RAB!$C$14:$C$93,C1187)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SUMIFS(RAB!$F$14:$F$93,RAB!$C$14:$C$93,C1188)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SUMIFS(RAB!$F$14:$F$93,RAB!$C$14:$C$93,C1189)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SUMIFS(RAB!$F$14:$F$93,RAB!$C$14:$C$93,C1190)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SUMIFS(RAB!$F$14:$F$93,RAB!$C$14:$C$93,C1191)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SUMIFS(RAB!$F$14:$F$93,RAB!$C$14:$C$93,C1192)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SUMIFS(RAB!$F$14:$F$93,RAB!$C$14:$C$93,C1193)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SUMIFS(RAB!$F$14:$F$93,RAB!$C$14:$C$93,C1194)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SUMIFS(RAB!$F$14:$F$93,RAB!$C$14:$C$93,C1195)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SUMIFS(RAB!$F$14:$F$93,RAB!$C$14:$C$93,C1196)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SUMIFS(RAB!$F$14:$F$93,RAB!$C$14:$C$93,C1197)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SUMIFS(RAB!$F$14:$F$93,RAB!$C$14:$C$93,C1198)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SUMIFS(RAB!$F$14:$F$93,RAB!$C$14:$C$93,C1199)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SUMIFS(RAB!$F$14:$F$93,RAB!$C$14:$C$93,C1200)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SUMIFS(RAB!$F$14:$F$93,RAB!$C$14:$C$93,C1201)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SUMIFS(RAB!$F$14:$F$93,RAB!$C$14:$C$93,C1202)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SUMIFS(RAB!$F$14:$F$93,RAB!$C$14:$C$93,C1203)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SUMIFS(RAB!$F$14:$F$93,RAB!$C$14:$C$93,C1204)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SUMIFS(RAB!$F$14:$F$93,RAB!$C$14:$C$93,C1205)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SUMIFS(RAB!$F$14:$F$93,RAB!$C$14:$C$93,C1206)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SUMIFS(RAB!$F$14:$F$93,RAB!$C$14:$C$93,C1207)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SUMIFS(RAB!$F$14:$F$93,RAB!$C$14:$C$93,C1208)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SUMIFS(RAB!$F$14:$F$93,RAB!$C$14:$C$93,C1209)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SUMIFS(RAB!$F$14:$F$93,RAB!$C$14:$C$93,C1210)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SUMIFS(RAB!$F$14:$F$93,RAB!$C$14:$C$93,C1211)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SUMIFS(RAB!$F$14:$F$93,RAB!$C$14:$C$93,C1212)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SUMIFS(RAB!$F$14:$F$93,RAB!$C$14:$C$93,C1213)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SUMIFS(RAB!$F$14:$F$93,RAB!$C$14:$C$93,C1214)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SUMIFS(RAB!$F$14:$F$93,RAB!$C$14:$C$93,C1215)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SUMIFS(RAB!$F$14:$F$93,RAB!$C$14:$C$93,C1216)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SUMIFS(RAB!$F$14:$F$93,RAB!$C$14:$C$93,C1217)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SUMIFS(RAB!$F$14:$F$93,RAB!$C$14:$C$93,C1218)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SUMIFS(RAB!$F$14:$F$93,RAB!$C$14:$C$93,C1219)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SUMIFS(RAB!$F$14:$F$93,RAB!$C$14:$C$93,C1220)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SUMIFS(RAB!$F$14:$F$93,RAB!$C$14:$C$93,C1221)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SUMIFS(RAB!$F$14:$F$93,RAB!$C$14:$C$93,C1222)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SUMIFS(RAB!$F$14:$F$93,RAB!$C$14:$C$93,C1223)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SUMIFS(RAB!$F$14:$F$93,RAB!$C$14:$C$93,C1224)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SUMIFS(RAB!$F$14:$F$93,RAB!$C$14:$C$93,C1225)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SUMIFS(RAB!$F$14:$F$93,RAB!$C$14:$C$93,C1226)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SUMIFS(RAB!$F$14:$F$93,RAB!$C$14:$C$93,C1227)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SUMIFS(RAB!$F$14:$F$93,RAB!$C$14:$C$93,C1228)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SUMIFS(RAB!$F$14:$F$93,RAB!$C$14:$C$93,C1229)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SUMIFS(RAB!$F$14:$F$93,RAB!$C$14:$C$93,C1230)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SUMIFS(RAB!$F$14:$F$93,RAB!$C$14:$C$93,C1231)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SUMIFS(RAB!$F$14:$F$93,RAB!$C$14:$C$93,C1232)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SUMIFS(RAB!$F$14:$F$93,RAB!$C$14:$C$93,C1233)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SUMIFS(RAB!$F$14:$F$93,RAB!$C$14:$C$93,C1234)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SUMIFS(RAB!$F$14:$F$93,RAB!$C$14:$C$93,C1235)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SUMIFS(RAB!$F$14:$F$93,RAB!$C$14:$C$93,C1236)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SUMIFS(RAB!$F$14:$F$93,RAB!$C$14:$C$93,C1237)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SUMIFS(RAB!$F$14:$F$93,RAB!$C$14:$C$93,C1238)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SUMIFS(RAB!$F$14:$F$93,RAB!$C$14:$C$93,C1239)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SUMIFS(RAB!$F$14:$F$93,RAB!$C$14:$C$93,C1240)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SUMIFS(RAB!$F$14:$F$93,RAB!$C$14:$C$93,C1241)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SUMIFS(RAB!$F$14:$F$93,RAB!$C$14:$C$93,C1242)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SUMIFS(RAB!$F$14:$F$93,RAB!$C$14:$C$93,C1243)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SUMIFS(RAB!$F$14:$F$93,RAB!$C$14:$C$93,C1244)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SUMIFS(RAB!$F$14:$F$93,RAB!$C$14:$C$93,C1245)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SUMIFS(RAB!$F$14:$F$93,RAB!$C$14:$C$93,C1246)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SUMIFS(RAB!$F$14:$F$93,RAB!$C$14:$C$93,C1247)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SUMIFS(RAB!$F$14:$F$93,RAB!$C$14:$C$93,C1248)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SUMIFS(RAB!$F$14:$F$93,RAB!$C$14:$C$93,C1249)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SUMIFS(RAB!$F$14:$F$93,RAB!$C$14:$C$93,C1250)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SUMIFS(RAB!$F$14:$F$93,RAB!$C$14:$C$93,C1251)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SUMIFS(RAB!$F$14:$F$93,RAB!$C$14:$C$93,C1252)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SUMIFS(RAB!$F$14:$F$93,RAB!$C$14:$C$93,C1253)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SUMIFS(RAB!$F$14:$F$93,RAB!$C$14:$C$93,C1254)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SUMIFS(RAB!$F$14:$F$93,RAB!$C$14:$C$93,C1255)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SUMIFS(RAB!$F$14:$F$93,RAB!$C$14:$C$93,C1256)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SUMIFS(RAB!$F$14:$F$93,RAB!$C$14:$C$93,C1257)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SUMIFS(RAB!$F$14:$F$93,RAB!$C$14:$C$93,C1258)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SUMIFS(RAB!$F$14:$F$93,RAB!$C$14:$C$93,C1259)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SUMIFS(RAB!$F$14:$F$93,RAB!$C$14:$C$93,C1260)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SUMIFS(RAB!$F$14:$F$93,RAB!$C$14:$C$93,C1261)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SUMIFS(RAB!$F$14:$F$93,RAB!$C$14:$C$93,C1262)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SUMIFS(RAB!$F$14:$F$93,RAB!$C$14:$C$93,C1263)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SUMIFS(RAB!$F$14:$F$93,RAB!$C$14:$C$93,C1264)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SUMIFS(RAB!$F$14:$F$93,RAB!$C$14:$C$93,C1265)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SUMIFS(RAB!$F$14:$F$93,RAB!$C$14:$C$93,C1266)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SUMIFS(RAB!$F$14:$F$93,RAB!$C$14:$C$93,C1267)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SUMIFS(RAB!$F$14:$F$93,RAB!$C$14:$C$93,C1268)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SUMIFS(RAB!$F$14:$F$93,RAB!$C$14:$C$93,C1269)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SUMIFS(RAB!$F$14:$F$93,RAB!$C$14:$C$93,C1270)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SUMIFS(RAB!$F$14:$F$93,RAB!$C$14:$C$93,C1271)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SUMIFS(RAB!$F$14:$F$93,RAB!$C$14:$C$93,C1272)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SUMIFS(RAB!$F$14:$F$93,RAB!$C$14:$C$93,C1273)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SUMIFS(RAB!$F$14:$F$93,RAB!$C$14:$C$93,C1274)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SUMIFS(RAB!$F$14:$F$93,RAB!$C$14:$C$93,C1275)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SUMIFS(RAB!$F$14:$F$93,RAB!$C$14:$C$93,C1276)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SUMIFS(RAB!$F$14:$F$93,RAB!$C$14:$C$93,C1277)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SUMIFS(RAB!$F$14:$F$93,RAB!$C$14:$C$93,C1278)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SUMIFS(RAB!$F$14:$F$93,RAB!$C$14:$C$93,C1279)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SUMIFS(RAB!$F$14:$F$93,RAB!$C$14:$C$93,C1280)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SUMIFS(RAB!$F$14:$F$93,RAB!$C$14:$C$93,C1281)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SUMIFS(RAB!$F$14:$F$93,RAB!$C$14:$C$93,C1282)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SUMIFS(RAB!$F$14:$F$93,RAB!$C$14:$C$93,C1283)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SUMIFS(RAB!$F$14:$F$93,RAB!$C$14:$C$93,C1284)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SUMIFS(RAB!$F$14:$F$93,RAB!$C$14:$C$93,C1285)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SUMIFS(RAB!$F$14:$F$93,RAB!$C$14:$C$93,C1286)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SUMIFS(RAB!$F$14:$F$93,RAB!$C$14:$C$93,C1287)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SUMIFS(RAB!$F$14:$F$93,RAB!$C$14:$C$93,C1288)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SUMIFS(RAB!$F$14:$F$93,RAB!$C$14:$C$93,C1289)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SUMIFS(RAB!$F$14:$F$93,RAB!$C$14:$C$93,C1290)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SUMIFS(RAB!$F$14:$F$93,RAB!$C$14:$C$93,C1291)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SUMIFS(RAB!$F$14:$F$93,RAB!$C$14:$C$93,C1292)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SUMIFS(RAB!$F$14:$F$93,RAB!$C$14:$C$93,C1293)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SUMIFS(RAB!$F$14:$F$93,RAB!$C$14:$C$93,C1294)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SUMIFS(RAB!$F$14:$F$93,RAB!$C$14:$C$93,C1295)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SUMIFS(RAB!$F$14:$F$93,RAB!$C$14:$C$93,C1296)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SUMIFS(RAB!$F$14:$F$93,RAB!$C$14:$C$93,C1297)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SUMIFS(RAB!$F$14:$F$93,RAB!$C$14:$C$93,C1298)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SUMIFS(RAB!$F$14:$F$93,RAB!$C$14:$C$93,C1299)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SUMIFS(RAB!$F$14:$F$93,RAB!$C$14:$C$93,C1300)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SUMIFS(RAB!$F$14:$F$93,RAB!$C$14:$C$93,C1301)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SUMIFS(RAB!$F$14:$F$93,RAB!$C$14:$C$93,C1302)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SUMIFS(RAB!$F$14:$F$93,RAB!$C$14:$C$93,C1303)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SUMIFS(RAB!$F$14:$F$93,RAB!$C$14:$C$93,C1304)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SUMIFS(RAB!$F$14:$F$93,RAB!$C$14:$C$93,C1305)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SUMIFS(RAB!$F$14:$F$93,RAB!$C$14:$C$93,C1306)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SUMIFS(RAB!$F$14:$F$93,RAB!$C$14:$C$93,C1307)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SUMIFS(RAB!$F$14:$F$93,RAB!$C$14:$C$93,C1308)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SUMIFS(RAB!$F$14:$F$93,RAB!$C$14:$C$93,C1309)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SUMIFS(RAB!$F$14:$F$93,RAB!$C$14:$C$93,C1310)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SUMIFS(RAB!$F$14:$F$93,RAB!$C$14:$C$93,C1311)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SUMIFS(RAB!$F$14:$F$93,RAB!$C$14:$C$93,C1312)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SUMIFS(RAB!$F$14:$F$93,RAB!$C$14:$C$93,C1313)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SUMIFS(RAB!$F$14:$F$93,RAB!$C$14:$C$93,C1314)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SUMIFS(RAB!$F$14:$F$93,RAB!$C$14:$C$93,C1315)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SUMIFS(RAB!$F$14:$F$93,RAB!$C$14:$C$93,C1316)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SUMIFS(RAB!$F$14:$F$93,RAB!$C$14:$C$93,C1317)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SUMIFS(RAB!$F$14:$F$93,RAB!$C$14:$C$93,C1318)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SUMIFS(RAB!$F$14:$F$93,RAB!$C$14:$C$93,C1319)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SUMIFS(RAB!$F$14:$F$93,RAB!$C$14:$C$93,C1320)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1127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AGR ENI KUSRINI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DEMPET MINTRENG DEMPET,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2" t="s">
        <v>1008</v>
      </c>
      <c r="D38" s="552"/>
      <c r="E38" s="552"/>
      <c r="F38" s="552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3" t="s">
        <v>462</v>
      </c>
      <c r="D39" s="553"/>
      <c r="E39" s="553"/>
      <c r="F39" s="553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4" t="s">
        <v>463</v>
      </c>
      <c r="D40" s="544"/>
      <c r="E40" s="544"/>
      <c r="F40" s="544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45" t="e">
        <f ca="1">"Terbilang : ( "&amp;L42&amp;" Rupiah )"</f>
        <v>#NAME?</v>
      </c>
      <c r="C41" s="546"/>
      <c r="D41" s="546"/>
      <c r="E41" s="546"/>
      <c r="F41" s="546"/>
      <c r="G41" s="546"/>
      <c r="H41" s="546"/>
      <c r="I41" s="546"/>
      <c r="J41" s="546"/>
      <c r="K41" s="547"/>
      <c r="L41" s="44"/>
      <c r="R41" s="58"/>
      <c r="S41" s="58"/>
      <c r="T41" s="58"/>
    </row>
    <row r="42" spans="1:20" s="36" customFormat="1">
      <c r="A42" s="30"/>
      <c r="B42" s="548"/>
      <c r="C42" s="549"/>
      <c r="D42" s="549"/>
      <c r="E42" s="549"/>
      <c r="F42" s="549"/>
      <c r="G42" s="549"/>
      <c r="H42" s="549"/>
      <c r="I42" s="549"/>
      <c r="J42" s="549"/>
      <c r="K42" s="55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9"/>
      <c r="I45" s="539"/>
      <c r="J45" s="540"/>
      <c r="K45" s="54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9"/>
      <c r="I46" s="539"/>
      <c r="J46" s="540"/>
      <c r="K46" s="54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9"/>
      <c r="I47" s="539"/>
      <c r="J47" s="540"/>
      <c r="K47" s="54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9"/>
      <c r="I52" s="539"/>
      <c r="J52" s="540"/>
      <c r="K52" s="54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SUMIFS(RAB!$F$14:$F$93,RAB!$C$14:$C$93,'REKAP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SUMIFS(RAB!$F$14:$F$93,RAB!$C$14:$C$93,'REKAP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SUMIFS(RAB!$F$14:$F$93,RAB!$C$14:$C$93,'REKAP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SUMIFS(RAB!$F$14:$F$93,RAB!$C$14:$C$93,'REKAP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SUMIFS(RAB!$F$14:$F$93,RAB!$C$14:$C$93,'REKAP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SUMIFS(RAB!$F$14:$F$93,RAB!$C$14:$C$93,'REKAP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SUMIFS(RAB!$F$14:$F$93,RAB!$C$14:$C$93,'REKAP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SUMIFS(RAB!$F$14:$F$93,RAB!$C$14:$C$93,'REKAP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SUMIFS(RAB!$F$14:$F$93,RAB!$C$14:$C$93,'REKAP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SUMIFS(RAB!$F$14:$F$93,RAB!$C$14:$C$93,'REKAP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SUMIFS(RAB!$F$14:$F$93,RAB!$C$14:$C$93,'REKAP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SUMIFS(RAB!$F$14:$F$93,RAB!$C$14:$C$93,'REKAP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SUMIFS(RAB!$F$14:$F$93,RAB!$C$14:$C$93,'REKAP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SUMIFS(RAB!$F$14:$F$93,RAB!$C$14:$C$93,'REKAP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SUMIFS(RAB!$F$14:$F$93,RAB!$C$14:$C$93,'REKAP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SUMIFS(RAB!$F$14:$F$93,RAB!$C$14:$C$93,'REKAP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SUMIFS(RAB!$F$14:$F$93,RAB!$C$14:$C$93,'REKAP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SUMIFS(RAB!$F$14:$F$93,RAB!$C$14:$C$93,'REKAP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SUMIFS(RAB!$F$14:$F$93,RAB!$C$14:$C$93,'REKAP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SUMIFS(RAB!$F$14:$F$93,RAB!$C$14:$C$93,'REKAP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1034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AGR ENI KUSRINI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DEMPET MINTRENG DEMPET, KEC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530700</v>
      </c>
      <c r="I21" s="42">
        <f t="shared" ca="1" si="2"/>
        <v>0</v>
      </c>
      <c r="J21" s="42">
        <f t="shared" ca="1" si="3"/>
        <v>0</v>
      </c>
      <c r="K21" s="43">
        <f t="shared" ca="1" si="0"/>
        <v>530700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163500</v>
      </c>
      <c r="I23" s="42">
        <f t="shared" ca="1" si="2"/>
        <v>0</v>
      </c>
      <c r="J23" s="42">
        <f t="shared" ca="1" si="3"/>
        <v>0</v>
      </c>
      <c r="K23" s="43">
        <f t="shared" ca="1" si="0"/>
        <v>163500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2" t="s">
        <v>1008</v>
      </c>
      <c r="D168" s="552"/>
      <c r="E168" s="552"/>
      <c r="F168" s="552"/>
      <c r="G168" s="77" t="s">
        <v>9</v>
      </c>
      <c r="H168" s="55">
        <f ca="1">SUM(H14:H167)</f>
        <v>53293950</v>
      </c>
      <c r="I168" s="55">
        <f ca="1">SUM(I14:I167)</f>
        <v>0</v>
      </c>
      <c r="J168" s="55">
        <f ca="1">SUM(J14:J167)</f>
        <v>0</v>
      </c>
      <c r="K168" s="55">
        <f ca="1">SUM(K14:K167)</f>
        <v>53293950</v>
      </c>
      <c r="L168" s="44"/>
      <c r="R168" s="99"/>
      <c r="S168" s="99"/>
      <c r="T168" s="99"/>
    </row>
    <row r="169" spans="1:20" s="36" customFormat="1">
      <c r="A169" s="30"/>
      <c r="B169" s="56"/>
      <c r="C169" s="553" t="s">
        <v>462</v>
      </c>
      <c r="D169" s="553"/>
      <c r="E169" s="553"/>
      <c r="F169" s="553"/>
      <c r="G169" s="59" t="s">
        <v>9</v>
      </c>
      <c r="H169" s="60">
        <f ca="1">H168*0.1</f>
        <v>5329395</v>
      </c>
      <c r="I169" s="60">
        <f ca="1">I168*0.1</f>
        <v>0</v>
      </c>
      <c r="J169" s="60">
        <f ca="1">J168*0.1</f>
        <v>0</v>
      </c>
      <c r="K169" s="60">
        <f ca="1">K168*0.1</f>
        <v>5329395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4" t="s">
        <v>463</v>
      </c>
      <c r="D170" s="544"/>
      <c r="E170" s="544"/>
      <c r="F170" s="544"/>
      <c r="G170" s="61" t="s">
        <v>9</v>
      </c>
      <c r="H170" s="78">
        <f ca="1">SUM(H168:H169)</f>
        <v>58623345</v>
      </c>
      <c r="I170" s="78">
        <f ca="1">SUM(I168:I169)</f>
        <v>0</v>
      </c>
      <c r="J170" s="61">
        <f ca="1">SUM(J168:J169)</f>
        <v>0</v>
      </c>
      <c r="K170" s="61">
        <f ca="1">SUM(K168:K169)</f>
        <v>58623345</v>
      </c>
      <c r="L170" s="44"/>
      <c r="R170" s="99"/>
      <c r="S170" s="99"/>
      <c r="T170" s="99"/>
    </row>
    <row r="171" spans="1:20" s="36" customFormat="1">
      <c r="A171" s="30"/>
      <c r="B171" s="545" t="e">
        <f ca="1">"Terbilang : ( "&amp;L172&amp;" Rupiah )"</f>
        <v>#NAME?</v>
      </c>
      <c r="C171" s="546"/>
      <c r="D171" s="546"/>
      <c r="E171" s="546"/>
      <c r="F171" s="546"/>
      <c r="G171" s="546"/>
      <c r="H171" s="546"/>
      <c r="I171" s="546"/>
      <c r="J171" s="546"/>
      <c r="K171" s="547"/>
      <c r="L171" s="44"/>
      <c r="R171" s="58"/>
      <c r="S171" s="58"/>
      <c r="T171" s="58"/>
    </row>
    <row r="172" spans="1:20" s="36" customFormat="1">
      <c r="A172" s="30"/>
      <c r="B172" s="548"/>
      <c r="C172" s="549"/>
      <c r="D172" s="549"/>
      <c r="E172" s="549"/>
      <c r="F172" s="549"/>
      <c r="G172" s="549"/>
      <c r="H172" s="549"/>
      <c r="I172" s="549"/>
      <c r="J172" s="549"/>
      <c r="K172" s="55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9"/>
      <c r="I175" s="539"/>
      <c r="J175" s="540"/>
      <c r="K175" s="54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9"/>
      <c r="I176" s="539"/>
      <c r="J176" s="540"/>
      <c r="K176" s="54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9"/>
      <c r="I177" s="539"/>
      <c r="J177" s="540"/>
      <c r="K177" s="54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9"/>
      <c r="I182" s="539"/>
      <c r="J182" s="540"/>
      <c r="K182" s="54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SUMIFS(RAB!$F$14:$F$93,RAB!$C$14:$C$93,C224)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SUMIFS(RAB!$F$14:$F$93,RAB!$C$14:$C$93,C225)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SUMIFS(RAB!$F$14:$F$93,RAB!$C$14:$C$93,C226)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SUMIFS(RAB!$F$14:$F$93,RAB!$C$14:$C$93,C227)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SUMIFS(RAB!$F$14:$F$93,RAB!$C$14:$C$93,C228)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SUMIFS(RAB!$F$14:$F$93,RAB!$C$14:$C$93,C229)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SUMIFS(RAB!$F$14:$F$93,RAB!$C$14:$C$93,C230)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SUMIFS(RAB!$F$14:$F$93,RAB!$C$14:$C$93,C231)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SUMIFS(RAB!$F$14:$F$93,RAB!$C$14:$C$93,C232)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SUMIFS(RAB!$F$14:$F$93,RAB!$C$14:$C$93,C233)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SUMIFS(RAB!$F$14:$F$93,RAB!$C$14:$C$93,C234)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SUMIFS(RAB!$F$14:$F$93,RAB!$C$14:$C$93,C235)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SUMIFS(RAB!$F$14:$F$93,RAB!$C$14:$C$93,C236)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SUMIFS(RAB!$F$14:$F$93,RAB!$C$14:$C$93,C237)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SUMIFS(RAB!$F$14:$F$93,RAB!$C$14:$C$93,C238)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SUMIFS(RAB!$F$14:$F$93,RAB!$C$14:$C$93,C239)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SUMIFS(RAB!$F$14:$F$93,RAB!$C$14:$C$93,C240)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SUMIFS(RAB!$F$14:$F$93,RAB!$C$14:$C$93,C241)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SUMIFS(RAB!$F$14:$F$93,RAB!$C$14:$C$93,C242)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SUMIFS(RAB!$F$14:$F$93,RAB!$C$14:$C$93,C243)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SUMIFS(RAB!$F$14:$F$93,RAB!$C$14:$C$93,C244)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SUMIFS(RAB!$F$14:$F$93,RAB!$C$14:$C$93,C245)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SUMIFS(RAB!$F$14:$F$93,RAB!$C$14:$C$93,C246)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SUMIFS(RAB!$F$14:$F$93,RAB!$C$14:$C$93,C247)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SUMIFS(RAB!$F$14:$F$93,RAB!$C$14:$C$93,C248)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SUMIFS(RAB!$F$14:$F$93,RAB!$C$14:$C$93,C249)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SUMIFS(RAB!$F$14:$F$93,RAB!$C$14:$C$93,C250)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SUMIFS(RAB!$F$14:$F$93,RAB!$C$14:$C$93,C251)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SUMIFS(RAB!$F$14:$F$93,RAB!$C$14:$C$93,C252)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SUMIFS(RAB!$F$14:$F$93,RAB!$C$14:$C$93,C253)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SUMIFS(RAB!$F$14:$F$93,RAB!$C$14:$C$93,C254)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SUMIFS(RAB!$F$14:$F$93,RAB!$C$14:$C$93,C255)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SUMIFS(RAB!$F$14:$F$93,RAB!$C$14:$C$93,C256)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SUMIFS(RAB!$F$14:$F$93,RAB!$C$14:$C$93,C257)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SUMIFS(RAB!$F$14:$F$93,RAB!$C$14:$C$93,C258)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SUMIFS(RAB!$F$14:$F$93,RAB!$C$14:$C$93,C259)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SUMIFS(RAB!$F$14:$F$93,RAB!$C$14:$C$93,C260)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SUMIFS(RAB!$F$14:$F$93,RAB!$C$14:$C$93,C261)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SUMIFS(RAB!$F$14:$F$93,RAB!$C$14:$C$93,C262)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SUMIFS(RAB!$F$14:$F$93,RAB!$C$14:$C$93,C263)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SUMIFS(RAB!$F$14:$F$93,RAB!$C$14:$C$93,C264)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SUMIFS(RAB!$F$14:$F$93,RAB!$C$14:$C$93,C265)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SUMIFS(RAB!$F$14:$F$93,RAB!$C$14:$C$93,C266)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SUMIFS(RAB!$F$14:$F$93,RAB!$C$14:$C$93,C267)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SUMIFS(RAB!$F$14:$F$93,RAB!$C$14:$C$93,C268)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SUMIFS(RAB!$F$14:$F$93,RAB!$C$14:$C$93,C269)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SUMIFS(RAB!$F$14:$F$93,RAB!$C$14:$C$93,C270)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SUMIFS(RAB!$F$14:$F$93,RAB!$C$14:$C$93,C271)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SUMIFS(RAB!$F$14:$F$93,RAB!$C$14:$C$93,C272)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SUMIFS(RAB!$F$14:$F$93,RAB!$C$14:$C$93,C273)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SUMIFS(RAB!$F$14:$F$93,RAB!$C$14:$C$93,C274)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SUMIFS(RAB!$F$14:$F$93,RAB!$C$14:$C$93,C275)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SUMIFS(RAB!$F$14:$F$93,RAB!$C$14:$C$93,C276)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SUMIFS(RAB!$F$14:$F$93,RAB!$C$14:$C$93,C277)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SUMIFS(RAB!$F$14:$F$93,RAB!$C$14:$C$93,C278)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SUMIFS(RAB!$F$14:$F$93,RAB!$C$14:$C$93,C279)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SUMIFS(RAB!$F$14:$F$93,RAB!$C$14:$C$93,C280)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SUMIFS(RAB!$F$14:$F$93,RAB!$C$14:$C$93,C281)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SUMIFS(RAB!$F$14:$F$93,RAB!$C$14:$C$93,C282)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SUMIFS(RAB!$F$14:$F$93,RAB!$C$14:$C$93,C283)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SUMIFS(RAB!$F$14:$F$93,RAB!$C$14:$C$93,C284)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SUMIFS(RAB!$F$14:$F$93,RAB!$C$14:$C$93,C285)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SUMIFS(RAB!$F$14:$F$93,RAB!$C$14:$C$93,C286)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SUMIFS(RAB!$F$14:$F$93,RAB!$C$14:$C$93,C287)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SUMIFS(RAB!$F$14:$F$93,RAB!$C$14:$C$93,C288)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SUMIFS(RAB!$F$14:$F$93,RAB!$C$14:$C$93,C289)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SUMIFS(RAB!$F$14:$F$93,RAB!$C$14:$C$93,C290)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SUMIFS(RAB!$F$14:$F$93,RAB!$C$14:$C$93,C291)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SUMIFS(RAB!$F$14:$F$93,RAB!$C$14:$C$93,C292)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SUMIFS(RAB!$F$14:$F$93,RAB!$C$14:$C$93,C293)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SUMIFS(RAB!$F$14:$F$93,RAB!$C$14:$C$93,C294)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SUMIFS(RAB!$F$14:$F$93,RAB!$C$14:$C$93,C295)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SUMIFS(RAB!$F$14:$F$93,RAB!$C$14:$C$93,C296)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SUMIFS(RAB!$F$14:$F$93,RAB!$C$14:$C$93,C297)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SUMIFS(RAB!$F$14:$F$93,RAB!$C$14:$C$93,C298)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SUMIFS(RAB!$F$14:$F$93,RAB!$C$14:$C$93,C299)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SUMIFS(RAB!$F$14:$F$93,RAB!$C$14:$C$93,C300)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SUMIFS(RAB!$F$14:$F$93,RAB!$C$14:$C$93,C301)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SUMIFS(RAB!$F$14:$F$93,RAB!$C$14:$C$93,C302)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SUMIFS(RAB!$F$14:$F$93,RAB!$C$14:$C$93,C303)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SUMIFS(RAB!$F$14:$F$93,RAB!$C$14:$C$93,C304)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SUMIFS(RAB!$F$14:$F$93,RAB!$C$14:$C$93,C305)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SUMIFS(RAB!$F$14:$F$93,RAB!$C$14:$C$93,C306)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SUMIFS(RAB!$F$14:$F$93,RAB!$C$14:$C$93,C307)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SUMIFS(RAB!$F$14:$F$93,RAB!$C$14:$C$93,C308)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SUMIFS(RAB!$F$14:$F$93,RAB!$C$14:$C$93,C309)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SUMIFS(RAB!$F$14:$F$93,RAB!$C$14:$C$93,C310)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SUMIFS(RAB!$F$14:$F$93,RAB!$C$14:$C$93,C311)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SUMIFS(RAB!$F$14:$F$93,RAB!$C$14:$C$93,C312)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SUMIFS(RAB!$F$14:$F$93,RAB!$C$14:$C$93,C313)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SUMIFS(RAB!$F$14:$F$93,RAB!$C$14:$C$93,C314)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SUMIFS(RAB!$F$14:$F$93,RAB!$C$14:$C$93,C315)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SUMIFS(RAB!$F$14:$F$93,RAB!$C$14:$C$93,C316)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SUMIFS(RAB!$F$14:$F$93,RAB!$C$14:$C$93,C317)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SUMIFS(RAB!$F$14:$F$93,RAB!$C$14:$C$93,C318)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SUMIFS(RAB!$F$14:$F$93,RAB!$C$14:$C$93,C319)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SUMIFS(RAB!$F$14:$F$93,RAB!$C$14:$C$93,C320)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SUMIFS(RAB!$F$14:$F$93,RAB!$C$14:$C$93,C321)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SUMIFS(RAB!$F$14:$F$93,RAB!$C$14:$C$93,C322)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SUMIFS(RAB!$F$14:$F$93,RAB!$C$14:$C$93,C323)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SUMIFS(RAB!$F$14:$F$93,RAB!$C$14:$C$93,C324)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SUMIFS(RAB!$F$14:$F$93,RAB!$C$14:$C$93,C325)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SUMIFS(RAB!$F$14:$F$93,RAB!$C$14:$C$93,C326)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SUMIFS(RAB!$F$14:$F$93,RAB!$C$14:$C$93,C327)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SUMIFS(RAB!$F$14:$F$93,RAB!$C$14:$C$93,C328)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SUMIFS(RAB!$F$14:$F$93,RAB!$C$14:$C$93,C329)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SUMIFS(RAB!$F$14:$F$93,RAB!$C$14:$C$93,C330)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SUMIFS(RAB!$F$14:$F$93,RAB!$C$14:$C$93,C331)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SUMIFS(RAB!$F$14:$F$93,RAB!$C$14:$C$93,C332)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SUMIFS(RAB!$F$14:$F$93,RAB!$C$14:$C$93,C333)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SUMIFS(RAB!$F$14:$F$93,RAB!$C$14:$C$93,C334)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SUMIFS(RAB!$F$14:$F$93,RAB!$C$14:$C$93,C335)</f>
        <v>3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SUMIFS(RAB!$F$14:$F$93,RAB!$C$14:$C$93,C336)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SUMIFS(RAB!$F$14:$F$93,RAB!$C$14:$C$93,C337)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SUMIFS(RAB!$F$14:$F$93,RAB!$C$14:$C$93,C338)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SUMIFS(RAB!$F$14:$F$93,RAB!$C$14:$C$93,C339)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SUMIFS(RAB!$F$14:$F$93,RAB!$C$14:$C$93,C340)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SUMIFS(RAB!$F$14:$F$93,RAB!$C$14:$C$93,C341)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SUMIFS(RAB!$F$14:$F$93,RAB!$C$14:$C$93,C342)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SUMIFS(RAB!$F$14:$F$93,RAB!$C$14:$C$93,C343)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SUMIFS(RAB!$F$14:$F$93,RAB!$C$14:$C$93,C344)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SUMIFS(RAB!$F$14:$F$93,RAB!$C$14:$C$93,C345)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SUMIFS(RAB!$F$14:$F$93,RAB!$C$14:$C$93,C346)</f>
        <v>3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SUMIFS(RAB!$F$14:$F$93,RAB!$C$14:$C$93,C347)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SUMIFS(RAB!$F$14:$F$93,RAB!$C$14:$C$93,C348)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SUMIFS(RAB!$F$14:$F$93,RAB!$C$14:$C$93,C349)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SUMIFS(RAB!$F$14:$F$93,RAB!$C$14:$C$93,C350)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SUMIFS(RAB!$F$14:$F$93,RAB!$C$14:$C$93,C351)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SUMIFS(RAB!$F$14:$F$93,RAB!$C$14:$C$93,C352)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SUMIFS(RAB!$F$14:$F$93,RAB!$C$14:$C$93,C353)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SUMIFS(RAB!$F$14:$F$93,RAB!$C$14:$C$93,C354)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SUMIFS(RAB!$F$14:$F$93,RAB!$C$14:$C$93,C355)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SUMIFS(RAB!$F$14:$F$93,RAB!$C$14:$C$93,C356)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SUMIFS(RAB!$F$14:$F$93,RAB!$C$14:$C$93,C357)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SUMIFS(RAB!$F$14:$F$93,RAB!$C$14:$C$93,C358)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SUMIFS(RAB!$F$14:$F$93,RAB!$C$14:$C$93,C359)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SUMIFS(RAB!$F$14:$F$93,RAB!$C$14:$C$93,C360)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SUMIFS(RAB!$F$14:$F$93,RAB!$C$14:$C$93,C361)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SUMIFS(RAB!$F$14:$F$93,RAB!$C$14:$C$93,C362)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SUMIFS(RAB!$F$14:$F$93,RAB!$C$14:$C$93,C363)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SUMIFS(RAB!$F$14:$F$93,RAB!$C$14:$C$93,C364)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SUMIFS(RAB!$F$14:$F$93,RAB!$C$14:$C$93,C365)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SUMIFS(RAB!$F$14:$F$93,RAB!$C$14:$C$93,C366)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SUMIFS(RAB!$F$14:$F$93,RAB!$C$14:$C$93,C367)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SUMIFS(RAB!$F$14:$F$93,RAB!$C$14:$C$93,C368)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SUMIFS(RAB!$F$14:$F$93,RAB!$C$14:$C$93,C369)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SUMIFS(RAB!$F$14:$F$93,RAB!$C$14:$C$93,C370)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SUMIFS(RAB!$F$14:$F$93,RAB!$C$14:$C$93,C371)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SUMIFS(RAB!$F$14:$F$93,RAB!$C$14:$C$93,C372)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SUMIFS(RAB!$F$14:$F$93,RAB!$C$14:$C$93,C373)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7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1604</v>
      </c>
      <c r="G4" s="108" t="s">
        <v>1603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6" sqref="O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9" t="s">
        <v>1454</v>
      </c>
      <c r="C2" s="589"/>
      <c r="D2" s="589"/>
      <c r="E2" s="58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4" t="s">
        <v>1532</v>
      </c>
      <c r="C4" s="595"/>
      <c r="D4" s="595"/>
      <c r="E4" s="596"/>
      <c r="F4" s="442"/>
      <c r="G4" s="442"/>
      <c r="H4" s="443"/>
      <c r="I4" s="558" t="s">
        <v>1533</v>
      </c>
      <c r="J4" s="559"/>
      <c r="K4" s="559"/>
      <c r="L4" s="560"/>
    </row>
    <row r="5" spans="1:12" ht="34.5" customHeight="1">
      <c r="A5" s="204"/>
      <c r="B5" s="445" t="s">
        <v>1379</v>
      </c>
      <c r="C5" s="277" t="s">
        <v>9</v>
      </c>
      <c r="D5" s="590" t="str">
        <f>DATA!D14</f>
        <v>AGR ENI KUSRINI</v>
      </c>
      <c r="E5" s="591"/>
      <c r="F5" s="208"/>
      <c r="G5" s="208"/>
      <c r="I5" s="446" t="s">
        <v>1379</v>
      </c>
      <c r="J5" s="277" t="s">
        <v>9</v>
      </c>
      <c r="K5" s="561" t="str">
        <f>D5</f>
        <v>AGR ENI KUSRINI</v>
      </c>
      <c r="L5" s="562"/>
    </row>
    <row r="6" spans="1:12" ht="31.5" customHeight="1">
      <c r="A6" s="204"/>
      <c r="B6" s="445" t="s">
        <v>1529</v>
      </c>
      <c r="C6" s="277" t="s">
        <v>9</v>
      </c>
      <c r="D6" s="599">
        <f>DATA!D17*1000</f>
        <v>6600</v>
      </c>
      <c r="E6" s="600"/>
      <c r="F6" s="208"/>
      <c r="G6" s="208"/>
      <c r="I6" s="446" t="s">
        <v>1530</v>
      </c>
      <c r="J6" s="277" t="s">
        <v>9</v>
      </c>
      <c r="K6" s="563">
        <f>DATA!D20*1000</f>
        <v>41500</v>
      </c>
      <c r="L6" s="564"/>
    </row>
    <row r="7" spans="1:12" ht="30.75" customHeight="1">
      <c r="A7" s="204"/>
      <c r="B7" s="445" t="s">
        <v>1441</v>
      </c>
      <c r="C7" s="277" t="s">
        <v>9</v>
      </c>
      <c r="D7" s="597">
        <f>DATA!D18</f>
        <v>1</v>
      </c>
      <c r="E7" s="598"/>
      <c r="F7" s="444" t="s">
        <v>1453</v>
      </c>
      <c r="I7" s="446" t="s">
        <v>1441</v>
      </c>
      <c r="J7" s="277" t="s">
        <v>9</v>
      </c>
      <c r="K7" s="565">
        <f>DATA!D21</f>
        <v>3</v>
      </c>
      <c r="L7" s="566"/>
    </row>
    <row r="8" spans="1:12" ht="51" customHeight="1">
      <c r="A8" s="204"/>
      <c r="B8" s="445" t="s">
        <v>1442</v>
      </c>
      <c r="C8" s="277" t="s">
        <v>9</v>
      </c>
      <c r="D8" s="597">
        <f>DATA!D19</f>
        <v>220</v>
      </c>
      <c r="E8" s="598"/>
      <c r="F8" s="444" t="s">
        <v>1453</v>
      </c>
      <c r="G8" s="439">
        <v>220</v>
      </c>
      <c r="I8" s="446" t="s">
        <v>1442</v>
      </c>
      <c r="J8" s="277" t="s">
        <v>9</v>
      </c>
      <c r="K8" s="565">
        <f>DATA!D22</f>
        <v>380</v>
      </c>
      <c r="L8" s="566"/>
    </row>
    <row r="9" spans="1:12" ht="30" customHeight="1" thickBot="1">
      <c r="A9" s="204"/>
      <c r="B9" s="451" t="s">
        <v>1541</v>
      </c>
      <c r="C9" s="441" t="s">
        <v>9</v>
      </c>
      <c r="D9" s="592">
        <f>IF(D7=1,D6/(380/3^0.5),(D6/(380*3^0.5)))</f>
        <v>30.082987710406815</v>
      </c>
      <c r="E9" s="593"/>
      <c r="F9" s="207"/>
      <c r="G9" s="440">
        <v>380</v>
      </c>
      <c r="I9" s="452" t="s">
        <v>1541</v>
      </c>
      <c r="J9" s="441" t="s">
        <v>9</v>
      </c>
      <c r="K9" s="569">
        <f>IF(K7=1,K6/(380/3^0.5),(K6/(380*3^0.5)))</f>
        <v>63.052726766761765</v>
      </c>
      <c r="L9" s="570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1" t="s">
        <v>1622</v>
      </c>
      <c r="E12" s="602"/>
      <c r="F12" s="208"/>
      <c r="G12" s="208"/>
      <c r="I12" s="468" t="s">
        <v>1534</v>
      </c>
      <c r="J12" s="469" t="s">
        <v>9</v>
      </c>
      <c r="K12" s="601" t="str">
        <f>D12</f>
        <v>T1-393/165</v>
      </c>
      <c r="L12" s="602"/>
    </row>
    <row r="13" spans="1:12" ht="31.5" customHeight="1">
      <c r="A13" s="204"/>
      <c r="B13" s="476" t="s">
        <v>1380</v>
      </c>
      <c r="C13" s="456" t="s">
        <v>9</v>
      </c>
      <c r="D13" s="567" t="s">
        <v>1617</v>
      </c>
      <c r="E13" s="568"/>
      <c r="F13" s="208"/>
      <c r="G13" s="208"/>
      <c r="I13" s="470" t="s">
        <v>1380</v>
      </c>
      <c r="J13" s="456" t="s">
        <v>9</v>
      </c>
      <c r="K13" s="567" t="str">
        <f>D13</f>
        <v>SGB 01</v>
      </c>
      <c r="L13" s="568"/>
    </row>
    <row r="14" spans="1:12" ht="30.75" customHeight="1">
      <c r="A14" s="204"/>
      <c r="B14" s="476" t="s">
        <v>1535</v>
      </c>
      <c r="C14" s="456" t="s">
        <v>9</v>
      </c>
      <c r="D14" s="571"/>
      <c r="E14" s="572"/>
      <c r="F14" s="444" t="s">
        <v>1453</v>
      </c>
      <c r="G14" s="448">
        <v>50</v>
      </c>
      <c r="I14" s="470" t="s">
        <v>1535</v>
      </c>
      <c r="J14" s="456" t="s">
        <v>9</v>
      </c>
      <c r="K14" s="573">
        <v>100</v>
      </c>
      <c r="L14" s="574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5">
        <v>0</v>
      </c>
      <c r="E16" s="576"/>
      <c r="F16" s="444"/>
      <c r="G16" s="448">
        <v>160</v>
      </c>
      <c r="I16" s="470" t="s">
        <v>1537</v>
      </c>
      <c r="J16" s="456" t="s">
        <v>9</v>
      </c>
      <c r="K16" s="579">
        <f>K9</f>
        <v>63.052726766761765</v>
      </c>
      <c r="L16" s="580"/>
    </row>
    <row r="17" spans="1:12" ht="34.5" customHeight="1">
      <c r="A17" s="204"/>
      <c r="B17" s="476" t="s">
        <v>1538</v>
      </c>
      <c r="C17" s="456" t="s">
        <v>9</v>
      </c>
      <c r="D17" s="577">
        <f>IF(D15=1,D14/(20/3^0.5),(D14/(20*3^0.5)))</f>
        <v>0</v>
      </c>
      <c r="E17" s="578"/>
      <c r="F17" s="444" t="s">
        <v>1453</v>
      </c>
      <c r="G17" s="449">
        <v>200</v>
      </c>
      <c r="I17" s="470" t="s">
        <v>1538</v>
      </c>
      <c r="J17" s="456" t="s">
        <v>9</v>
      </c>
      <c r="K17" s="583">
        <f>IF(K15=1,K14/(20/3^0.5),(K14/(20*3^0.5)))</f>
        <v>2.8867513459481291</v>
      </c>
      <c r="L17" s="584"/>
    </row>
    <row r="18" spans="1:12" ht="34.5" customHeight="1">
      <c r="A18" s="204"/>
      <c r="B18" s="476" t="s">
        <v>1539</v>
      </c>
      <c r="C18" s="456" t="s">
        <v>9</v>
      </c>
      <c r="D18" s="577">
        <f>IF(D15=1,D14/(380/3^0.5),(D14/(380*3^0.5)))*1000</f>
        <v>0</v>
      </c>
      <c r="E18" s="578"/>
      <c r="F18" s="444" t="s">
        <v>1453</v>
      </c>
      <c r="G18" s="449">
        <v>250</v>
      </c>
      <c r="I18" s="470" t="s">
        <v>1539</v>
      </c>
      <c r="J18" s="456" t="s">
        <v>9</v>
      </c>
      <c r="K18" s="583">
        <f>IF(K15=1,K14/(380/3^0.5),(K14/(380*3^0.5)))*1000</f>
        <v>151.93428136569102</v>
      </c>
      <c r="L18" s="584"/>
    </row>
    <row r="19" spans="1:12" ht="30" customHeight="1">
      <c r="A19" s="204"/>
      <c r="B19" s="477" t="s">
        <v>1531</v>
      </c>
      <c r="C19" s="455" t="s">
        <v>9</v>
      </c>
      <c r="D19" s="577">
        <f>IF(D15=1,D14/(380/3^0.5),(D14/(380*3^0.5)))</f>
        <v>0</v>
      </c>
      <c r="E19" s="578"/>
      <c r="F19" s="207"/>
      <c r="G19" s="440"/>
      <c r="I19" s="472" t="s">
        <v>1531</v>
      </c>
      <c r="J19" s="455" t="s">
        <v>9</v>
      </c>
      <c r="K19" s="583">
        <f>IF(K15=1,K14/(380/3^0.5),(K14/(380*3^0.5)))</f>
        <v>0.15193428136569101</v>
      </c>
      <c r="L19" s="584"/>
    </row>
    <row r="20" spans="1:12" ht="30" customHeight="1" thickBot="1">
      <c r="A20" s="204"/>
      <c r="B20" s="478" t="s">
        <v>1540</v>
      </c>
      <c r="C20" s="474" t="s">
        <v>9</v>
      </c>
      <c r="D20" s="603" t="e">
        <f>D16/D18</f>
        <v>#DIV/0!</v>
      </c>
      <c r="E20" s="604"/>
      <c r="F20" s="207"/>
      <c r="G20" s="440"/>
      <c r="I20" s="473" t="s">
        <v>1531</v>
      </c>
      <c r="J20" s="474" t="s">
        <v>9</v>
      </c>
      <c r="K20" s="581">
        <f>K16/K18</f>
        <v>0.41499999999999992</v>
      </c>
      <c r="L20" s="582"/>
    </row>
    <row r="21" spans="1:12" ht="9.75" customHeight="1">
      <c r="A21" s="204"/>
      <c r="B21" s="463" t="s">
        <v>1540</v>
      </c>
      <c r="C21" s="464" t="s">
        <v>9</v>
      </c>
      <c r="D21" s="588">
        <v>1</v>
      </c>
      <c r="E21" s="588"/>
      <c r="F21" s="465"/>
      <c r="G21" s="466"/>
      <c r="H21" s="467"/>
      <c r="I21" s="463" t="s">
        <v>1531</v>
      </c>
      <c r="J21" s="464" t="s">
        <v>9</v>
      </c>
      <c r="K21" s="588">
        <v>1</v>
      </c>
      <c r="L21" s="588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5"/>
      <c r="C24" s="586"/>
      <c r="D24" s="586"/>
      <c r="E24" s="587"/>
      <c r="I24" s="585"/>
      <c r="J24" s="586"/>
      <c r="K24" s="586"/>
      <c r="L24" s="587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0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1605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34.9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33818100</v>
      </c>
    </row>
    <row r="10" spans="2:11" ht="20.100000000000001" customHeight="1">
      <c r="B10" s="291" t="s">
        <v>1446</v>
      </c>
      <c r="C10" s="292" t="s">
        <v>9</v>
      </c>
      <c r="D10" s="298">
        <f ca="1">RAB!K99</f>
        <v>74257319.459999993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1485146.3891999999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1635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6.6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41.5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31" activePane="bottomLeft" state="frozen"/>
      <selection activeCell="H1093" sqref="H1093"/>
      <selection pane="bottomLeft" activeCell="Q9" sqref="Q9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3" t="s">
        <v>1357</v>
      </c>
      <c r="C3" s="613"/>
      <c r="D3" s="613"/>
      <c r="E3" s="613"/>
      <c r="F3" s="305" t="str">
        <f>DATA!D14</f>
        <v>AGR ENI KUSRINI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12" t="s">
        <v>1359</v>
      </c>
      <c r="E5" s="612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0" t="s">
        <v>1363</v>
      </c>
      <c r="O5" s="612" t="s">
        <v>1364</v>
      </c>
      <c r="P5" s="612" t="s">
        <v>1365</v>
      </c>
      <c r="Q5" s="612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9">
        <f>DATA!D8*DATA!D26*4</f>
        <v>5584</v>
      </c>
      <c r="D7" s="316">
        <f>C7*4/24</f>
        <v>930.66666666666663</v>
      </c>
      <c r="E7" s="316">
        <f>C7-D7</f>
        <v>4653.333333333333</v>
      </c>
      <c r="F7" s="317">
        <f ca="1">DATA!D10/1000000</f>
        <v>74.257319459999991</v>
      </c>
      <c r="G7" s="318">
        <f ca="1">DATA!$D$11/1000000</f>
        <v>1.4851463891999999</v>
      </c>
      <c r="H7" s="318">
        <f>C7*DATA!$D$5/1000000</f>
        <v>6.0537542562306861</v>
      </c>
      <c r="I7" s="318">
        <f>(C7*DATA!$D$5*DATA!$D$7)/1000000</f>
        <v>0.13620947076519044</v>
      </c>
      <c r="J7" s="316">
        <f ca="1">SUM(F7:I7)</f>
        <v>81.932429576195872</v>
      </c>
      <c r="K7" s="319">
        <f>DATA!D9/1000000</f>
        <v>33.818100000000001</v>
      </c>
      <c r="L7" s="316">
        <f>((D7*DATA!$D$23)/1000000)+((E7*DATA!$D$24)/1000000)</f>
        <v>8.067204799999999</v>
      </c>
      <c r="M7" s="316">
        <f>K7+L7</f>
        <v>41.8853048</v>
      </c>
      <c r="N7" s="316">
        <f ca="1">M7-J7</f>
        <v>-40.047124776195872</v>
      </c>
      <c r="O7" s="314">
        <v>1</v>
      </c>
      <c r="P7" s="316">
        <f ca="1">O7*N7</f>
        <v>-40.047124776195872</v>
      </c>
      <c r="Q7" s="316">
        <f ca="1">P7</f>
        <v>-40.047124776195872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16752</v>
      </c>
      <c r="D8" s="316">
        <f>C8*4/24</f>
        <v>2792</v>
      </c>
      <c r="E8" s="316">
        <f t="shared" ref="E8:E32" si="0">C8-D8</f>
        <v>13960</v>
      </c>
      <c r="F8" s="314"/>
      <c r="G8" s="318">
        <f ca="1">DATA!$D$11/1000000</f>
        <v>1.4851463891999999</v>
      </c>
      <c r="H8" s="318">
        <f>C8*DATA!$D$5/1000000</f>
        <v>18.161262768692058</v>
      </c>
      <c r="I8" s="318">
        <f>(C8*DATA!$D$5*DATA!$D$7)/1000000</f>
        <v>0.40862841229557129</v>
      </c>
      <c r="J8" s="316">
        <f t="shared" ref="J8:J32" ca="1" si="1">SUM(F8:I8)</f>
        <v>20.055037570187629</v>
      </c>
      <c r="K8" s="321"/>
      <c r="L8" s="316">
        <f>((D8*DATA!$D$23)/1000000)+((E8*DATA!$D$24)/1000000)</f>
        <v>24.2016144</v>
      </c>
      <c r="M8" s="316">
        <f t="shared" ref="M8:M32" si="2">K8+L8</f>
        <v>24.2016144</v>
      </c>
      <c r="N8" s="316">
        <f ca="1">M8-J8</f>
        <v>4.1465768298123713</v>
      </c>
      <c r="O8" s="315">
        <f>1/(1+'[93]Asumsi I'!$C$3)^(KKF!A8)</f>
        <v>0.89285714285714279</v>
      </c>
      <c r="P8" s="316">
        <f ca="1">O8*N8</f>
        <v>3.7023007409039028</v>
      </c>
      <c r="Q8" s="316">
        <f ca="1">Q7+P8</f>
        <v>-36.344824035291971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16752</v>
      </c>
      <c r="D9" s="316">
        <f t="shared" ref="D9:D32" si="5">C9*4/24</f>
        <v>2792</v>
      </c>
      <c r="E9" s="316">
        <f t="shared" si="0"/>
        <v>13960</v>
      </c>
      <c r="F9" s="314"/>
      <c r="G9" s="318">
        <f ca="1">DATA!$D$11/1000000</f>
        <v>1.4851463891999999</v>
      </c>
      <c r="H9" s="318">
        <f>C9*DATA!$D$5/1000000</f>
        <v>18.161262768692058</v>
      </c>
      <c r="I9" s="318">
        <f>(C9*DATA!$D$5*DATA!$D$7)/1000000</f>
        <v>0.40862841229557129</v>
      </c>
      <c r="J9" s="316">
        <f t="shared" ca="1" si="1"/>
        <v>20.055037570187629</v>
      </c>
      <c r="K9" s="316"/>
      <c r="L9" s="316">
        <f>((D9*DATA!$D$23)/1000000)+((E9*DATA!$D$24)/1000000)</f>
        <v>24.2016144</v>
      </c>
      <c r="M9" s="316">
        <f t="shared" si="2"/>
        <v>24.2016144</v>
      </c>
      <c r="N9" s="316">
        <f t="shared" ref="N9:N32" ca="1" si="6">M9-J9</f>
        <v>4.1465768298123713</v>
      </c>
      <c r="O9" s="322">
        <f>1/(1+'[93]Asumsi I'!$C$3)^(KKF!A9)</f>
        <v>0.79719387755102034</v>
      </c>
      <c r="P9" s="316">
        <f t="shared" ref="P9:P32" ca="1" si="7">O9*N9</f>
        <v>3.3056256615213417</v>
      </c>
      <c r="Q9" s="316">
        <f ca="1">Q8+P9</f>
        <v>-33.039198373770631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16752</v>
      </c>
      <c r="D10" s="316">
        <f t="shared" si="5"/>
        <v>2792</v>
      </c>
      <c r="E10" s="316">
        <f t="shared" si="0"/>
        <v>13960</v>
      </c>
      <c r="F10" s="314"/>
      <c r="G10" s="318">
        <f ca="1">DATA!$D$11/1000000</f>
        <v>1.4851463891999999</v>
      </c>
      <c r="H10" s="318">
        <f>C10*DATA!$D$5/1000000</f>
        <v>18.161262768692058</v>
      </c>
      <c r="I10" s="318">
        <f>(C10*DATA!$D$5*DATA!$D$7)/1000000</f>
        <v>0.40862841229557129</v>
      </c>
      <c r="J10" s="316">
        <f t="shared" ca="1" si="1"/>
        <v>20.055037570187629</v>
      </c>
      <c r="K10" s="314"/>
      <c r="L10" s="316">
        <f>((D10*DATA!$D$23)/1000000)+((E10*DATA!$D$24)/1000000)</f>
        <v>24.2016144</v>
      </c>
      <c r="M10" s="316">
        <f t="shared" si="2"/>
        <v>24.2016144</v>
      </c>
      <c r="N10" s="316">
        <f t="shared" ca="1" si="6"/>
        <v>4.1465768298123713</v>
      </c>
      <c r="O10" s="315">
        <f>1/(1+'[93]Asumsi I'!$C$3)^(KKF!A10)</f>
        <v>0.71178024781341087</v>
      </c>
      <c r="P10" s="316">
        <f t="shared" ca="1" si="7"/>
        <v>2.9514514835011973</v>
      </c>
      <c r="Q10" s="316">
        <f t="shared" ref="Q10:Q30" ca="1" si="9">Q9+P10</f>
        <v>-30.087746890269432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16752</v>
      </c>
      <c r="D11" s="316">
        <f t="shared" si="5"/>
        <v>2792</v>
      </c>
      <c r="E11" s="316">
        <f t="shared" si="0"/>
        <v>13960</v>
      </c>
      <c r="F11" s="314"/>
      <c r="G11" s="318">
        <f ca="1">DATA!$D$11/1000000</f>
        <v>1.4851463891999999</v>
      </c>
      <c r="H11" s="318">
        <f>C11*DATA!$D$5/1000000</f>
        <v>18.161262768692058</v>
      </c>
      <c r="I11" s="318">
        <f>(C11*DATA!$D$5*DATA!$D$7)/1000000</f>
        <v>0.40862841229557129</v>
      </c>
      <c r="J11" s="316">
        <f t="shared" ca="1" si="1"/>
        <v>20.055037570187629</v>
      </c>
      <c r="K11" s="314"/>
      <c r="L11" s="316">
        <f>((D11*DATA!$D$23)/1000000)+((E11*DATA!$D$24)/1000000)</f>
        <v>24.2016144</v>
      </c>
      <c r="M11" s="316">
        <f t="shared" si="2"/>
        <v>24.2016144</v>
      </c>
      <c r="N11" s="316">
        <f t="shared" ca="1" si="6"/>
        <v>4.1465768298123713</v>
      </c>
      <c r="O11" s="315">
        <f>1/(1+'[93]Asumsi I'!$C$3)^(KKF!A11)</f>
        <v>0.63551807840483121</v>
      </c>
      <c r="P11" s="316">
        <f t="shared" ca="1" si="7"/>
        <v>2.635224538840355</v>
      </c>
      <c r="Q11" s="316">
        <f t="shared" ca="1" si="9"/>
        <v>-27.452522351429078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16752</v>
      </c>
      <c r="D12" s="316">
        <f t="shared" si="5"/>
        <v>2792</v>
      </c>
      <c r="E12" s="316">
        <f t="shared" si="0"/>
        <v>13960</v>
      </c>
      <c r="F12" s="314"/>
      <c r="G12" s="318">
        <f ca="1">DATA!$D$11/1000000</f>
        <v>1.4851463891999999</v>
      </c>
      <c r="H12" s="318">
        <f>C12*DATA!$D$5/1000000</f>
        <v>18.161262768692058</v>
      </c>
      <c r="I12" s="318">
        <f>(C12*DATA!$D$5*DATA!$D$7)/1000000</f>
        <v>0.40862841229557129</v>
      </c>
      <c r="J12" s="316">
        <f t="shared" ca="1" si="1"/>
        <v>20.055037570187629</v>
      </c>
      <c r="K12" s="314"/>
      <c r="L12" s="316">
        <f>((D12*DATA!$D$23)/1000000)+((E12*DATA!$D$24)/1000000)</f>
        <v>24.2016144</v>
      </c>
      <c r="M12" s="316">
        <f t="shared" si="2"/>
        <v>24.2016144</v>
      </c>
      <c r="N12" s="316">
        <f t="shared" ca="1" si="6"/>
        <v>4.1465768298123713</v>
      </c>
      <c r="O12" s="315">
        <f>1/(1+'[93]Asumsi I'!$C$3)^(KKF!A12)</f>
        <v>0.56742685571859919</v>
      </c>
      <c r="P12" s="316">
        <f t="shared" ca="1" si="7"/>
        <v>2.3528790525360308</v>
      </c>
      <c r="Q12" s="316">
        <f t="shared" ca="1" si="9"/>
        <v>-25.099643298893046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16752</v>
      </c>
      <c r="D13" s="316">
        <f t="shared" si="5"/>
        <v>2792</v>
      </c>
      <c r="E13" s="316">
        <f t="shared" si="0"/>
        <v>13960</v>
      </c>
      <c r="F13" s="314"/>
      <c r="G13" s="318">
        <f ca="1">DATA!$D$11/1000000</f>
        <v>1.4851463891999999</v>
      </c>
      <c r="H13" s="318">
        <f>C13*DATA!$D$5/1000000</f>
        <v>18.161262768692058</v>
      </c>
      <c r="I13" s="318">
        <f>(C13*DATA!$D$5*DATA!$D$7)/1000000</f>
        <v>0.40862841229557129</v>
      </c>
      <c r="J13" s="316">
        <f t="shared" ca="1" si="1"/>
        <v>20.055037570187629</v>
      </c>
      <c r="K13" s="314"/>
      <c r="L13" s="316">
        <f>((D13*DATA!$D$23)/1000000)+((E13*DATA!$D$24)/1000000)</f>
        <v>24.2016144</v>
      </c>
      <c r="M13" s="316">
        <f t="shared" si="2"/>
        <v>24.2016144</v>
      </c>
      <c r="N13" s="316">
        <f t="shared" ca="1" si="6"/>
        <v>4.1465768298123713</v>
      </c>
      <c r="O13" s="315">
        <f>1/(1+'[93]Asumsi I'!$C$3)^(KKF!A13)</f>
        <v>0.50663112117732068</v>
      </c>
      <c r="P13" s="316">
        <f t="shared" ca="1" si="7"/>
        <v>2.1007848683357415</v>
      </c>
      <c r="Q13" s="316">
        <f t="shared" ca="1" si="9"/>
        <v>-22.998858430557306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16752</v>
      </c>
      <c r="D14" s="316">
        <f t="shared" si="5"/>
        <v>2792</v>
      </c>
      <c r="E14" s="316">
        <f t="shared" si="0"/>
        <v>13960</v>
      </c>
      <c r="F14" s="314"/>
      <c r="G14" s="318">
        <f ca="1">DATA!$D$11/1000000</f>
        <v>1.4851463891999999</v>
      </c>
      <c r="H14" s="318">
        <f>C14*DATA!$D$5/1000000</f>
        <v>18.161262768692058</v>
      </c>
      <c r="I14" s="318">
        <f>(C14*DATA!$D$5*DATA!$D$7)/1000000</f>
        <v>0.40862841229557129</v>
      </c>
      <c r="J14" s="316">
        <f t="shared" ca="1" si="1"/>
        <v>20.055037570187629</v>
      </c>
      <c r="K14" s="314"/>
      <c r="L14" s="316">
        <f>((D14*DATA!$D$23)/1000000)+((E14*DATA!$D$24)/1000000)</f>
        <v>24.2016144</v>
      </c>
      <c r="M14" s="316">
        <f t="shared" si="2"/>
        <v>24.2016144</v>
      </c>
      <c r="N14" s="316">
        <f t="shared" ca="1" si="6"/>
        <v>4.1465768298123713</v>
      </c>
      <c r="O14" s="315">
        <f>1/(1+'[93]Asumsi I'!$C$3)^(KKF!A14)</f>
        <v>0.45234921533689343</v>
      </c>
      <c r="P14" s="316">
        <f t="shared" ca="1" si="7"/>
        <v>1.8757007752997692</v>
      </c>
      <c r="Q14" s="316">
        <f t="shared" ca="1" si="9"/>
        <v>-21.123157655257536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16752</v>
      </c>
      <c r="D15" s="316">
        <f t="shared" si="5"/>
        <v>2792</v>
      </c>
      <c r="E15" s="316">
        <f t="shared" si="0"/>
        <v>13960</v>
      </c>
      <c r="F15" s="314"/>
      <c r="G15" s="318">
        <f ca="1">DATA!$D$11/1000000</f>
        <v>1.4851463891999999</v>
      </c>
      <c r="H15" s="318">
        <f>C15*DATA!$D$5/1000000</f>
        <v>18.161262768692058</v>
      </c>
      <c r="I15" s="318">
        <f>(C15*DATA!$D$5*DATA!$D$7)/1000000</f>
        <v>0.40862841229557129</v>
      </c>
      <c r="J15" s="316">
        <f t="shared" ca="1" si="1"/>
        <v>20.055037570187629</v>
      </c>
      <c r="K15" s="314"/>
      <c r="L15" s="316">
        <f>((D15*DATA!$D$23)/1000000)+((E15*DATA!$D$24)/1000000)</f>
        <v>24.2016144</v>
      </c>
      <c r="M15" s="316">
        <f t="shared" si="2"/>
        <v>24.2016144</v>
      </c>
      <c r="N15" s="316">
        <f t="shared" ca="1" si="6"/>
        <v>4.1465768298123713</v>
      </c>
      <c r="O15" s="315">
        <f>1/(1+'[93]Asumsi I'!$C$3)^(KKF!A15)</f>
        <v>0.4038832279793691</v>
      </c>
      <c r="P15" s="316">
        <f t="shared" ca="1" si="7"/>
        <v>1.6747328350890796</v>
      </c>
      <c r="Q15" s="316">
        <f t="shared" ca="1" si="9"/>
        <v>-19.448424820168455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16752</v>
      </c>
      <c r="D16" s="316">
        <f t="shared" si="5"/>
        <v>2792</v>
      </c>
      <c r="E16" s="316">
        <f t="shared" si="0"/>
        <v>13960</v>
      </c>
      <c r="F16" s="314"/>
      <c r="G16" s="318">
        <f ca="1">DATA!$D$11/1000000</f>
        <v>1.4851463891999999</v>
      </c>
      <c r="H16" s="318">
        <f>C16*DATA!$D$5/1000000</f>
        <v>18.161262768692058</v>
      </c>
      <c r="I16" s="318">
        <f>(C16*DATA!$D$5*DATA!$D$7)/1000000</f>
        <v>0.40862841229557129</v>
      </c>
      <c r="J16" s="316">
        <f t="shared" ca="1" si="1"/>
        <v>20.055037570187629</v>
      </c>
      <c r="K16" s="314"/>
      <c r="L16" s="316">
        <f>((D16*DATA!$D$23)/1000000)+((E16*DATA!$D$24)/1000000)</f>
        <v>24.2016144</v>
      </c>
      <c r="M16" s="316">
        <f t="shared" si="2"/>
        <v>24.2016144</v>
      </c>
      <c r="N16" s="316">
        <f t="shared" ca="1" si="6"/>
        <v>4.1465768298123713</v>
      </c>
      <c r="O16" s="315">
        <f>1/(1+'[93]Asumsi I'!$C$3)^(KKF!A16)</f>
        <v>0.36061002498157957</v>
      </c>
      <c r="P16" s="316">
        <f t="shared" ca="1" si="7"/>
        <v>1.4952971741866783</v>
      </c>
      <c r="Q16" s="316">
        <f t="shared" ca="1" si="9"/>
        <v>-17.953127645981777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16752</v>
      </c>
      <c r="D17" s="316">
        <f t="shared" si="5"/>
        <v>2792</v>
      </c>
      <c r="E17" s="316">
        <f t="shared" si="0"/>
        <v>13960</v>
      </c>
      <c r="F17" s="314"/>
      <c r="G17" s="318">
        <f ca="1">DATA!$D$11/1000000</f>
        <v>1.4851463891999999</v>
      </c>
      <c r="H17" s="318">
        <f>C17*DATA!$D$5/1000000</f>
        <v>18.161262768692058</v>
      </c>
      <c r="I17" s="318">
        <f>(C17*DATA!$D$5*DATA!$D$7)/1000000</f>
        <v>0.40862841229557129</v>
      </c>
      <c r="J17" s="316">
        <f t="shared" ca="1" si="1"/>
        <v>20.055037570187629</v>
      </c>
      <c r="K17" s="314"/>
      <c r="L17" s="316">
        <f>((D17*DATA!$D$23)/1000000)+((E17*DATA!$D$24)/1000000)</f>
        <v>24.2016144</v>
      </c>
      <c r="M17" s="316">
        <f t="shared" si="2"/>
        <v>24.2016144</v>
      </c>
      <c r="N17" s="316">
        <f t="shared" ca="1" si="6"/>
        <v>4.1465768298123713</v>
      </c>
      <c r="O17" s="315">
        <f>1/(1+'[93]Asumsi I'!$C$3)^(KKF!A17)</f>
        <v>0.32197323659069599</v>
      </c>
      <c r="P17" s="316">
        <f t="shared" ca="1" si="7"/>
        <v>1.3350867626666767</v>
      </c>
      <c r="Q17" s="316">
        <f t="shared" ca="1" si="9"/>
        <v>-16.6180408833151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16752</v>
      </c>
      <c r="D18" s="316">
        <f t="shared" si="5"/>
        <v>2792</v>
      </c>
      <c r="E18" s="316">
        <f t="shared" si="0"/>
        <v>13960</v>
      </c>
      <c r="F18" s="314"/>
      <c r="G18" s="318">
        <f ca="1">DATA!$D$11/1000000</f>
        <v>1.4851463891999999</v>
      </c>
      <c r="H18" s="318">
        <f>C18*DATA!$D$5/1000000</f>
        <v>18.161262768692058</v>
      </c>
      <c r="I18" s="318">
        <f>(C18*DATA!$D$5*DATA!$D$7)/1000000</f>
        <v>0.40862841229557129</v>
      </c>
      <c r="J18" s="316">
        <f t="shared" ca="1" si="1"/>
        <v>20.055037570187629</v>
      </c>
      <c r="K18" s="314"/>
      <c r="L18" s="316">
        <f>((D18*DATA!$D$23)/1000000)+((E18*DATA!$D$24)/1000000)</f>
        <v>24.2016144</v>
      </c>
      <c r="M18" s="316">
        <f t="shared" si="2"/>
        <v>24.2016144</v>
      </c>
      <c r="N18" s="316">
        <f t="shared" ca="1" si="6"/>
        <v>4.1465768298123713</v>
      </c>
      <c r="O18" s="315">
        <f>1/(1+'[93]Asumsi I'!$C$3)^(KKF!A18)</f>
        <v>0.28747610409883567</v>
      </c>
      <c r="P18" s="316">
        <f t="shared" ca="1" si="7"/>
        <v>1.1920417523809612</v>
      </c>
      <c r="Q18" s="316">
        <f t="shared" ca="1" si="9"/>
        <v>-15.425999130934139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16752</v>
      </c>
      <c r="D19" s="316">
        <f t="shared" si="5"/>
        <v>2792</v>
      </c>
      <c r="E19" s="316">
        <f t="shared" si="0"/>
        <v>13960</v>
      </c>
      <c r="F19" s="314"/>
      <c r="G19" s="318">
        <f ca="1">DATA!$D$11/1000000</f>
        <v>1.4851463891999999</v>
      </c>
      <c r="H19" s="318">
        <f>C19*DATA!$D$5/1000000</f>
        <v>18.161262768692058</v>
      </c>
      <c r="I19" s="318">
        <f>(C19*DATA!$D$5*DATA!$D$7)/1000000</f>
        <v>0.40862841229557129</v>
      </c>
      <c r="J19" s="316">
        <f t="shared" ca="1" si="1"/>
        <v>20.055037570187629</v>
      </c>
      <c r="K19" s="314"/>
      <c r="L19" s="316">
        <f>((D19*DATA!$D$23)/1000000)+((E19*DATA!$D$24)/1000000)</f>
        <v>24.2016144</v>
      </c>
      <c r="M19" s="316">
        <f t="shared" si="2"/>
        <v>24.2016144</v>
      </c>
      <c r="N19" s="316">
        <f t="shared" ca="1" si="6"/>
        <v>4.1465768298123713</v>
      </c>
      <c r="O19" s="315">
        <f>1/(1+'[93]Asumsi I'!$C$3)^(KKF!A19)</f>
        <v>0.25667509294538904</v>
      </c>
      <c r="P19" s="316">
        <f t="shared" ca="1" si="7"/>
        <v>1.0643229931972871</v>
      </c>
      <c r="Q19" s="316">
        <f t="shared" ca="1" si="9"/>
        <v>-14.361676137736852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16752</v>
      </c>
      <c r="D20" s="316">
        <f t="shared" si="5"/>
        <v>2792</v>
      </c>
      <c r="E20" s="316">
        <f t="shared" si="0"/>
        <v>13960</v>
      </c>
      <c r="F20" s="314"/>
      <c r="G20" s="318">
        <f ca="1">DATA!$D$11/1000000</f>
        <v>1.4851463891999999</v>
      </c>
      <c r="H20" s="318">
        <f>C20*DATA!$D$5/1000000</f>
        <v>18.161262768692058</v>
      </c>
      <c r="I20" s="318">
        <f>(C20*DATA!$D$5*DATA!$D$7)/1000000</f>
        <v>0.40862841229557129</v>
      </c>
      <c r="J20" s="316">
        <f t="shared" ca="1" si="1"/>
        <v>20.055037570187629</v>
      </c>
      <c r="K20" s="314"/>
      <c r="L20" s="316">
        <f>((D20*DATA!$D$23)/1000000)+((E20*DATA!$D$24)/1000000)</f>
        <v>24.2016144</v>
      </c>
      <c r="M20" s="316">
        <f t="shared" si="2"/>
        <v>24.2016144</v>
      </c>
      <c r="N20" s="316">
        <f t="shared" ca="1" si="6"/>
        <v>4.1465768298123713</v>
      </c>
      <c r="O20" s="315">
        <f>1/(1+'[93]Asumsi I'!$C$3)^(KKF!A20)</f>
        <v>0.22917419012981158</v>
      </c>
      <c r="P20" s="316">
        <f t="shared" ca="1" si="7"/>
        <v>0.95028838678329175</v>
      </c>
      <c r="Q20" s="316">
        <f t="shared" ca="1" si="9"/>
        <v>-13.41138775095356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16752</v>
      </c>
      <c r="D21" s="316">
        <f t="shared" si="5"/>
        <v>2792</v>
      </c>
      <c r="E21" s="316">
        <f t="shared" si="0"/>
        <v>13960</v>
      </c>
      <c r="F21" s="314"/>
      <c r="G21" s="318">
        <f ca="1">DATA!$D$11/1000000</f>
        <v>1.4851463891999999</v>
      </c>
      <c r="H21" s="318">
        <f>C21*DATA!$D$5/1000000</f>
        <v>18.161262768692058</v>
      </c>
      <c r="I21" s="318">
        <f>(C21*DATA!$D$5*DATA!$D$7)/1000000</f>
        <v>0.40862841229557129</v>
      </c>
      <c r="J21" s="316">
        <f t="shared" ca="1" si="1"/>
        <v>20.055037570187629</v>
      </c>
      <c r="K21" s="314"/>
      <c r="L21" s="316">
        <f>((D21*DATA!$D$23)/1000000)+((E21*DATA!$D$24)/1000000)</f>
        <v>24.2016144</v>
      </c>
      <c r="M21" s="316">
        <f t="shared" si="2"/>
        <v>24.2016144</v>
      </c>
      <c r="N21" s="316">
        <f t="shared" ca="1" si="6"/>
        <v>4.1465768298123713</v>
      </c>
      <c r="O21" s="315">
        <f>1/(1+'[93]Asumsi I'!$C$3)^(KKF!A21)</f>
        <v>0.20461981261590317</v>
      </c>
      <c r="P21" s="316">
        <f t="shared" ca="1" si="7"/>
        <v>0.84847177391365325</v>
      </c>
      <c r="Q21" s="316">
        <f t="shared" ca="1" si="9"/>
        <v>-12.562915977039907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16752</v>
      </c>
      <c r="D22" s="316">
        <f t="shared" si="5"/>
        <v>2792</v>
      </c>
      <c r="E22" s="316">
        <f t="shared" si="0"/>
        <v>13960</v>
      </c>
      <c r="F22" s="314"/>
      <c r="G22" s="318">
        <f ca="1">DATA!$D$11/1000000</f>
        <v>1.4851463891999999</v>
      </c>
      <c r="H22" s="318">
        <f>C22*DATA!$D$5/1000000</f>
        <v>18.161262768692058</v>
      </c>
      <c r="I22" s="318">
        <f>(C22*DATA!$D$5*DATA!$D$7)/1000000</f>
        <v>0.40862841229557129</v>
      </c>
      <c r="J22" s="316">
        <f t="shared" ca="1" si="1"/>
        <v>20.055037570187629</v>
      </c>
      <c r="K22" s="314"/>
      <c r="L22" s="316">
        <f>((D22*DATA!$D$23)/1000000)+((E22*DATA!$D$24)/1000000)</f>
        <v>24.2016144</v>
      </c>
      <c r="M22" s="316">
        <f t="shared" si="2"/>
        <v>24.2016144</v>
      </c>
      <c r="N22" s="316">
        <f t="shared" ca="1" si="6"/>
        <v>4.1465768298123713</v>
      </c>
      <c r="O22" s="315">
        <f>1/(1+'[93]Asumsi I'!$C$3)^(KKF!A22)</f>
        <v>0.18269626126419927</v>
      </c>
      <c r="P22" s="316">
        <f t="shared" ca="1" si="7"/>
        <v>0.75756408385147611</v>
      </c>
      <c r="Q22" s="316">
        <f t="shared" ca="1" si="9"/>
        <v>-11.805351893188432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16752</v>
      </c>
      <c r="D23" s="316">
        <f t="shared" si="5"/>
        <v>2792</v>
      </c>
      <c r="E23" s="316">
        <f t="shared" si="0"/>
        <v>13960</v>
      </c>
      <c r="F23" s="314"/>
      <c r="G23" s="318">
        <f ca="1">DATA!$D$11/1000000</f>
        <v>1.4851463891999999</v>
      </c>
      <c r="H23" s="318">
        <f>C23*DATA!$D$5/1000000</f>
        <v>18.161262768692058</v>
      </c>
      <c r="I23" s="318">
        <f>(C23*DATA!$D$5*DATA!$D$7)/1000000</f>
        <v>0.40862841229557129</v>
      </c>
      <c r="J23" s="316">
        <f t="shared" ca="1" si="1"/>
        <v>20.055037570187629</v>
      </c>
      <c r="K23" s="314"/>
      <c r="L23" s="316">
        <f>((D23*DATA!$D$23)/1000000)+((E23*DATA!$D$24)/1000000)</f>
        <v>24.2016144</v>
      </c>
      <c r="M23" s="316">
        <f t="shared" si="2"/>
        <v>24.2016144</v>
      </c>
      <c r="N23" s="316">
        <f t="shared" ca="1" si="6"/>
        <v>4.1465768298123713</v>
      </c>
      <c r="O23" s="315">
        <f>1/(1+'[93]Asumsi I'!$C$3)^(KKF!A23)</f>
        <v>0.16312166184303503</v>
      </c>
      <c r="P23" s="316">
        <f t="shared" ca="1" si="7"/>
        <v>0.67639650343881785</v>
      </c>
      <c r="Q23" s="316">
        <f t="shared" ca="1" si="9"/>
        <v>-11.128955389749613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16752</v>
      </c>
      <c r="D24" s="316">
        <f t="shared" si="5"/>
        <v>2792</v>
      </c>
      <c r="E24" s="316">
        <f t="shared" si="0"/>
        <v>13960</v>
      </c>
      <c r="F24" s="314"/>
      <c r="G24" s="318">
        <f ca="1">DATA!$D$11/1000000</f>
        <v>1.4851463891999999</v>
      </c>
      <c r="H24" s="318">
        <f>C24*DATA!$D$5/1000000</f>
        <v>18.161262768692058</v>
      </c>
      <c r="I24" s="318">
        <f>(C24*DATA!$D$5*DATA!$D$7)/1000000</f>
        <v>0.40862841229557129</v>
      </c>
      <c r="J24" s="316">
        <f t="shared" ca="1" si="1"/>
        <v>20.055037570187629</v>
      </c>
      <c r="K24" s="314"/>
      <c r="L24" s="316">
        <f>((D24*DATA!$D$23)/1000000)+((E24*DATA!$D$24)/1000000)</f>
        <v>24.2016144</v>
      </c>
      <c r="M24" s="316">
        <f t="shared" si="2"/>
        <v>24.2016144</v>
      </c>
      <c r="N24" s="316">
        <f t="shared" ca="1" si="6"/>
        <v>4.1465768298123713</v>
      </c>
      <c r="O24" s="315">
        <f>1/(1+'[93]Asumsi I'!$C$3)^(KKF!A24)</f>
        <v>0.14564434093128129</v>
      </c>
      <c r="P24" s="316">
        <f t="shared" ca="1" si="7"/>
        <v>0.60392544949894456</v>
      </c>
      <c r="Q24" s="316">
        <f t="shared" ca="1" si="9"/>
        <v>-10.525029940250668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16752</v>
      </c>
      <c r="D25" s="316">
        <f t="shared" si="5"/>
        <v>2792</v>
      </c>
      <c r="E25" s="316">
        <f t="shared" si="0"/>
        <v>13960</v>
      </c>
      <c r="F25" s="314"/>
      <c r="G25" s="318">
        <f ca="1">DATA!$D$11/1000000</f>
        <v>1.4851463891999999</v>
      </c>
      <c r="H25" s="318">
        <f>C25*DATA!$D$5/1000000</f>
        <v>18.161262768692058</v>
      </c>
      <c r="I25" s="318">
        <f>(C25*DATA!$D$5*DATA!$D$7)/1000000</f>
        <v>0.40862841229557129</v>
      </c>
      <c r="J25" s="316">
        <f t="shared" ca="1" si="1"/>
        <v>20.055037570187629</v>
      </c>
      <c r="K25" s="314"/>
      <c r="L25" s="316">
        <f>((D25*DATA!$D$23)/1000000)+((E25*DATA!$D$24)/1000000)</f>
        <v>24.2016144</v>
      </c>
      <c r="M25" s="316">
        <f t="shared" si="2"/>
        <v>24.2016144</v>
      </c>
      <c r="N25" s="316">
        <f t="shared" ca="1" si="6"/>
        <v>4.1465768298123713</v>
      </c>
      <c r="O25" s="315">
        <f>1/(1+'[93]Asumsi I'!$C$3)^(KKF!A25)</f>
        <v>0.13003959011721541</v>
      </c>
      <c r="P25" s="316">
        <f t="shared" ca="1" si="7"/>
        <v>0.53921915133834331</v>
      </c>
      <c r="Q25" s="316">
        <f t="shared" ca="1" si="9"/>
        <v>-9.9858107889123247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16752</v>
      </c>
      <c r="D26" s="316">
        <f t="shared" si="5"/>
        <v>2792</v>
      </c>
      <c r="E26" s="316">
        <f t="shared" si="0"/>
        <v>13960</v>
      </c>
      <c r="F26" s="314"/>
      <c r="G26" s="318">
        <f ca="1">DATA!$D$11/1000000</f>
        <v>1.4851463891999999</v>
      </c>
      <c r="H26" s="318">
        <f>C26*DATA!$D$5/1000000</f>
        <v>18.161262768692058</v>
      </c>
      <c r="I26" s="318">
        <f>(C26*DATA!$D$5*DATA!$D$7)/1000000</f>
        <v>0.40862841229557129</v>
      </c>
      <c r="J26" s="316">
        <f t="shared" ca="1" si="1"/>
        <v>20.055037570187629</v>
      </c>
      <c r="K26" s="314"/>
      <c r="L26" s="316">
        <f>((D26*DATA!$D$23)/1000000)+((E26*DATA!$D$24)/1000000)</f>
        <v>24.2016144</v>
      </c>
      <c r="M26" s="316">
        <f t="shared" si="2"/>
        <v>24.2016144</v>
      </c>
      <c r="N26" s="316">
        <f t="shared" ca="1" si="6"/>
        <v>4.1465768298123713</v>
      </c>
      <c r="O26" s="315">
        <f>1/(1+'[93]Asumsi I'!$C$3)^(KKF!A26)</f>
        <v>0.1161067768903709</v>
      </c>
      <c r="P26" s="316">
        <f t="shared" ca="1" si="7"/>
        <v>0.48144567083780643</v>
      </c>
      <c r="Q26" s="316">
        <f t="shared" ca="1" si="9"/>
        <v>-9.504365118074519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16752</v>
      </c>
      <c r="D27" s="316">
        <f t="shared" si="5"/>
        <v>2792</v>
      </c>
      <c r="E27" s="316">
        <f t="shared" si="0"/>
        <v>13960</v>
      </c>
      <c r="F27" s="314"/>
      <c r="G27" s="318">
        <f ca="1">DATA!$D$11/1000000</f>
        <v>1.4851463891999999</v>
      </c>
      <c r="H27" s="318">
        <f>C27*DATA!$D$5/1000000</f>
        <v>18.161262768692058</v>
      </c>
      <c r="I27" s="318">
        <f>(C27*DATA!$D$5*DATA!$D$7)/1000000</f>
        <v>0.40862841229557129</v>
      </c>
      <c r="J27" s="316">
        <f t="shared" ca="1" si="1"/>
        <v>20.055037570187629</v>
      </c>
      <c r="K27" s="314"/>
      <c r="L27" s="316">
        <f>((D27*DATA!$D$23)/1000000)+((E27*DATA!$D$24)/1000000)</f>
        <v>24.2016144</v>
      </c>
      <c r="M27" s="316">
        <f t="shared" si="2"/>
        <v>24.2016144</v>
      </c>
      <c r="N27" s="316">
        <f t="shared" ca="1" si="6"/>
        <v>4.1465768298123713</v>
      </c>
      <c r="O27" s="315">
        <f>1/(1+'[93]Asumsi I'!$C$3)^(KKF!A27)</f>
        <v>0.1036667650806883</v>
      </c>
      <c r="P27" s="316">
        <f t="shared" ca="1" si="7"/>
        <v>0.42986220610518433</v>
      </c>
      <c r="Q27" s="316">
        <f t="shared" ca="1" si="9"/>
        <v>-9.0745029119693346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16752</v>
      </c>
      <c r="D28" s="316">
        <f t="shared" si="5"/>
        <v>2792</v>
      </c>
      <c r="E28" s="316">
        <f t="shared" si="0"/>
        <v>13960</v>
      </c>
      <c r="F28" s="314"/>
      <c r="G28" s="318">
        <f ca="1">DATA!$D$11/1000000</f>
        <v>1.4851463891999999</v>
      </c>
      <c r="H28" s="318">
        <f>C28*DATA!$D$5/1000000</f>
        <v>18.161262768692058</v>
      </c>
      <c r="I28" s="318">
        <f>(C28*DATA!$D$5*DATA!$D$7)/1000000</f>
        <v>0.40862841229557129</v>
      </c>
      <c r="J28" s="316">
        <f t="shared" ca="1" si="1"/>
        <v>20.055037570187629</v>
      </c>
      <c r="K28" s="314"/>
      <c r="L28" s="316">
        <f>((D28*DATA!$D$23)/1000000)+((E28*DATA!$D$24)/1000000)</f>
        <v>24.2016144</v>
      </c>
      <c r="M28" s="316">
        <f t="shared" si="2"/>
        <v>24.2016144</v>
      </c>
      <c r="N28" s="316">
        <f t="shared" ca="1" si="6"/>
        <v>4.1465768298123713</v>
      </c>
      <c r="O28" s="315">
        <f>1/(1+'[93]Asumsi I'!$C$3)^(KKF!A28)</f>
        <v>9.2559611679185971E-2</v>
      </c>
      <c r="P28" s="316">
        <f t="shared" ca="1" si="7"/>
        <v>0.3838055411653431</v>
      </c>
      <c r="Q28" s="316">
        <f t="shared" ca="1" si="9"/>
        <v>-8.6906973708039921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16752</v>
      </c>
      <c r="D29" s="316">
        <f t="shared" si="5"/>
        <v>2792</v>
      </c>
      <c r="E29" s="316">
        <f t="shared" si="0"/>
        <v>13960</v>
      </c>
      <c r="F29" s="314"/>
      <c r="G29" s="318">
        <f ca="1">DATA!$D$11/1000000</f>
        <v>1.4851463891999999</v>
      </c>
      <c r="H29" s="318">
        <f>C29*DATA!$D$5/1000000</f>
        <v>18.161262768692058</v>
      </c>
      <c r="I29" s="318">
        <f>(C29*DATA!$D$5*DATA!$D$7)/1000000</f>
        <v>0.40862841229557129</v>
      </c>
      <c r="J29" s="316">
        <f t="shared" ca="1" si="1"/>
        <v>20.055037570187629</v>
      </c>
      <c r="K29" s="314"/>
      <c r="L29" s="316">
        <f>((D29*DATA!$D$23)/1000000)+((E29*DATA!$D$24)/1000000)</f>
        <v>24.2016144</v>
      </c>
      <c r="M29" s="316">
        <f t="shared" si="2"/>
        <v>24.2016144</v>
      </c>
      <c r="N29" s="316">
        <f t="shared" ca="1" si="6"/>
        <v>4.1465768298123713</v>
      </c>
      <c r="O29" s="315">
        <f>1/(1+'[93]Asumsi I'!$C$3)^(KKF!A29)</f>
        <v>8.2642510427844609E-2</v>
      </c>
      <c r="P29" s="316">
        <f t="shared" ca="1" si="7"/>
        <v>0.34268351889762771</v>
      </c>
      <c r="Q29" s="316">
        <f t="shared" ca="1" si="9"/>
        <v>-8.348013851906364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16752</v>
      </c>
      <c r="D30" s="316">
        <f t="shared" si="5"/>
        <v>2792</v>
      </c>
      <c r="E30" s="316">
        <f t="shared" si="0"/>
        <v>13960</v>
      </c>
      <c r="F30" s="314"/>
      <c r="G30" s="318">
        <f ca="1">DATA!$D$11/1000000</f>
        <v>1.4851463891999999</v>
      </c>
      <c r="H30" s="318">
        <f>C30*DATA!$D$5/1000000</f>
        <v>18.161262768692058</v>
      </c>
      <c r="I30" s="318">
        <f>(C30*DATA!$D$5*DATA!$D$7)/1000000</f>
        <v>0.40862841229557129</v>
      </c>
      <c r="J30" s="316">
        <f t="shared" ca="1" si="1"/>
        <v>20.055037570187629</v>
      </c>
      <c r="K30" s="314"/>
      <c r="L30" s="316">
        <f>((D30*DATA!$D$23)/1000000)+((E30*DATA!$D$24)/1000000)</f>
        <v>24.2016144</v>
      </c>
      <c r="M30" s="316">
        <f t="shared" si="2"/>
        <v>24.2016144</v>
      </c>
      <c r="N30" s="316">
        <f t="shared" ca="1" si="6"/>
        <v>4.1465768298123713</v>
      </c>
      <c r="O30" s="315">
        <f>1/(1+'[93]Asumsi I'!$C$3)^(KKF!A30)</f>
        <v>7.3787955739146982E-2</v>
      </c>
      <c r="P30" s="316">
        <f t="shared" ca="1" si="7"/>
        <v>0.30596742758716766</v>
      </c>
      <c r="Q30" s="316">
        <f t="shared" ca="1" si="9"/>
        <v>-8.0420464243191958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16752</v>
      </c>
      <c r="D31" s="316">
        <f t="shared" si="5"/>
        <v>2792</v>
      </c>
      <c r="E31" s="316">
        <f t="shared" si="0"/>
        <v>13960</v>
      </c>
      <c r="F31" s="314"/>
      <c r="G31" s="318">
        <f ca="1">DATA!$D$11/1000000</f>
        <v>1.4851463891999999</v>
      </c>
      <c r="H31" s="318">
        <f>C31*DATA!$D$5/1000000</f>
        <v>18.161262768692058</v>
      </c>
      <c r="I31" s="318">
        <f>(C31*DATA!$D$5*DATA!$D$7)/1000000</f>
        <v>0.40862841229557129</v>
      </c>
      <c r="J31" s="316">
        <f t="shared" ca="1" si="1"/>
        <v>20.055037570187629</v>
      </c>
      <c r="K31" s="314"/>
      <c r="L31" s="316">
        <f>((D31*DATA!$D$23)/1000000)+((E31*DATA!$D$24)/1000000)</f>
        <v>24.2016144</v>
      </c>
      <c r="M31" s="316">
        <f t="shared" si="2"/>
        <v>24.2016144</v>
      </c>
      <c r="N31" s="316">
        <f t="shared" ca="1" si="6"/>
        <v>4.1465768298123713</v>
      </c>
      <c r="O31" s="315">
        <f>1/(1+'[93]Asumsi I'!$C$3)^(KKF!A31)</f>
        <v>6.5882103338524081E-2</v>
      </c>
      <c r="P31" s="316">
        <f t="shared" ca="1" si="7"/>
        <v>0.27318520320282824</v>
      </c>
      <c r="Q31" s="316">
        <f ca="1">Q30+P31</f>
        <v>-7.7688612211163672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16752</v>
      </c>
      <c r="D32" s="316">
        <f t="shared" si="5"/>
        <v>2792</v>
      </c>
      <c r="E32" s="316">
        <f t="shared" si="0"/>
        <v>13960</v>
      </c>
      <c r="F32" s="314"/>
      <c r="G32" s="318">
        <f ca="1">DATA!$D$11/1000000</f>
        <v>1.4851463891999999</v>
      </c>
      <c r="H32" s="318">
        <f>C32*DATA!$D$5/1000000</f>
        <v>18.161262768692058</v>
      </c>
      <c r="I32" s="318">
        <f>(C32*DATA!$D$5*DATA!$D$7)/1000000</f>
        <v>0.40862841229557129</v>
      </c>
      <c r="J32" s="316">
        <f t="shared" ca="1" si="1"/>
        <v>20.055037570187629</v>
      </c>
      <c r="K32" s="314"/>
      <c r="L32" s="316">
        <f>((D32*DATA!$D$23)/1000000)+((E32*DATA!$D$24)/1000000)</f>
        <v>24.2016144</v>
      </c>
      <c r="M32" s="316">
        <f t="shared" si="2"/>
        <v>24.2016144</v>
      </c>
      <c r="N32" s="316">
        <f t="shared" ca="1" si="6"/>
        <v>4.1465768298123713</v>
      </c>
      <c r="O32" s="315">
        <f>1/(1+'[93]Asumsi I'!$C$3)^(KKF!A32)</f>
        <v>5.8823306552253637E-2</v>
      </c>
      <c r="P32" s="316">
        <f t="shared" ca="1" si="7"/>
        <v>0.24391536000252517</v>
      </c>
      <c r="Q32" s="316">
        <f ca="1">Q31+P32</f>
        <v>-7.5249458611138422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583.30836883088648</v>
      </c>
      <c r="K33" s="609" t="s">
        <v>1375</v>
      </c>
      <c r="L33" s="609"/>
      <c r="M33" s="325">
        <f>SUM(M7:M32)</f>
        <v>646.92566480000005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19.75905257250551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1.1090628891483598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-6.7187016617087876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9.2098581653537792E-2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4"/>
  <sheetViews>
    <sheetView showGridLines="0" zoomScale="85" zoomScaleNormal="85" zoomScaleSheetLayoutView="70" workbookViewId="0">
      <pane ySplit="13" topLeftCell="A40" activePane="bottomLeft" state="frozen"/>
      <selection activeCell="H1093" sqref="H1093"/>
      <selection pane="bottomLeft" activeCell="C47" sqref="C4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2" t="s">
        <v>1036</v>
      </c>
      <c r="P3" s="632"/>
      <c r="Q3" s="346"/>
      <c r="T3" s="344"/>
      <c r="U3" s="345" t="s">
        <v>1041</v>
      </c>
      <c r="V3" s="344"/>
    </row>
    <row r="4" spans="1:22" ht="15.75" customHeight="1">
      <c r="B4" s="633" t="s">
        <v>1023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6" t="str">
        <f>DATA!D14</f>
        <v>AGR ENI KUSRINI</v>
      </c>
      <c r="H6" s="616"/>
      <c r="I6" s="616"/>
      <c r="J6" s="616"/>
      <c r="K6" s="61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5" t="s">
        <v>0</v>
      </c>
      <c r="C11" s="637" t="s">
        <v>1</v>
      </c>
      <c r="D11" s="626" t="s">
        <v>42</v>
      </c>
      <c r="E11" s="626" t="s">
        <v>43</v>
      </c>
      <c r="F11" s="626" t="s">
        <v>2</v>
      </c>
      <c r="G11" s="640" t="s">
        <v>41</v>
      </c>
      <c r="H11" s="626" t="s">
        <v>3</v>
      </c>
      <c r="I11" s="626"/>
      <c r="J11" s="626"/>
      <c r="K11" s="62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6"/>
      <c r="C12" s="638"/>
      <c r="D12" s="630"/>
      <c r="E12" s="630"/>
      <c r="F12" s="630"/>
      <c r="G12" s="641"/>
      <c r="H12" s="628" t="s">
        <v>46</v>
      </c>
      <c r="I12" s="628" t="s">
        <v>5</v>
      </c>
      <c r="J12" s="630" t="s">
        <v>47</v>
      </c>
      <c r="K12" s="63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6"/>
      <c r="C13" s="639"/>
      <c r="D13" s="630"/>
      <c r="E13" s="630"/>
      <c r="F13" s="630"/>
      <c r="G13" s="642"/>
      <c r="H13" s="629"/>
      <c r="I13" s="629"/>
      <c r="J13" s="630"/>
      <c r="K13" s="63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372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0" ca="1" si="8">IF(OR(D18="MDU",D18="MDU-KD"),(IF($O$3="RAB NON MDU","PLN KD",G18*F18)),0)</f>
        <v>0</v>
      </c>
      <c r="I18" s="361">
        <f t="shared" ref="I18:I20" ca="1" si="9">IF(D18="HDW",G18*F18,0)</f>
        <v>0</v>
      </c>
      <c r="J18" s="361">
        <f t="shared" ref="J18:J20" ca="1" si="10">IF(D18="JASA",G18*F18,0)</f>
        <v>0</v>
      </c>
      <c r="K18" s="362">
        <f t="shared" ref="K18:K20" ca="1" si="11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1607</v>
      </c>
      <c r="C19" s="367" t="s">
        <v>1626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498"/>
      <c r="C20" s="49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09" t="s">
        <v>1035</v>
      </c>
      <c r="C21" s="510" t="s">
        <v>1618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1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0" ca="1" si="12">IF(OR(D21="MDU",D21="MDU-KD"),(IF($O$3="RAB NON MDU","PLN KD",G21*F21)),0)</f>
        <v>0</v>
      </c>
      <c r="I21" s="361">
        <f t="shared" ref="I21:I30" ca="1" si="13">IF(D21="HDW",G21*F21,0)</f>
        <v>0</v>
      </c>
      <c r="J21" s="361">
        <f t="shared" ref="J21:J30" ca="1" si="14">IF(D21="JASA",G21*F21,0)</f>
        <v>0</v>
      </c>
      <c r="K21" s="362">
        <f t="shared" ref="K21:K30" ca="1" si="15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09">
        <v>1</v>
      </c>
      <c r="C22" s="510" t="s">
        <v>593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1">
        <f>F21*2</f>
        <v>2</v>
      </c>
      <c r="G22" s="360">
        <f ca="1">IF(ISERROR(OFFSET('HARGA SATUAN'!$I$6,MATCH(RAB!C22,'HARGA SATUAN'!$C$7:$C$1492,0),0)),0,OFFSET('HARGA SATUAN'!$I$6,MATCH(RAB!C22,'HARGA SATUAN'!$C$7:$C$1492,0),0))</f>
        <v>380500</v>
      </c>
      <c r="H22" s="361">
        <f t="shared" ca="1" si="12"/>
        <v>0</v>
      </c>
      <c r="I22" s="361">
        <f t="shared" ca="1" si="13"/>
        <v>761000</v>
      </c>
      <c r="J22" s="361">
        <f t="shared" ca="1" si="14"/>
        <v>0</v>
      </c>
      <c r="K22" s="362">
        <f t="shared" ca="1" si="15"/>
        <v>761000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09">
        <v>2</v>
      </c>
      <c r="C23" s="510" t="s">
        <v>28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F21*2</f>
        <v>2</v>
      </c>
      <c r="G23" s="360">
        <f ca="1">IF(ISERROR(OFFSET('HARGA SATUAN'!$I$6,MATCH(RAB!C23,'HARGA SATUAN'!$C$7:$C$1492,0),0)),0,OFFSET('HARGA SATUAN'!$I$6,MATCH(RAB!C23,'HARGA SATUAN'!$C$7:$C$1492,0),0))</f>
        <v>26500</v>
      </c>
      <c r="H23" s="361">
        <f t="shared" ca="1" si="12"/>
        <v>0</v>
      </c>
      <c r="I23" s="361">
        <f t="shared" ca="1" si="13"/>
        <v>53000</v>
      </c>
      <c r="J23" s="361">
        <f t="shared" ca="1" si="14"/>
        <v>0</v>
      </c>
      <c r="K23" s="362">
        <f t="shared" ca="1" si="15"/>
        <v>53000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9">
        <v>3</v>
      </c>
      <c r="C24" s="510" t="s">
        <v>26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F21*2</f>
        <v>2</v>
      </c>
      <c r="G24" s="360">
        <f ca="1">IF(ISERROR(OFFSET('HARGA SATUAN'!$I$6,MATCH(RAB!C24,'HARGA SATUAN'!$C$7:$C$1492,0),0)),0,OFFSET('HARGA SATUAN'!$I$6,MATCH(RAB!C24,'HARGA SATUAN'!$C$7:$C$1492,0),0))</f>
        <v>2500</v>
      </c>
      <c r="H24" s="361">
        <f t="shared" ca="1" si="12"/>
        <v>0</v>
      </c>
      <c r="I24" s="361">
        <f t="shared" ca="1" si="13"/>
        <v>5000</v>
      </c>
      <c r="J24" s="361">
        <f t="shared" ca="1" si="14"/>
        <v>0</v>
      </c>
      <c r="K24" s="362">
        <f t="shared" ca="1" si="15"/>
        <v>5000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9">
        <v>4</v>
      </c>
      <c r="C25" s="510" t="s">
        <v>157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F21*2</f>
        <v>2</v>
      </c>
      <c r="G25" s="360">
        <f ca="1">IF(ISERROR(OFFSET('HARGA SATUAN'!$I$6,MATCH(RAB!C25,'HARGA SATUAN'!$C$7:$C$1492,0),0)),0,OFFSET('HARGA SATUAN'!$I$6,MATCH(RAB!C25,'HARGA SATUAN'!$C$7:$C$1492,0),0))</f>
        <v>40000</v>
      </c>
      <c r="H25" s="361">
        <f t="shared" ca="1" si="12"/>
        <v>0</v>
      </c>
      <c r="I25" s="361">
        <f t="shared" ca="1" si="13"/>
        <v>80000</v>
      </c>
      <c r="J25" s="361">
        <f t="shared" ca="1" si="14"/>
        <v>0</v>
      </c>
      <c r="K25" s="362">
        <f t="shared" ca="1" si="15"/>
        <v>80000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09">
        <v>5</v>
      </c>
      <c r="C26" s="510" t="s">
        <v>755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1">
        <f>F21*1</f>
        <v>1</v>
      </c>
      <c r="G26" s="360">
        <f ca="1">IF(ISERROR(OFFSET('HARGA SATUAN'!$I$6,MATCH(RAB!C26,'HARGA SATUAN'!$C$7:$C$1492,0),0)),0,OFFSET('HARGA SATUAN'!$I$6,MATCH(RAB!C26,'HARGA SATUAN'!$C$7:$C$1492,0),0))</f>
        <v>69000</v>
      </c>
      <c r="H26" s="361">
        <f t="shared" ca="1" si="12"/>
        <v>0</v>
      </c>
      <c r="I26" s="361">
        <f t="shared" ca="1" si="13"/>
        <v>0</v>
      </c>
      <c r="J26" s="361">
        <f t="shared" ca="1" si="14"/>
        <v>69000</v>
      </c>
      <c r="K26" s="362">
        <f t="shared" ca="1" si="15"/>
        <v>69000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498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1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498">
        <v>1</v>
      </c>
      <c r="C28" s="510" t="s">
        <v>868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v>1</v>
      </c>
      <c r="G28" s="360">
        <f ca="1">IF(ISERROR(OFFSET('HARGA SATUAN'!$I$6,MATCH(RAB!C28,'HARGA SATUAN'!$C$7:$C$1492,0),0)),0,OFFSET('HARGA SATUAN'!$I$6,MATCH(RAB!C28,'HARGA SATUAN'!$C$7:$C$1492,0),0))</f>
        <v>50340</v>
      </c>
      <c r="H28" s="361">
        <f t="shared" ca="1" si="12"/>
        <v>0</v>
      </c>
      <c r="I28" s="361">
        <f t="shared" ca="1" si="13"/>
        <v>0</v>
      </c>
      <c r="J28" s="361">
        <f t="shared" ca="1" si="14"/>
        <v>50340</v>
      </c>
      <c r="K28" s="362">
        <f t="shared" ca="1" si="15"/>
        <v>50340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>
        <v>2</v>
      </c>
      <c r="C29" s="508" t="s">
        <v>687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1</v>
      </c>
      <c r="G29" s="360">
        <f ca="1">IF(ISERROR(OFFSET('HARGA SATUAN'!$I$6,MATCH(RAB!C29,'HARGA SATUAN'!$C$7:$C$1492,0),0)),0,OFFSET('HARGA SATUAN'!$I$6,MATCH(RAB!C29,'HARGA SATUAN'!$C$7:$C$1492,0),0))</f>
        <v>111000</v>
      </c>
      <c r="H29" s="361" t="s">
        <v>1619</v>
      </c>
      <c r="I29" s="361">
        <f t="shared" ca="1" si="13"/>
        <v>0</v>
      </c>
      <c r="J29" s="361">
        <f t="shared" ca="1" si="14"/>
        <v>111000</v>
      </c>
      <c r="K29" s="362">
        <f t="shared" ca="1" si="15"/>
        <v>111000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498"/>
      <c r="C30" s="499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1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1" t="s">
        <v>1035</v>
      </c>
      <c r="C31" s="512" t="s">
        <v>1615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1">
        <v>1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" ca="1" si="16">IF(OR(D31="MDU",D31="MDU-KD"),(IF($O$3="RAB NON MDU","PLN KD",G31*F31)),0)</f>
        <v>0</v>
      </c>
      <c r="I31" s="361">
        <f t="shared" ref="I31" ca="1" si="17">IF(D31="HDW",G31*F31,0)</f>
        <v>0</v>
      </c>
      <c r="J31" s="361">
        <f t="shared" ref="J31" ca="1" si="18">IF(D31="JASA",G31*F31,0)</f>
        <v>0</v>
      </c>
      <c r="K31" s="362">
        <f t="shared" ref="K31" ca="1" si="19">SUM(H31:J31)</f>
        <v>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1">
        <v>1</v>
      </c>
      <c r="C32" s="109" t="s">
        <v>1129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F31*1</f>
        <v>1</v>
      </c>
      <c r="G32" s="360">
        <f ca="1">IF(ISERROR(OFFSET('HARGA SATUAN'!$I$6,MATCH(RAB!C32,'HARGA SATUAN'!$C$7:$C$1492,0),0)),0,OFFSET('HARGA SATUAN'!$I$6,MATCH(RAB!C32,'HARGA SATUAN'!$C$7:$C$1492,0),0))</f>
        <v>176900</v>
      </c>
      <c r="H32" s="361">
        <f t="shared" ref="H32:H36" ca="1" si="20">IF(OR(D32="MDU",D32="MDU-KD"),(IF($O$3="RAB NON MDU","PLN KD",G32*F32)),0)</f>
        <v>176900</v>
      </c>
      <c r="I32" s="361">
        <f t="shared" ref="I32:I36" ca="1" si="21">IF(D32="HDW",G32*F32,0)</f>
        <v>0</v>
      </c>
      <c r="J32" s="361">
        <f t="shared" ref="J32:J36" ca="1" si="22">IF(D32="JASA",G32*F32,0)</f>
        <v>0</v>
      </c>
      <c r="K32" s="362">
        <f t="shared" ref="K32:K36" ca="1" si="23">SUM(H32:J32)</f>
        <v>176900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1">
        <v>2</v>
      </c>
      <c r="C33" s="109" t="s">
        <v>1129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F31*2</f>
        <v>2</v>
      </c>
      <c r="G33" s="360">
        <f ca="1">IF(ISERROR(OFFSET('HARGA SATUAN'!$I$6,MATCH(RAB!C33,'HARGA SATUAN'!$C$7:$C$1492,0),0)),0,OFFSET('HARGA SATUAN'!$I$6,MATCH(RAB!C33,'HARGA SATUAN'!$C$7:$C$1492,0),0))</f>
        <v>176900</v>
      </c>
      <c r="H33" s="361">
        <f t="shared" ca="1" si="20"/>
        <v>353800</v>
      </c>
      <c r="I33" s="361">
        <f t="shared" ca="1" si="21"/>
        <v>0</v>
      </c>
      <c r="J33" s="361">
        <f t="shared" ca="1" si="22"/>
        <v>0</v>
      </c>
      <c r="K33" s="362">
        <f t="shared" ca="1" si="23"/>
        <v>353800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1">
        <v>3</v>
      </c>
      <c r="C34" s="512" t="s">
        <v>28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F31*3</f>
        <v>3</v>
      </c>
      <c r="G34" s="360">
        <f ca="1">IF(ISERROR(OFFSET('HARGA SATUAN'!$I$6,MATCH(RAB!C34,'HARGA SATUAN'!$C$7:$C$1492,0),0)),0,OFFSET('HARGA SATUAN'!$I$6,MATCH(RAB!C34,'HARGA SATUAN'!$C$7:$C$1492,0),0))</f>
        <v>26500</v>
      </c>
      <c r="H34" s="361">
        <f t="shared" ca="1" si="20"/>
        <v>0</v>
      </c>
      <c r="I34" s="361">
        <f t="shared" ca="1" si="21"/>
        <v>79500</v>
      </c>
      <c r="J34" s="361">
        <f t="shared" ca="1" si="22"/>
        <v>0</v>
      </c>
      <c r="K34" s="362">
        <f t="shared" ca="1" si="23"/>
        <v>79500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1">
        <v>4</v>
      </c>
      <c r="C35" s="512" t="s">
        <v>163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F31*2</f>
        <v>2</v>
      </c>
      <c r="G35" s="360">
        <f ca="1">IF(ISERROR(OFFSET('HARGA SATUAN'!$I$6,MATCH(RAB!C35,'HARGA SATUAN'!$C$7:$C$1492,0),0)),0,OFFSET('HARGA SATUAN'!$I$6,MATCH(RAB!C35,'HARGA SATUAN'!$C$7:$C$1492,0),0))</f>
        <v>7938</v>
      </c>
      <c r="H35" s="361">
        <f t="shared" ca="1" si="20"/>
        <v>0</v>
      </c>
      <c r="I35" s="361">
        <f t="shared" ca="1" si="21"/>
        <v>15876</v>
      </c>
      <c r="J35" s="361">
        <f t="shared" ca="1" si="22"/>
        <v>0</v>
      </c>
      <c r="K35" s="362">
        <f t="shared" ca="1" si="23"/>
        <v>15876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1">
        <v>5</v>
      </c>
      <c r="C36" s="512" t="s">
        <v>168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F31*1</f>
        <v>1</v>
      </c>
      <c r="G36" s="360">
        <f ca="1">IF(ISERROR(OFFSET('HARGA SATUAN'!$I$6,MATCH(RAB!C36,'HARGA SATUAN'!$C$7:$C$1492,0),0)),0,OFFSET('HARGA SATUAN'!$I$6,MATCH(RAB!C36,'HARGA SATUAN'!$C$7:$C$1492,0),0))</f>
        <v>33600</v>
      </c>
      <c r="H36" s="361">
        <f t="shared" ca="1" si="20"/>
        <v>0</v>
      </c>
      <c r="I36" s="361">
        <f t="shared" ca="1" si="21"/>
        <v>33600</v>
      </c>
      <c r="J36" s="361">
        <f t="shared" ca="1" si="22"/>
        <v>0</v>
      </c>
      <c r="K36" s="362">
        <f t="shared" ca="1" si="23"/>
        <v>33600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1">
        <v>6</v>
      </c>
      <c r="C37" s="512" t="s">
        <v>173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F31*2</f>
        <v>2</v>
      </c>
      <c r="G37" s="360">
        <f ca="1">IF(ISERROR(OFFSET('HARGA SATUAN'!$I$6,MATCH(RAB!C37,'HARGA SATUAN'!$C$7:$C$1492,0),0)),0,OFFSET('HARGA SATUAN'!$I$6,MATCH(RAB!C37,'HARGA SATUAN'!$C$7:$C$1492,0),0))</f>
        <v>45000</v>
      </c>
      <c r="H37" s="361">
        <f t="shared" ref="H37:H48" ca="1" si="24">IF(OR(D37="MDU",D37="MDU-KD"),(IF($O$3="RAB NON MDU","PLN KD",G37*F37)),0)</f>
        <v>0</v>
      </c>
      <c r="I37" s="361">
        <f t="shared" ref="I37:I48" ca="1" si="25">IF(D37="HDW",G37*F37,0)</f>
        <v>90000</v>
      </c>
      <c r="J37" s="361">
        <f t="shared" ref="J37:J48" ca="1" si="26">IF(D37="JASA",G37*F37,0)</f>
        <v>0</v>
      </c>
      <c r="K37" s="362">
        <f t="shared" ref="K37:K48" ca="1" si="27">SUM(H37:J37)</f>
        <v>90000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1">
        <v>7</v>
      </c>
      <c r="C38" s="512" t="s">
        <v>178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F31*1</f>
        <v>1</v>
      </c>
      <c r="G38" s="360">
        <f ca="1">IF(ISERROR(OFFSET('HARGA SATUAN'!$I$6,MATCH(RAB!C38,'HARGA SATUAN'!$C$7:$C$1492,0),0)),0,OFFSET('HARGA SATUAN'!$I$6,MATCH(RAB!C38,'HARGA SATUAN'!$C$7:$C$1492,0),0))</f>
        <v>95000</v>
      </c>
      <c r="H38" s="361">
        <f t="shared" ca="1" si="24"/>
        <v>0</v>
      </c>
      <c r="I38" s="361">
        <f t="shared" ca="1" si="25"/>
        <v>95000</v>
      </c>
      <c r="J38" s="361">
        <f t="shared" ca="1" si="26"/>
        <v>0</v>
      </c>
      <c r="K38" s="362">
        <f t="shared" ca="1" si="27"/>
        <v>95000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1">
        <v>8</v>
      </c>
      <c r="C39" s="512" t="s">
        <v>593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F31*1</f>
        <v>1</v>
      </c>
      <c r="G39" s="360">
        <f ca="1">IF(ISERROR(OFFSET('HARGA SATUAN'!$I$6,MATCH(RAB!C39,'HARGA SATUAN'!$C$7:$C$1492,0),0)),0,OFFSET('HARGA SATUAN'!$I$6,MATCH(RAB!C39,'HARGA SATUAN'!$C$7:$C$1492,0),0))</f>
        <v>380500</v>
      </c>
      <c r="H39" s="361">
        <f t="shared" ca="1" si="24"/>
        <v>0</v>
      </c>
      <c r="I39" s="361">
        <f t="shared" ca="1" si="25"/>
        <v>380500</v>
      </c>
      <c r="J39" s="361">
        <f t="shared" ca="1" si="26"/>
        <v>0</v>
      </c>
      <c r="K39" s="362">
        <f t="shared" ca="1" si="27"/>
        <v>380500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1">
        <v>9</v>
      </c>
      <c r="C40" s="512" t="s">
        <v>217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F31*4</f>
        <v>4</v>
      </c>
      <c r="G40" s="360">
        <f ca="1">IF(ISERROR(OFFSET('HARGA SATUAN'!$I$6,MATCH(RAB!C40,'HARGA SATUAN'!$C$7:$C$1492,0),0)),0,OFFSET('HARGA SATUAN'!$I$6,MATCH(RAB!C40,'HARGA SATUAN'!$C$7:$C$1492,0),0))</f>
        <v>11400</v>
      </c>
      <c r="H40" s="361">
        <f t="shared" ca="1" si="24"/>
        <v>0</v>
      </c>
      <c r="I40" s="361">
        <f t="shared" ca="1" si="25"/>
        <v>45600</v>
      </c>
      <c r="J40" s="361">
        <f t="shared" ca="1" si="26"/>
        <v>0</v>
      </c>
      <c r="K40" s="362">
        <f t="shared" ca="1" si="27"/>
        <v>45600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1">
        <v>10</v>
      </c>
      <c r="C41" s="512" t="s">
        <v>247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F31*1</f>
        <v>1</v>
      </c>
      <c r="G41" s="360">
        <f ca="1">IF(ISERROR(OFFSET('HARGA SATUAN'!$I$6,MATCH(RAB!C41,'HARGA SATUAN'!$C$7:$C$1492,0),0)),0,OFFSET('HARGA SATUAN'!$I$6,MATCH(RAB!C41,'HARGA SATUAN'!$C$7:$C$1492,0),0))</f>
        <v>57690</v>
      </c>
      <c r="H41" s="361">
        <f t="shared" ca="1" si="24"/>
        <v>0</v>
      </c>
      <c r="I41" s="361">
        <f t="shared" ca="1" si="25"/>
        <v>57690</v>
      </c>
      <c r="J41" s="361">
        <f t="shared" ca="1" si="26"/>
        <v>0</v>
      </c>
      <c r="K41" s="362">
        <f t="shared" ca="1" si="27"/>
        <v>57690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1">
        <v>11</v>
      </c>
      <c r="C42" s="512" t="s">
        <v>264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F31*1</f>
        <v>1</v>
      </c>
      <c r="G42" s="360">
        <f ca="1">IF(ISERROR(OFFSET('HARGA SATUAN'!$I$6,MATCH(RAB!C42,'HARGA SATUAN'!$C$7:$C$1492,0),0)),0,OFFSET('HARGA SATUAN'!$I$6,MATCH(RAB!C42,'HARGA SATUAN'!$C$7:$C$1492,0),0))</f>
        <v>28000</v>
      </c>
      <c r="H42" s="361">
        <f t="shared" ca="1" si="24"/>
        <v>0</v>
      </c>
      <c r="I42" s="361">
        <f t="shared" ca="1" si="25"/>
        <v>28000</v>
      </c>
      <c r="J42" s="361">
        <f t="shared" ca="1" si="26"/>
        <v>0</v>
      </c>
      <c r="K42" s="362">
        <f t="shared" ca="1" si="27"/>
        <v>28000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511">
        <v>12</v>
      </c>
      <c r="C43" s="512" t="s">
        <v>38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501">
        <f>6.2*F31</f>
        <v>6.2</v>
      </c>
      <c r="G43" s="360">
        <f ca="1">IF(ISERROR(OFFSET('HARGA SATUAN'!$I$6,MATCH(RAB!C43,'HARGA SATUAN'!$C$7:$C$1492,0),0)),0,OFFSET('HARGA SATUAN'!$I$6,MATCH(RAB!C43,'HARGA SATUAN'!$C$7:$C$1492,0),0))</f>
        <v>8550</v>
      </c>
      <c r="H43" s="361">
        <f t="shared" ca="1" si="24"/>
        <v>0</v>
      </c>
      <c r="I43" s="361">
        <f t="shared" ca="1" si="25"/>
        <v>53010</v>
      </c>
      <c r="J43" s="361">
        <f t="shared" ca="1" si="26"/>
        <v>0</v>
      </c>
      <c r="K43" s="362">
        <f t="shared" ca="1" si="27"/>
        <v>53010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511">
        <v>13</v>
      </c>
      <c r="C44" s="512" t="s">
        <v>26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F31*5</f>
        <v>5</v>
      </c>
      <c r="G44" s="360">
        <f ca="1">IF(ISERROR(OFFSET('HARGA SATUAN'!$I$6,MATCH(RAB!C44,'HARGA SATUAN'!$C$7:$C$1492,0),0)),0,OFFSET('HARGA SATUAN'!$I$6,MATCH(RAB!C44,'HARGA SATUAN'!$C$7:$C$1492,0),0))</f>
        <v>2500</v>
      </c>
      <c r="H44" s="361">
        <f t="shared" ca="1" si="24"/>
        <v>0</v>
      </c>
      <c r="I44" s="361">
        <f t="shared" ca="1" si="25"/>
        <v>12500</v>
      </c>
      <c r="J44" s="361">
        <f t="shared" ca="1" si="26"/>
        <v>0</v>
      </c>
      <c r="K44" s="362">
        <f t="shared" ca="1" si="27"/>
        <v>12500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511">
        <v>14</v>
      </c>
      <c r="C45" s="512" t="s">
        <v>687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01">
        <f>F31*1</f>
        <v>1</v>
      </c>
      <c r="G45" s="360">
        <f ca="1">IF(ISERROR(OFFSET('HARGA SATUAN'!$I$6,MATCH(RAB!C45,'HARGA SATUAN'!$C$7:$C$1492,0),0)),0,OFFSET('HARGA SATUAN'!$I$6,MATCH(RAB!C45,'HARGA SATUAN'!$C$7:$C$1492,0),0))</f>
        <v>111000</v>
      </c>
      <c r="H45" s="361">
        <f t="shared" ca="1" si="24"/>
        <v>0</v>
      </c>
      <c r="I45" s="361">
        <f t="shared" ca="1" si="25"/>
        <v>0</v>
      </c>
      <c r="J45" s="361">
        <f t="shared" ca="1" si="26"/>
        <v>111000</v>
      </c>
      <c r="K45" s="362">
        <f t="shared" ca="1" si="27"/>
        <v>111000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4"/>
        <v>0</v>
      </c>
      <c r="I46" s="361">
        <f t="shared" ca="1" si="25"/>
        <v>0</v>
      </c>
      <c r="J46" s="361">
        <f t="shared" ca="1" si="26"/>
        <v>0</v>
      </c>
      <c r="K46" s="362">
        <f t="shared" ca="1" si="27"/>
        <v>0</v>
      </c>
      <c r="L46" s="342"/>
      <c r="M46" s="342"/>
      <c r="N46" s="369"/>
      <c r="O46" s="344"/>
      <c r="P46" s="397"/>
      <c r="Q46" s="344"/>
    </row>
    <row r="47" spans="1:17">
      <c r="B47" s="366" t="s">
        <v>1608</v>
      </c>
      <c r="C47" s="367" t="s">
        <v>1610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4"/>
        <v>0</v>
      </c>
      <c r="I47" s="361">
        <f t="shared" ca="1" si="25"/>
        <v>0</v>
      </c>
      <c r="J47" s="361">
        <f t="shared" ca="1" si="26"/>
        <v>0</v>
      </c>
      <c r="K47" s="362">
        <f t="shared" ca="1" si="27"/>
        <v>0</v>
      </c>
    </row>
    <row r="48" spans="1:17">
      <c r="B48" s="494"/>
      <c r="C48" s="497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4"/>
        <v>0</v>
      </c>
      <c r="I48" s="361">
        <f t="shared" ca="1" si="25"/>
        <v>0</v>
      </c>
      <c r="J48" s="361">
        <f t="shared" ca="1" si="26"/>
        <v>0</v>
      </c>
      <c r="K48" s="362">
        <f t="shared" ca="1" si="27"/>
        <v>0</v>
      </c>
    </row>
    <row r="49" spans="2:11">
      <c r="B49" s="511" t="s">
        <v>1035</v>
      </c>
      <c r="C49" s="512" t="s">
        <v>1623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68" ca="1" si="28">IF(OR(D49="MDU",D49="MDU-KD"),(IF($O$3="RAB NON MDU","PLN KD",G49*F49)),0)</f>
        <v>0</v>
      </c>
      <c r="I49" s="361">
        <f t="shared" ref="I49:I68" ca="1" si="29">IF(D49="HDW",G49*F49,0)</f>
        <v>0</v>
      </c>
      <c r="J49" s="361">
        <f t="shared" ref="J49:J68" ca="1" si="30">IF(D49="JASA",G49*F49,0)</f>
        <v>0</v>
      </c>
      <c r="K49" s="362">
        <f t="shared" ref="K49:K68" ca="1" si="31">SUM(H49:J49)</f>
        <v>0</v>
      </c>
    </row>
    <row r="50" spans="2:11">
      <c r="B50" s="511">
        <v>1</v>
      </c>
      <c r="C50" s="109" t="s">
        <v>1146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1</v>
      </c>
      <c r="G50" s="360">
        <f ca="1">IF(ISERROR(OFFSET('HARGA SATUAN'!$I$6,MATCH(RAB!C50,'HARGA SATUAN'!$C$7:$C$1492,0),0)),0,OFFSET('HARGA SATUAN'!$I$6,MATCH(RAB!C50,'HARGA SATUAN'!$C$7:$C$1492,0),0))</f>
        <v>42757200</v>
      </c>
      <c r="H50" s="361">
        <f t="shared" ca="1" si="28"/>
        <v>42757200</v>
      </c>
      <c r="I50" s="361">
        <f t="shared" ca="1" si="29"/>
        <v>0</v>
      </c>
      <c r="J50" s="361">
        <f t="shared" ca="1" si="30"/>
        <v>0</v>
      </c>
      <c r="K50" s="362">
        <f t="shared" ca="1" si="31"/>
        <v>42757200</v>
      </c>
    </row>
    <row r="51" spans="2:11">
      <c r="B51" s="503">
        <v>2</v>
      </c>
      <c r="C51" s="506" t="s">
        <v>1612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507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</row>
    <row r="52" spans="2:11">
      <c r="B52" s="511"/>
      <c r="C52" s="506" t="s">
        <v>65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1">
        <f>F49*(3*3)</f>
        <v>9</v>
      </c>
      <c r="G52" s="360">
        <f ca="1">IF(ISERROR(OFFSET('HARGA SATUAN'!$I$6,MATCH(RAB!C52,'HARGA SATUAN'!$C$7:$C$1492,0),0)),0,OFFSET('HARGA SATUAN'!$I$6,MATCH(RAB!C52,'HARGA SATUAN'!$C$7:$C$1492,0),0))</f>
        <v>14200</v>
      </c>
      <c r="H52" s="361">
        <f t="shared" ca="1" si="28"/>
        <v>127800</v>
      </c>
      <c r="I52" s="361">
        <f t="shared" ca="1" si="29"/>
        <v>0</v>
      </c>
      <c r="J52" s="361">
        <f t="shared" ca="1" si="30"/>
        <v>0</v>
      </c>
      <c r="K52" s="362">
        <f t="shared" ca="1" si="31"/>
        <v>127800</v>
      </c>
    </row>
    <row r="53" spans="2:11">
      <c r="B53" s="511"/>
      <c r="C53" s="109" t="s">
        <v>1459</v>
      </c>
      <c r="D53" s="358" t="str">
        <f ca="1">IF(ISERROR(OFFSET('HARGA SATUAN'!$D$6,MATCH(RAB!C53,'HARGA SATUAN'!$C$7:$C$1492,0),0)),"",OFFSET('HARGA SATUAN'!$D$6,MATCH(RAB!C53,'HARGA SATUAN'!$C$7:$C$1492,0),0))</f>
        <v>MDU-KD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f>F49*3</f>
        <v>3</v>
      </c>
      <c r="G53" s="360">
        <f ca="1">IF(ISERROR(OFFSET('HARGA SATUAN'!$I$6,MATCH(RAB!C53,'HARGA SATUAN'!$C$7:$C$1492,0),0)),0,OFFSET('HARGA SATUAN'!$I$6,MATCH(RAB!C53,'HARGA SATUAN'!$C$7:$C$1492,0),0))</f>
        <v>54500</v>
      </c>
      <c r="H53" s="361">
        <f t="shared" ca="1" si="28"/>
        <v>163500</v>
      </c>
      <c r="I53" s="361">
        <f t="shared" ca="1" si="29"/>
        <v>0</v>
      </c>
      <c r="J53" s="361">
        <f t="shared" ca="1" si="30"/>
        <v>0</v>
      </c>
      <c r="K53" s="362">
        <f t="shared" ca="1" si="31"/>
        <v>163500</v>
      </c>
    </row>
    <row r="54" spans="2:11">
      <c r="B54" s="511">
        <v>3</v>
      </c>
      <c r="C54" s="109" t="s">
        <v>559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F49*3</f>
        <v>3</v>
      </c>
      <c r="G54" s="360">
        <f ca="1">IF(ISERROR(OFFSET('HARGA SATUAN'!$I$6,MATCH(RAB!C54,'HARGA SATUAN'!$C$7:$C$1492,0),0)),0,OFFSET('HARGA SATUAN'!$I$6,MATCH(RAB!C54,'HARGA SATUAN'!$C$7:$C$1492,0),0))</f>
        <v>725900</v>
      </c>
      <c r="H54" s="361">
        <f t="shared" ca="1" si="28"/>
        <v>2177700</v>
      </c>
      <c r="I54" s="361">
        <f t="shared" ca="1" si="29"/>
        <v>0</v>
      </c>
      <c r="J54" s="361">
        <f t="shared" ca="1" si="30"/>
        <v>0</v>
      </c>
      <c r="K54" s="362">
        <f t="shared" ca="1" si="31"/>
        <v>2177700</v>
      </c>
    </row>
    <row r="55" spans="2:11">
      <c r="B55" s="511">
        <v>4</v>
      </c>
      <c r="C55" s="512" t="s">
        <v>535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F49*3</f>
        <v>3</v>
      </c>
      <c r="G55" s="360">
        <f ca="1">IF(ISERROR(OFFSET('HARGA SATUAN'!$I$6,MATCH(RAB!C55,'HARGA SATUAN'!$C$7:$C$1492,0),0)),0,OFFSET('HARGA SATUAN'!$I$6,MATCH(RAB!C55,'HARGA SATUAN'!$C$7:$C$1492,0),0))</f>
        <v>848250</v>
      </c>
      <c r="H55" s="361">
        <f t="shared" ca="1" si="28"/>
        <v>2544750</v>
      </c>
      <c r="I55" s="361">
        <f t="shared" ca="1" si="29"/>
        <v>0</v>
      </c>
      <c r="J55" s="361">
        <f t="shared" ca="1" si="30"/>
        <v>0</v>
      </c>
      <c r="K55" s="362">
        <f t="shared" ca="1" si="31"/>
        <v>2544750</v>
      </c>
    </row>
    <row r="56" spans="2:11">
      <c r="B56" s="511">
        <v>5</v>
      </c>
      <c r="C56" s="512" t="s">
        <v>537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1">
        <f>F49*3</f>
        <v>3</v>
      </c>
      <c r="G56" s="360">
        <f ca="1">IF(ISERROR(OFFSET('HARGA SATUAN'!$I$6,MATCH(RAB!C56,'HARGA SATUAN'!$C$7:$C$1492,0),0)),0,OFFSET('HARGA SATUAN'!$I$6,MATCH(RAB!C56,'HARGA SATUAN'!$C$7:$C$1492,0),0))</f>
        <v>17500</v>
      </c>
      <c r="H56" s="361">
        <f t="shared" ca="1" si="28"/>
        <v>0</v>
      </c>
      <c r="I56" s="361">
        <f t="shared" ca="1" si="29"/>
        <v>52500</v>
      </c>
      <c r="J56" s="361">
        <f t="shared" ca="1" si="30"/>
        <v>0</v>
      </c>
      <c r="K56" s="362">
        <f t="shared" ca="1" si="31"/>
        <v>52500</v>
      </c>
    </row>
    <row r="57" spans="2:11">
      <c r="B57" s="511">
        <v>6</v>
      </c>
      <c r="C57" s="109" t="s">
        <v>1564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F49*13</f>
        <v>13</v>
      </c>
      <c r="G57" s="360">
        <f ca="1">IF(ISERROR(OFFSET('HARGA SATUAN'!$I$6,MATCH(RAB!C57,'HARGA SATUAN'!$C$7:$C$1492,0),0)),0,OFFSET('HARGA SATUAN'!$I$6,MATCH(RAB!C57,'HARGA SATUAN'!$C$7:$C$1492,0),0))</f>
        <v>49000</v>
      </c>
      <c r="H57" s="361">
        <f t="shared" ca="1" si="28"/>
        <v>0</v>
      </c>
      <c r="I57" s="361">
        <f t="shared" ca="1" si="29"/>
        <v>637000</v>
      </c>
      <c r="J57" s="361">
        <f t="shared" ca="1" si="30"/>
        <v>0</v>
      </c>
      <c r="K57" s="362">
        <f t="shared" ca="1" si="31"/>
        <v>637000</v>
      </c>
    </row>
    <row r="58" spans="2:11">
      <c r="B58" s="511">
        <v>7</v>
      </c>
      <c r="C58" s="512" t="s">
        <v>163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F49*22</f>
        <v>22</v>
      </c>
      <c r="G58" s="360">
        <f ca="1">IF(ISERROR(OFFSET('HARGA SATUAN'!$I$6,MATCH(RAB!C58,'HARGA SATUAN'!$C$7:$C$1492,0),0)),0,OFFSET('HARGA SATUAN'!$I$6,MATCH(RAB!C58,'HARGA SATUAN'!$C$7:$C$1492,0),0))</f>
        <v>7938</v>
      </c>
      <c r="H58" s="361">
        <f t="shared" ca="1" si="28"/>
        <v>0</v>
      </c>
      <c r="I58" s="361">
        <f t="shared" ca="1" si="29"/>
        <v>174636</v>
      </c>
      <c r="J58" s="361">
        <f t="shared" ca="1" si="30"/>
        <v>0</v>
      </c>
      <c r="K58" s="362">
        <f t="shared" ca="1" si="31"/>
        <v>174636</v>
      </c>
    </row>
    <row r="59" spans="2:11">
      <c r="B59" s="511">
        <v>8</v>
      </c>
      <c r="C59" s="512" t="s">
        <v>176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F49*1</f>
        <v>1</v>
      </c>
      <c r="G59" s="360">
        <f ca="1">IF(ISERROR(OFFSET('HARGA SATUAN'!$I$6,MATCH(RAB!C59,'HARGA SATUAN'!$C$7:$C$1492,0),0)),0,OFFSET('HARGA SATUAN'!$I$6,MATCH(RAB!C59,'HARGA SATUAN'!$C$7:$C$1492,0),0))</f>
        <v>404600</v>
      </c>
      <c r="H59" s="361">
        <f t="shared" ca="1" si="28"/>
        <v>0</v>
      </c>
      <c r="I59" s="361">
        <f t="shared" ca="1" si="29"/>
        <v>404600</v>
      </c>
      <c r="J59" s="361">
        <f t="shared" ca="1" si="30"/>
        <v>0</v>
      </c>
      <c r="K59" s="362">
        <f t="shared" ca="1" si="31"/>
        <v>404600</v>
      </c>
    </row>
    <row r="60" spans="2:11">
      <c r="B60" s="511">
        <v>9</v>
      </c>
      <c r="C60" s="512" t="s">
        <v>184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F49*3</f>
        <v>3</v>
      </c>
      <c r="G60" s="360">
        <f ca="1">IF(ISERROR(OFFSET('HARGA SATUAN'!$I$6,MATCH(RAB!C60,'HARGA SATUAN'!$C$7:$C$1492,0),0)),0,OFFSET('HARGA SATUAN'!$I$6,MATCH(RAB!C60,'HARGA SATUAN'!$C$7:$C$1492,0),0))</f>
        <v>15900</v>
      </c>
      <c r="H60" s="361">
        <f t="shared" ca="1" si="28"/>
        <v>0</v>
      </c>
      <c r="I60" s="361">
        <f t="shared" ca="1" si="29"/>
        <v>47700</v>
      </c>
      <c r="J60" s="361">
        <f t="shared" ca="1" si="30"/>
        <v>0</v>
      </c>
      <c r="K60" s="362">
        <f t="shared" ca="1" si="31"/>
        <v>47700</v>
      </c>
    </row>
    <row r="61" spans="2:11">
      <c r="B61" s="511">
        <v>10</v>
      </c>
      <c r="C61" s="512" t="s">
        <v>592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F49*5</f>
        <v>5</v>
      </c>
      <c r="G61" s="360">
        <f ca="1">IF(ISERROR(OFFSET('HARGA SATUAN'!$I$6,MATCH(RAB!C61,'HARGA SATUAN'!$C$7:$C$1492,0),0)),0,OFFSET('HARGA SATUAN'!$I$6,MATCH(RAB!C61,'HARGA SATUAN'!$C$7:$C$1492,0),0))</f>
        <v>283100</v>
      </c>
      <c r="H61" s="361">
        <f t="shared" ca="1" si="28"/>
        <v>0</v>
      </c>
      <c r="I61" s="361">
        <f t="shared" ca="1" si="29"/>
        <v>1415500</v>
      </c>
      <c r="J61" s="361">
        <f t="shared" ca="1" si="30"/>
        <v>0</v>
      </c>
      <c r="K61" s="362">
        <f t="shared" ca="1" si="31"/>
        <v>1415500</v>
      </c>
    </row>
    <row r="62" spans="2:11">
      <c r="B62" s="511">
        <v>11</v>
      </c>
      <c r="C62" s="512" t="s">
        <v>593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F49*4</f>
        <v>4</v>
      </c>
      <c r="G62" s="360">
        <f ca="1">IF(ISERROR(OFFSET('HARGA SATUAN'!$I$6,MATCH(RAB!C62,'HARGA SATUAN'!$C$7:$C$1492,0),0)),0,OFFSET('HARGA SATUAN'!$I$6,MATCH(RAB!C62,'HARGA SATUAN'!$C$7:$C$1492,0),0))</f>
        <v>380500</v>
      </c>
      <c r="H62" s="361">
        <f t="shared" ca="1" si="28"/>
        <v>0</v>
      </c>
      <c r="I62" s="361">
        <f t="shared" ca="1" si="29"/>
        <v>1522000</v>
      </c>
      <c r="J62" s="361">
        <f t="shared" ca="1" si="30"/>
        <v>0</v>
      </c>
      <c r="K62" s="362">
        <f t="shared" ca="1" si="31"/>
        <v>1522000</v>
      </c>
    </row>
    <row r="63" spans="2:11">
      <c r="B63" s="511">
        <v>12</v>
      </c>
      <c r="C63" s="512" t="s">
        <v>208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F49*3</f>
        <v>3</v>
      </c>
      <c r="G63" s="360">
        <f ca="1">IF(ISERROR(OFFSET('HARGA SATUAN'!$I$6,MATCH(RAB!C63,'HARGA SATUAN'!$C$7:$C$1492,0),0)),0,OFFSET('HARGA SATUAN'!$I$6,MATCH(RAB!C63,'HARGA SATUAN'!$C$7:$C$1492,0),0))</f>
        <v>173400</v>
      </c>
      <c r="H63" s="361">
        <f t="shared" ca="1" si="28"/>
        <v>0</v>
      </c>
      <c r="I63" s="361">
        <f t="shared" ca="1" si="29"/>
        <v>520200</v>
      </c>
      <c r="J63" s="361">
        <f t="shared" ca="1" si="30"/>
        <v>0</v>
      </c>
      <c r="K63" s="362">
        <f t="shared" ca="1" si="31"/>
        <v>520200</v>
      </c>
    </row>
    <row r="64" spans="2:11">
      <c r="B64" s="511">
        <v>13</v>
      </c>
      <c r="C64" s="512" t="s">
        <v>247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F49*1</f>
        <v>1</v>
      </c>
      <c r="G64" s="360">
        <f ca="1">IF(ISERROR(OFFSET('HARGA SATUAN'!$I$6,MATCH(RAB!C64,'HARGA SATUAN'!$C$7:$C$1492,0),0)),0,OFFSET('HARGA SATUAN'!$I$6,MATCH(RAB!C64,'HARGA SATUAN'!$C$7:$C$1492,0),0))</f>
        <v>57690</v>
      </c>
      <c r="H64" s="361">
        <f t="shared" ca="1" si="28"/>
        <v>0</v>
      </c>
      <c r="I64" s="361">
        <f t="shared" ca="1" si="29"/>
        <v>57690</v>
      </c>
      <c r="J64" s="361">
        <f t="shared" ca="1" si="30"/>
        <v>0</v>
      </c>
      <c r="K64" s="362">
        <f t="shared" ca="1" si="31"/>
        <v>57690</v>
      </c>
    </row>
    <row r="65" spans="2:11">
      <c r="B65" s="511">
        <v>14</v>
      </c>
      <c r="C65" s="512" t="s">
        <v>234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F49*2</f>
        <v>2</v>
      </c>
      <c r="G65" s="360">
        <f ca="1">IF(ISERROR(OFFSET('HARGA SATUAN'!$I$6,MATCH(RAB!C65,'HARGA SATUAN'!$C$7:$C$1492,0),0)),0,OFFSET('HARGA SATUAN'!$I$6,MATCH(RAB!C65,'HARGA SATUAN'!$C$7:$C$1492,0),0))</f>
        <v>67500</v>
      </c>
      <c r="H65" s="361">
        <f t="shared" ca="1" si="28"/>
        <v>0</v>
      </c>
      <c r="I65" s="361">
        <f t="shared" ca="1" si="29"/>
        <v>135000</v>
      </c>
      <c r="J65" s="361">
        <f t="shared" ca="1" si="30"/>
        <v>0</v>
      </c>
      <c r="K65" s="362">
        <f t="shared" ca="1" si="31"/>
        <v>135000</v>
      </c>
    </row>
    <row r="66" spans="2:11">
      <c r="B66" s="511">
        <v>15</v>
      </c>
      <c r="C66" s="512" t="s">
        <v>267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F49*2</f>
        <v>2</v>
      </c>
      <c r="G66" s="360">
        <f ca="1">IF(ISERROR(OFFSET('HARGA SATUAN'!$I$6,MATCH(RAB!C66,'HARGA SATUAN'!$C$7:$C$1492,0),0)),0,OFFSET('HARGA SATUAN'!$I$6,MATCH(RAB!C66,'HARGA SATUAN'!$C$7:$C$1492,0),0))</f>
        <v>129000</v>
      </c>
      <c r="H66" s="361">
        <f t="shared" ca="1" si="28"/>
        <v>0</v>
      </c>
      <c r="I66" s="361">
        <f t="shared" ca="1" si="29"/>
        <v>258000</v>
      </c>
      <c r="J66" s="361">
        <f t="shared" ca="1" si="30"/>
        <v>0</v>
      </c>
      <c r="K66" s="362">
        <f t="shared" ca="1" si="31"/>
        <v>258000</v>
      </c>
    </row>
    <row r="67" spans="2:11">
      <c r="B67" s="511">
        <v>16</v>
      </c>
      <c r="C67" s="512" t="s">
        <v>607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F49*4</f>
        <v>4</v>
      </c>
      <c r="G67" s="360">
        <f ca="1">IF(ISERROR(OFFSET('HARGA SATUAN'!$I$6,MATCH(RAB!C67,'HARGA SATUAN'!$C$7:$C$1492,0),0)),0,OFFSET('HARGA SATUAN'!$I$6,MATCH(RAB!C67,'HARGA SATUAN'!$C$7:$C$1492,0),0))</f>
        <v>250000</v>
      </c>
      <c r="H67" s="361">
        <f t="shared" ca="1" si="28"/>
        <v>0</v>
      </c>
      <c r="I67" s="361">
        <f t="shared" ca="1" si="29"/>
        <v>1000000</v>
      </c>
      <c r="J67" s="361">
        <f t="shared" ca="1" si="30"/>
        <v>0</v>
      </c>
      <c r="K67" s="362">
        <f t="shared" ca="1" si="31"/>
        <v>1000000</v>
      </c>
    </row>
    <row r="68" spans="2:11">
      <c r="B68" s="511">
        <v>17</v>
      </c>
      <c r="C68" s="512" t="s">
        <v>783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1">
        <f>F49*1</f>
        <v>1</v>
      </c>
      <c r="G68" s="360">
        <f ca="1">IF(ISERROR(OFFSET('HARGA SATUAN'!$I$6,MATCH(RAB!C68,'HARGA SATUAN'!$C$7:$C$1492,0),0)),0,OFFSET('HARGA SATUAN'!$I$6,MATCH(RAB!C68,'HARGA SATUAN'!$C$7:$C$1492,0),0))</f>
        <v>1182800</v>
      </c>
      <c r="H68" s="361">
        <f t="shared" ca="1" si="28"/>
        <v>0</v>
      </c>
      <c r="I68" s="361">
        <f t="shared" ca="1" si="29"/>
        <v>0</v>
      </c>
      <c r="J68" s="361">
        <f t="shared" ca="1" si="30"/>
        <v>1182800</v>
      </c>
      <c r="K68" s="362">
        <f t="shared" ca="1" si="31"/>
        <v>1182800</v>
      </c>
    </row>
    <row r="69" spans="2:11">
      <c r="B69" s="511">
        <v>18</v>
      </c>
      <c r="C69" s="109" t="s">
        <v>461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Set</v>
      </c>
      <c r="F69" s="501">
        <v>1</v>
      </c>
      <c r="G69" s="360">
        <f ca="1">IF(ISERROR(OFFSET('HARGA SATUAN'!$I$6,MATCH(RAB!C69,'HARGA SATUAN'!$C$7:$C$1492,0),0)),0,OFFSET('HARGA SATUAN'!$I$6,MATCH(RAB!C69,'HARGA SATUAN'!$C$7:$C$1492,0),0))</f>
        <v>200000</v>
      </c>
      <c r="H69" s="361">
        <f t="shared" ref="H69:H70" ca="1" si="32">IF(OR(D69="MDU",D69="MDU-KD"),(IF($O$3="RAB NON MDU","PLN KD",G69*F69)),0)</f>
        <v>0</v>
      </c>
      <c r="I69" s="361">
        <f t="shared" ref="I69:I70" ca="1" si="33">IF(D69="HDW",G69*F69,0)</f>
        <v>200000</v>
      </c>
      <c r="J69" s="361">
        <f t="shared" ref="J69:J70" ca="1" si="34">IF(D69="JASA",G69*F69,0)</f>
        <v>0</v>
      </c>
      <c r="K69" s="362">
        <f t="shared" ref="K69:K70" ca="1" si="35">SUM(H69:J69)</f>
        <v>200000</v>
      </c>
    </row>
    <row r="70" spans="2:11">
      <c r="B70" s="511"/>
      <c r="C70" s="109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2"/>
        <v>0</v>
      </c>
      <c r="I70" s="361">
        <f t="shared" ca="1" si="33"/>
        <v>0</v>
      </c>
      <c r="J70" s="361">
        <f t="shared" ca="1" si="34"/>
        <v>0</v>
      </c>
      <c r="K70" s="362">
        <f t="shared" ca="1" si="35"/>
        <v>0</v>
      </c>
    </row>
    <row r="71" spans="2:11">
      <c r="B71" s="503" t="s">
        <v>1035</v>
      </c>
      <c r="C71" s="504" t="s">
        <v>1613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1">
        <v>2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81" ca="1" si="36">IF(OR(D71="MDU",D71="MDU-KD"),(IF($O$3="RAB NON MDU","PLN KD",G71*F71)),0)</f>
        <v>0</v>
      </c>
      <c r="I71" s="361">
        <f t="shared" ref="I71:I81" ca="1" si="37">IF(D71="HDW",G71*F71,0)</f>
        <v>0</v>
      </c>
      <c r="J71" s="361">
        <f t="shared" ref="J71:J81" ca="1" si="38">IF(D71="JASA",G71*F71,0)</f>
        <v>0</v>
      </c>
      <c r="K71" s="362">
        <f t="shared" ref="K71:K81" ca="1" si="39">SUM(H71:J71)</f>
        <v>0</v>
      </c>
    </row>
    <row r="72" spans="2:11">
      <c r="B72" s="503">
        <v>1</v>
      </c>
      <c r="C72" s="505" t="s">
        <v>29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F71*1</f>
        <v>2</v>
      </c>
      <c r="G72" s="360">
        <f ca="1">IF(ISERROR(OFFSET('HARGA SATUAN'!$I$6,MATCH(RAB!C72,'HARGA SATUAN'!$C$7:$C$1492,0),0)),0,OFFSET('HARGA SATUAN'!$I$6,MATCH(RAB!C72,'HARGA SATUAN'!$C$7:$C$1492,0),0))</f>
        <v>185200</v>
      </c>
      <c r="H72" s="361">
        <f t="shared" ca="1" si="36"/>
        <v>0</v>
      </c>
      <c r="I72" s="361">
        <f t="shared" ca="1" si="37"/>
        <v>370400</v>
      </c>
      <c r="J72" s="361">
        <f t="shared" ca="1" si="38"/>
        <v>0</v>
      </c>
      <c r="K72" s="362">
        <f t="shared" ca="1" si="39"/>
        <v>370400</v>
      </c>
    </row>
    <row r="73" spans="2:11">
      <c r="B73" s="498">
        <v>2</v>
      </c>
      <c r="C73" s="499" t="s">
        <v>30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F71*1</f>
        <v>2</v>
      </c>
      <c r="G73" s="360">
        <f ca="1">IF(ISERROR(OFFSET('HARGA SATUAN'!$I$6,MATCH(RAB!C73,'HARGA SATUAN'!$C$7:$C$1492,0),0)),0,OFFSET('HARGA SATUAN'!$I$6,MATCH(RAB!C73,'HARGA SATUAN'!$C$7:$C$1492,0),0))</f>
        <v>47459</v>
      </c>
      <c r="H73" s="361">
        <f t="shared" ca="1" si="36"/>
        <v>0</v>
      </c>
      <c r="I73" s="361">
        <f t="shared" ca="1" si="37"/>
        <v>94918</v>
      </c>
      <c r="J73" s="361">
        <f t="shared" ca="1" si="38"/>
        <v>0</v>
      </c>
      <c r="K73" s="362">
        <f t="shared" ca="1" si="39"/>
        <v>94918</v>
      </c>
    </row>
    <row r="74" spans="2:11">
      <c r="B74" s="498">
        <v>3</v>
      </c>
      <c r="C74" s="499" t="s">
        <v>31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1">
        <f>F71*1</f>
        <v>2</v>
      </c>
      <c r="G74" s="360">
        <f ca="1">IF(ISERROR(OFFSET('HARGA SATUAN'!$I$6,MATCH(RAB!C74,'HARGA SATUAN'!$C$7:$C$1492,0),0)),0,OFFSET('HARGA SATUAN'!$I$6,MATCH(RAB!C74,'HARGA SATUAN'!$C$7:$C$1492,0),0))</f>
        <v>4880</v>
      </c>
      <c r="H74" s="361">
        <f t="shared" ca="1" si="36"/>
        <v>0</v>
      </c>
      <c r="I74" s="361">
        <f t="shared" ca="1" si="37"/>
        <v>9760</v>
      </c>
      <c r="J74" s="361">
        <f t="shared" ca="1" si="38"/>
        <v>0</v>
      </c>
      <c r="K74" s="362">
        <f t="shared" ca="1" si="39"/>
        <v>9760</v>
      </c>
    </row>
    <row r="75" spans="2:11">
      <c r="B75" s="498">
        <v>4</v>
      </c>
      <c r="C75" s="499" t="s">
        <v>32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501">
        <f>F71*10</f>
        <v>20</v>
      </c>
      <c r="G75" s="360">
        <f ca="1">IF(ISERROR(OFFSET('HARGA SATUAN'!$I$6,MATCH(RAB!C75,'HARGA SATUAN'!$C$7:$C$1492,0),0)),0,OFFSET('HARGA SATUAN'!$I$6,MATCH(RAB!C75,'HARGA SATUAN'!$C$7:$C$1492,0),0))</f>
        <v>30000</v>
      </c>
      <c r="H75" s="361">
        <f t="shared" ca="1" si="36"/>
        <v>0</v>
      </c>
      <c r="I75" s="361">
        <f t="shared" ca="1" si="37"/>
        <v>600000</v>
      </c>
      <c r="J75" s="361">
        <f t="shared" ca="1" si="38"/>
        <v>0</v>
      </c>
      <c r="K75" s="362">
        <f t="shared" ca="1" si="39"/>
        <v>600000</v>
      </c>
    </row>
    <row r="76" spans="2:11">
      <c r="B76" s="498">
        <v>5</v>
      </c>
      <c r="C76" s="499" t="s">
        <v>33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F71*2</f>
        <v>4</v>
      </c>
      <c r="G76" s="360">
        <f ca="1">IF(ISERROR(OFFSET('HARGA SATUAN'!$I$6,MATCH(RAB!C76,'HARGA SATUAN'!$C$7:$C$1492,0),0)),0,OFFSET('HARGA SATUAN'!$I$6,MATCH(RAB!C76,'HARGA SATUAN'!$C$7:$C$1492,0),0))</f>
        <v>9500</v>
      </c>
      <c r="H76" s="361">
        <f t="shared" ca="1" si="36"/>
        <v>0</v>
      </c>
      <c r="I76" s="361">
        <f t="shared" ca="1" si="37"/>
        <v>38000</v>
      </c>
      <c r="J76" s="361">
        <f t="shared" ca="1" si="38"/>
        <v>0</v>
      </c>
      <c r="K76" s="362">
        <f t="shared" ca="1" si="39"/>
        <v>38000</v>
      </c>
    </row>
    <row r="77" spans="2:11">
      <c r="B77" s="498">
        <v>6</v>
      </c>
      <c r="C77" s="499" t="s">
        <v>34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1">
        <f>F71*5.5</f>
        <v>11</v>
      </c>
      <c r="G77" s="360">
        <f ca="1">IF(ISERROR(OFFSET('HARGA SATUAN'!$I$6,MATCH(RAB!C77,'HARGA SATUAN'!$C$7:$C$1492,0),0)),0,OFFSET('HARGA SATUAN'!$I$6,MATCH(RAB!C77,'HARGA SATUAN'!$C$7:$C$1492,0),0))</f>
        <v>6100</v>
      </c>
      <c r="H77" s="361">
        <f t="shared" ca="1" si="36"/>
        <v>0</v>
      </c>
      <c r="I77" s="361">
        <f t="shared" ca="1" si="37"/>
        <v>67100</v>
      </c>
      <c r="J77" s="361">
        <f t="shared" ca="1" si="38"/>
        <v>0</v>
      </c>
      <c r="K77" s="362">
        <f t="shared" ca="1" si="39"/>
        <v>67100</v>
      </c>
    </row>
    <row r="78" spans="2:11">
      <c r="B78" s="498">
        <v>7</v>
      </c>
      <c r="C78" s="499" t="s">
        <v>35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F71*6</f>
        <v>12</v>
      </c>
      <c r="G78" s="360">
        <f ca="1">IF(ISERROR(OFFSET('HARGA SATUAN'!$I$6,MATCH(RAB!C78,'HARGA SATUAN'!$C$7:$C$1492,0),0)),0,OFFSET('HARGA SATUAN'!$I$6,MATCH(RAB!C78,'HARGA SATUAN'!$C$7:$C$1492,0),0))</f>
        <v>2300</v>
      </c>
      <c r="H78" s="361">
        <f t="shared" ca="1" si="36"/>
        <v>0</v>
      </c>
      <c r="I78" s="361">
        <f t="shared" ca="1" si="37"/>
        <v>27600</v>
      </c>
      <c r="J78" s="361">
        <f t="shared" ca="1" si="38"/>
        <v>0</v>
      </c>
      <c r="K78" s="362">
        <f t="shared" ca="1" si="39"/>
        <v>27600</v>
      </c>
    </row>
    <row r="79" spans="2:11">
      <c r="B79" s="498">
        <v>8</v>
      </c>
      <c r="C79" s="499" t="s">
        <v>1614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Mtr</v>
      </c>
      <c r="F79" s="501">
        <f>F71*4.8</f>
        <v>9.6</v>
      </c>
      <c r="G79" s="360">
        <f ca="1">IF(ISERROR(OFFSET('HARGA SATUAN'!$I$6,MATCH(RAB!C79,'HARGA SATUAN'!$C$7:$C$1492,0),0)),0,OFFSET('HARGA SATUAN'!$I$6,MATCH(RAB!C79,'HARGA SATUAN'!$C$7:$C$1492,0),0))</f>
        <v>23310</v>
      </c>
      <c r="H79" s="361">
        <f t="shared" ca="1" si="36"/>
        <v>0</v>
      </c>
      <c r="I79" s="361">
        <f t="shared" ca="1" si="37"/>
        <v>223776</v>
      </c>
      <c r="J79" s="361">
        <f t="shared" ca="1" si="38"/>
        <v>0</v>
      </c>
      <c r="K79" s="362">
        <f t="shared" ca="1" si="39"/>
        <v>223776</v>
      </c>
    </row>
    <row r="80" spans="2:11">
      <c r="B80" s="498">
        <v>9</v>
      </c>
      <c r="C80" s="499" t="s">
        <v>736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1">
        <f>F71*1</f>
        <v>2</v>
      </c>
      <c r="G80" s="360">
        <f ca="1">IF(ISERROR(OFFSET('HARGA SATUAN'!$I$6,MATCH(RAB!C80,'HARGA SATUAN'!$C$7:$C$1492,0),0)),0,OFFSET('HARGA SATUAN'!$I$6,MATCH(RAB!C80,'HARGA SATUAN'!$C$7:$C$1492,0),0))</f>
        <v>65400</v>
      </c>
      <c r="H80" s="361">
        <f t="shared" ca="1" si="36"/>
        <v>0</v>
      </c>
      <c r="I80" s="361">
        <f t="shared" ca="1" si="37"/>
        <v>0</v>
      </c>
      <c r="J80" s="361">
        <f t="shared" ca="1" si="38"/>
        <v>130800</v>
      </c>
      <c r="K80" s="362">
        <f t="shared" ca="1" si="39"/>
        <v>130800</v>
      </c>
    </row>
    <row r="81" spans="2:11">
      <c r="B81" s="494"/>
      <c r="C81" s="497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502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36"/>
        <v>0</v>
      </c>
      <c r="I81" s="361">
        <f t="shared" ca="1" si="37"/>
        <v>0</v>
      </c>
      <c r="J81" s="361">
        <f t="shared" ca="1" si="38"/>
        <v>0</v>
      </c>
      <c r="K81" s="362">
        <f t="shared" ca="1" si="39"/>
        <v>0</v>
      </c>
    </row>
    <row r="82" spans="2:11">
      <c r="B82" s="495" t="s">
        <v>1609</v>
      </c>
      <c r="C82" s="500" t="s">
        <v>1616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8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89" ca="1" si="40">IF(OR(D82="MDU",D82="MDU-KD"),(IF($O$3="RAB NON MDU","PLN KD",G82*F82)),0)</f>
        <v>0</v>
      </c>
      <c r="I82" s="361">
        <f t="shared" ref="I82:I89" ca="1" si="41">IF(D82="HDW",G82*F82,0)</f>
        <v>0</v>
      </c>
      <c r="J82" s="361">
        <f t="shared" ref="J82:J89" ca="1" si="42">IF(D82="JASA",G82*F82,0)</f>
        <v>0</v>
      </c>
      <c r="K82" s="362">
        <f t="shared" ref="K82:K89" ca="1" si="43">SUM(H82:J82)</f>
        <v>0</v>
      </c>
    </row>
    <row r="83" spans="2:11">
      <c r="B83" s="495" t="s">
        <v>1035</v>
      </c>
      <c r="C83" s="496" t="s">
        <v>1624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14"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0"/>
        <v>0</v>
      </c>
      <c r="I83" s="361">
        <f t="shared" ca="1" si="41"/>
        <v>0</v>
      </c>
      <c r="J83" s="361">
        <f t="shared" ca="1" si="42"/>
        <v>0</v>
      </c>
      <c r="K83" s="362">
        <f t="shared" ca="1" si="43"/>
        <v>0</v>
      </c>
    </row>
    <row r="84" spans="2:11" ht="30">
      <c r="B84" s="511">
        <v>1</v>
      </c>
      <c r="C84" s="109" t="s">
        <v>1197</v>
      </c>
      <c r="D84" s="515" t="s">
        <v>1625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14">
        <f>F83*1</f>
        <v>1</v>
      </c>
      <c r="G84" s="360">
        <f ca="1">IF(ISERROR(OFFSET('HARGA SATUAN'!$I$6,MATCH(RAB!C84,'HARGA SATUAN'!$C$7:$C$1492,0),0)),0,OFFSET('HARGA SATUAN'!$I$6,MATCH(RAB!C84,'HARGA SATUAN'!$C$7:$C$1492,0),0))</f>
        <v>1427400</v>
      </c>
      <c r="H84" s="361">
        <f t="shared" si="40"/>
        <v>0</v>
      </c>
      <c r="I84" s="361">
        <f t="shared" si="41"/>
        <v>0</v>
      </c>
      <c r="J84" s="361">
        <f t="shared" si="42"/>
        <v>0</v>
      </c>
      <c r="K84" s="362">
        <f t="shared" si="43"/>
        <v>0</v>
      </c>
    </row>
    <row r="85" spans="2:11">
      <c r="B85" s="511">
        <v>2</v>
      </c>
      <c r="C85" s="513" t="s">
        <v>514</v>
      </c>
      <c r="D85" s="515" t="s">
        <v>1625</v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14">
        <f>F83*1</f>
        <v>1</v>
      </c>
      <c r="G85" s="360">
        <f ca="1">IF(ISERROR(OFFSET('HARGA SATUAN'!$I$6,MATCH(RAB!C85,'HARGA SATUAN'!$C$7:$C$1492,0),0)),0,OFFSET('HARGA SATUAN'!$I$6,MATCH(RAB!C85,'HARGA SATUAN'!$C$7:$C$1492,0),0))</f>
        <v>3564900</v>
      </c>
      <c r="H85" s="361">
        <f t="shared" si="40"/>
        <v>0</v>
      </c>
      <c r="I85" s="361">
        <f t="shared" si="41"/>
        <v>0</v>
      </c>
      <c r="J85" s="361">
        <f t="shared" si="42"/>
        <v>0</v>
      </c>
      <c r="K85" s="362">
        <f t="shared" si="43"/>
        <v>0</v>
      </c>
    </row>
    <row r="86" spans="2:11">
      <c r="B86" s="511">
        <v>3</v>
      </c>
      <c r="C86" s="513" t="s">
        <v>1142</v>
      </c>
      <c r="D86" s="515" t="s">
        <v>1625</v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514">
        <f>F83*1</f>
        <v>1</v>
      </c>
      <c r="G86" s="360">
        <f ca="1">IF(ISERROR(OFFSET('HARGA SATUAN'!$I$6,MATCH(RAB!C86,'HARGA SATUAN'!$C$7:$C$1492,0),0)),0,OFFSET('HARGA SATUAN'!$I$6,MATCH(RAB!C86,'HARGA SATUAN'!$C$7:$C$1492,0),0))</f>
        <v>1113900</v>
      </c>
      <c r="H86" s="361">
        <f t="shared" si="40"/>
        <v>0</v>
      </c>
      <c r="I86" s="361">
        <f t="shared" si="41"/>
        <v>0</v>
      </c>
      <c r="J86" s="361">
        <f t="shared" si="42"/>
        <v>0</v>
      </c>
      <c r="K86" s="362">
        <f t="shared" si="43"/>
        <v>0</v>
      </c>
    </row>
    <row r="87" spans="2:11">
      <c r="B87" s="511">
        <v>4</v>
      </c>
      <c r="C87" s="109" t="s">
        <v>78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Mtr</v>
      </c>
      <c r="F87" s="514">
        <v>50</v>
      </c>
      <c r="G87" s="360">
        <f ca="1">IF(ISERROR(OFFSET('HARGA SATUAN'!$I$6,MATCH(RAB!C87,'HARGA SATUAN'!$C$7:$C$1492,0),0)),0,OFFSET('HARGA SATUAN'!$I$6,MATCH(RAB!C87,'HARGA SATUAN'!$C$7:$C$1492,0),0))</f>
        <v>23600</v>
      </c>
      <c r="H87" s="361">
        <f t="shared" ca="1" si="40"/>
        <v>0</v>
      </c>
      <c r="I87" s="361">
        <f t="shared" ca="1" si="41"/>
        <v>1180000</v>
      </c>
      <c r="J87" s="361">
        <f t="shared" ca="1" si="42"/>
        <v>0</v>
      </c>
      <c r="K87" s="362">
        <f t="shared" ca="1" si="43"/>
        <v>1180000</v>
      </c>
    </row>
    <row r="88" spans="2:11">
      <c r="B88" s="511">
        <v>5</v>
      </c>
      <c r="C88" s="513" t="s">
        <v>799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514">
        <f>F83*1</f>
        <v>1</v>
      </c>
      <c r="G88" s="360">
        <f ca="1">IF(ISERROR(OFFSET('HARGA SATUAN'!$I$6,MATCH(RAB!C88,'HARGA SATUAN'!$C$7:$C$1492,0),0)),0,OFFSET('HARGA SATUAN'!$I$6,MATCH(RAB!C88,'HARGA SATUAN'!$C$7:$C$1492,0),0))</f>
        <v>106400</v>
      </c>
      <c r="H88" s="361">
        <f t="shared" ca="1" si="40"/>
        <v>0</v>
      </c>
      <c r="I88" s="361">
        <f t="shared" ca="1" si="41"/>
        <v>0</v>
      </c>
      <c r="J88" s="361">
        <f t="shared" ca="1" si="42"/>
        <v>106400</v>
      </c>
      <c r="K88" s="362">
        <f t="shared" ca="1" si="43"/>
        <v>106400</v>
      </c>
    </row>
    <row r="89" spans="2:11">
      <c r="B89" s="374">
        <v>6</v>
      </c>
      <c r="C89" s="513" t="s">
        <v>982</v>
      </c>
      <c r="D89" s="358" t="str">
        <f ca="1">IF(ISERROR(OFFSET('HARGA SATUAN'!$D$6,MATCH(RAB!C89,'HARGA SATUAN'!$C$7:$C$1492,0),0)),"",OFFSET('HARGA SATUAN'!$D$6,MATCH(RAB!C89,'HARGA SATUAN'!$C$7:$C$1492,0),0))</f>
        <v>JASA</v>
      </c>
      <c r="E89" s="359" t="str">
        <f ca="1">IF(B89="+","Unit",IF(ISERROR(OFFSET('HARGA SATUAN'!$E$6,MATCH(RAB!C89,'HARGA SATUAN'!$C$7:$C$1492,0),0)),"",OFFSET('HARGA SATUAN'!$E$6,MATCH(RAB!C89,'HARGA SATUAN'!$C$7:$C$1492,0),0)))</f>
        <v>Unit</v>
      </c>
      <c r="F89" s="368">
        <v>1</v>
      </c>
      <c r="G89" s="360">
        <f ca="1">IF(ISERROR(OFFSET('HARGA SATUAN'!$I$6,MATCH(RAB!C89,'HARGA SATUAN'!$C$7:$C$1492,0),0)),0,OFFSET('HARGA SATUAN'!$I$6,MATCH(RAB!C89,'HARGA SATUAN'!$C$7:$C$1492,0),0))</f>
        <v>63840</v>
      </c>
      <c r="H89" s="361">
        <f t="shared" ca="1" si="40"/>
        <v>0</v>
      </c>
      <c r="I89" s="361">
        <f t="shared" ca="1" si="41"/>
        <v>0</v>
      </c>
      <c r="J89" s="361">
        <f t="shared" ca="1" si="42"/>
        <v>63840</v>
      </c>
      <c r="K89" s="362">
        <f t="shared" ca="1" si="43"/>
        <v>63840</v>
      </c>
    </row>
    <row r="90" spans="2:11">
      <c r="B90" s="374"/>
      <c r="C90" s="513"/>
      <c r="D90" s="358"/>
      <c r="E90" s="359"/>
      <c r="F90" s="368"/>
      <c r="G90" s="360"/>
      <c r="H90" s="361"/>
      <c r="I90" s="361"/>
      <c r="J90" s="361"/>
      <c r="K90" s="362"/>
    </row>
    <row r="91" spans="2:11">
      <c r="B91" s="366" t="s">
        <v>22</v>
      </c>
      <c r="C91" s="367" t="s">
        <v>1611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" ca="1" si="44">IF(OR(D91="MDU",D91="MDU-KD"),(IF($O$3="RAB NON MDU","PLN KD",G91*F91)),0)</f>
        <v>0</v>
      </c>
      <c r="I91" s="361">
        <f t="shared" ref="I91" ca="1" si="45">IF(D91="HDW",G91*F91,0)</f>
        <v>0</v>
      </c>
      <c r="J91" s="361">
        <f t="shared" ref="J91" ca="1" si="46">IF(D91="JASA",G91*F91,0)</f>
        <v>0</v>
      </c>
      <c r="K91" s="362">
        <f t="shared" ref="K91" ca="1" si="47">SUM(H91:J91)</f>
        <v>0</v>
      </c>
    </row>
    <row r="92" spans="2:11">
      <c r="B92" s="374"/>
      <c r="C92" s="373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368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93" ca="1" si="48">IF(OR(D92="MDU",D92="MDU-KD"),(IF($O$3="RAB NON MDU","PLN KD",G92*F92)),0)</f>
        <v>0</v>
      </c>
      <c r="I92" s="361">
        <f t="shared" ref="I92:I93" ca="1" si="49">IF(D92="HDW",G92*F92,0)</f>
        <v>0</v>
      </c>
      <c r="J92" s="361">
        <f t="shared" ref="J92:J93" ca="1" si="50">IF(D92="JASA",G92*F92,0)</f>
        <v>0</v>
      </c>
      <c r="K92" s="362">
        <f t="shared" ref="K92:K93" ca="1" si="51">SUM(H92:J92)</f>
        <v>0</v>
      </c>
    </row>
    <row r="93" spans="2:11">
      <c r="B93" s="375"/>
      <c r="C93" s="376" t="s">
        <v>475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368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48"/>
        <v>0</v>
      </c>
      <c r="I93" s="361">
        <f t="shared" ca="1" si="49"/>
        <v>0</v>
      </c>
      <c r="J93" s="361">
        <f t="shared" ca="1" si="50"/>
        <v>0</v>
      </c>
      <c r="K93" s="362">
        <f t="shared" ca="1" si="51"/>
        <v>0</v>
      </c>
    </row>
    <row r="94" spans="2:11">
      <c r="B94" s="378">
        <v>1</v>
      </c>
      <c r="C94" s="379" t="s">
        <v>1091</v>
      </c>
      <c r="D94" s="380" t="str">
        <f ca="1">IF(ISERROR(OFFSET('HARGA SATUAN'!$D$6,MATCH(RAB!C94,'HARGA SATUAN'!$C$7:$C$1492,0),0)),"",OFFSET('HARGA SATUAN'!$D$6,MATCH(RAB!C94,'HARGA SATUAN'!$C$7:$C$1492,0),0))</f>
        <v>JASA</v>
      </c>
      <c r="E94" s="381" t="str">
        <f ca="1">IF(ISERROR(OFFSET('HARGA SATUAN'!$E$6,MATCH(RAB!C94,'HARGA SATUAN'!$C$7:$C$1492,0),0)),"",OFFSET('HARGA SATUAN'!$E$6,MATCH(RAB!C94,'HARGA SATUAN'!$C$7:$C$1492,0),0))</f>
        <v>Lot</v>
      </c>
      <c r="F94" s="382">
        <v>1</v>
      </c>
      <c r="G94" s="383">
        <f ca="1">IF(ISERROR(OFFSET('HARGA SATUAN'!$I$6,MATCH(RAB!C94,'HARGA SATUAN'!$C$7:$C$1492,0),0)),0,OFFSET('HARGA SATUAN'!$I$6,MATCH(RAB!C94,'HARGA SATUAN'!$C$7:$C$1492,0),0))</f>
        <v>2.5000000000000001E-2</v>
      </c>
      <c r="H94" s="384"/>
      <c r="I94" s="384"/>
      <c r="J94" s="384">
        <f ca="1">SUM(K15:K19)*G94</f>
        <v>145000</v>
      </c>
      <c r="K94" s="385">
        <f ca="1">SUM(H94:J94)</f>
        <v>145000</v>
      </c>
    </row>
    <row r="95" spans="2:11">
      <c r="B95" s="386"/>
      <c r="C95" s="387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IF(ISERROR(OFFSET('HARGA SATUAN'!$E$6,MATCH(RAB!C95,'HARGA SATUAN'!$C$7:$C$1492,0),0)),"",OFFSET('HARGA SATUAN'!$E$6,MATCH(RAB!C95,'HARGA SATUAN'!$C$7:$C$1492,0),0))</f>
        <v/>
      </c>
      <c r="F95" s="377"/>
      <c r="G95" s="360" t="str">
        <f ca="1">IF(ISERROR(OFFSET('HARGA SATUAN'!$I$6,MATCH(RAB!C95,'HARGA SATUAN'!$C$7:$C$1492,0),0)),"",OFFSET('HARGA SATUAN'!$I$6,MATCH(RAB!C95,'HARGA SATUAN'!$C$7:$C$1492,0),0))</f>
        <v/>
      </c>
      <c r="H95" s="361">
        <f ca="1">IF(OR(D95="MDU",D95="MDU-KD"),IF(G95="PLN",0,G95*F95),0)</f>
        <v>0</v>
      </c>
      <c r="I95" s="361">
        <f ca="1">IF(D95="HDW",IF(G95="PLN",0,G95*F95),0)</f>
        <v>0</v>
      </c>
      <c r="J95" s="361">
        <f ca="1">IF(D95="JASA",IF(G95="PLN",0,G95*F95),0)</f>
        <v>0</v>
      </c>
      <c r="K95" s="362">
        <f ca="1">SUM(H95:J95)</f>
        <v>0</v>
      </c>
    </row>
    <row r="96" spans="2:11" ht="15.75" thickBot="1">
      <c r="B96" s="388"/>
      <c r="C96" s="389"/>
      <c r="D96" s="390"/>
      <c r="E96" s="391"/>
      <c r="F96" s="391"/>
      <c r="G96" s="391"/>
      <c r="H96" s="392"/>
      <c r="I96" s="392"/>
      <c r="J96" s="392"/>
      <c r="K96" s="393"/>
    </row>
    <row r="97" spans="2:13">
      <c r="B97" s="394"/>
      <c r="C97" s="634" t="s">
        <v>1008</v>
      </c>
      <c r="D97" s="634"/>
      <c r="E97" s="634"/>
      <c r="F97" s="634"/>
      <c r="G97" s="395" t="s">
        <v>9</v>
      </c>
      <c r="H97" s="396">
        <f ca="1">SUM(H14:H95)</f>
        <v>48301650</v>
      </c>
      <c r="I97" s="396">
        <f ca="1">SUM(I14:I95)</f>
        <v>16626656</v>
      </c>
      <c r="J97" s="396">
        <f ca="1">SUM(J14:J95)</f>
        <v>1970180</v>
      </c>
      <c r="K97" s="396">
        <f ca="1">SUM(K14:K95)</f>
        <v>66898486</v>
      </c>
    </row>
    <row r="98" spans="2:13">
      <c r="B98" s="398"/>
      <c r="C98" s="617" t="s">
        <v>1457</v>
      </c>
      <c r="D98" s="617"/>
      <c r="E98" s="617"/>
      <c r="F98" s="617"/>
      <c r="G98" s="399" t="s">
        <v>9</v>
      </c>
      <c r="H98" s="400">
        <f ca="1">H97*0.11</f>
        <v>5313181.5</v>
      </c>
      <c r="I98" s="400">
        <f ca="1">I97*0.11</f>
        <v>1828932.16</v>
      </c>
      <c r="J98" s="400">
        <f ca="1">J97*0.11</f>
        <v>216719.8</v>
      </c>
      <c r="K98" s="400">
        <f ca="1">K97*0.11</f>
        <v>7358833.46</v>
      </c>
    </row>
    <row r="99" spans="2:13" ht="15.75" thickBot="1">
      <c r="B99" s="398"/>
      <c r="C99" s="615" t="s">
        <v>463</v>
      </c>
      <c r="D99" s="615"/>
      <c r="E99" s="615"/>
      <c r="F99" s="615"/>
      <c r="G99" s="401" t="s">
        <v>9</v>
      </c>
      <c r="H99" s="402">
        <f ca="1">SUM(H97:H98)</f>
        <v>53614831.5</v>
      </c>
      <c r="I99" s="402">
        <f ca="1">SUM(I97:I98)</f>
        <v>18455588.16</v>
      </c>
      <c r="J99" s="401">
        <f ca="1">SUM(J97:J98)</f>
        <v>2186899.7999999998</v>
      </c>
      <c r="K99" s="401">
        <f ca="1">SUM(K97:K98)</f>
        <v>74257319.459999993</v>
      </c>
      <c r="M99" s="484"/>
    </row>
    <row r="100" spans="2:13">
      <c r="B100" s="618" t="str">
        <f ca="1">"Terbilang : "&amp;PROPER(IF(K99=0,"nol",IF(K99&lt;0,"minus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IF(--MID(TEXT(ABS(K99),"000000000000000"),1,3)=0,"",MID(TEXT(ABS(K99),"000000000000000"),1,1)&amp;" ratus "&amp;MID(TEXT(ABS(K99),"000000000000000"),2,1)&amp;" puluh "&amp;MID(TEXT(ABS(K99),"000000000000000"),3,1)&amp;" trilyun ")&amp; IF(--MID(TEXT(ABS(K99),"000000000000000"),4,3)=0,"",MID(TEXT(ABS(K99),"000000000000000"),4,1)&amp;" ratus "&amp;MID(TEXT(ABS(K99),"000000000000000"),5,1)&amp;" puluh "&amp;MID(TEXT(ABS(K99),"000000000000000"),6,1)&amp;" milyar ")&amp; IF(--MID(TEXT(ABS(K99),"000000000000000"),7,3)=0,"",MID(TEXT(ABS(K99),"000000000000000"),7,1)&amp;" ratus "&amp;MID(TEXT(ABS(K99),"000000000000000"),8,1)&amp;" puluh "&amp;MID(TEXT(ABS(K99),"000000000000000"),9,1)&amp;" juta ")&amp; IF(--MID(TEXT(ABS(K99),"000000000000000"),10,3)=0,"",IF(--MID(TEXT(ABS(K99),"000000000000000"),10,3)=1,"*",MID(TEXT(ABS(K99),"000000000000000"),10,1)&amp;" ratus "&amp;MID(TEXT(ABS(K99),"000000000000000"),11,1)&amp;" puluh ")&amp;MID(TEXT(ABS(K99),"000000000000000"),12,1)&amp;" ribu ")&amp; IF(--MID(TEXT(ABS(K99),"000000000000000"),13,3)=0,"",MID(TEXT(ABS(K99),"000000000000000"),13,1)&amp;" ratus "&amp;MID(TEXT(ABS(K99),"000000000000000"),14,1)&amp;" puluh "&amp;MID(TEXT(ABS(K99),"000000000000000"),15,1)),1,"satu"),2,"dua"),3,"tiga"),4,"empat"),5,"lima"),6,"enam"),7,"tujuh"),8,"delapan"),9,"sembilan"),"0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Empat Juta Dua Ratus Lima Puluh Tujuh Ribu Tiga Ratus Sembilan Belas Rupiah</v>
      </c>
      <c r="C100" s="619"/>
      <c r="D100" s="619"/>
      <c r="E100" s="619"/>
      <c r="F100" s="619"/>
      <c r="G100" s="619"/>
      <c r="H100" s="619"/>
      <c r="I100" s="619"/>
      <c r="J100" s="619"/>
      <c r="K100" s="620"/>
    </row>
    <row r="101" spans="2:13">
      <c r="B101" s="621"/>
      <c r="C101" s="622"/>
      <c r="D101" s="622"/>
      <c r="E101" s="622"/>
      <c r="F101" s="622"/>
      <c r="G101" s="622"/>
      <c r="H101" s="622"/>
      <c r="I101" s="622"/>
      <c r="J101" s="622"/>
      <c r="K101" s="623"/>
    </row>
    <row r="102" spans="2:13" ht="15.75" thickBot="1">
      <c r="B102" s="403" t="str">
        <f>"Harga yang dipakai adalah "&amp;'HARGA SATUAN'!I5&amp;""</f>
        <v>Harga yang dipakai adalah RAB HSS 2023</v>
      </c>
      <c r="C102" s="404"/>
      <c r="D102" s="405"/>
      <c r="E102" s="405"/>
      <c r="F102" s="405"/>
      <c r="G102" s="406"/>
      <c r="H102" s="406"/>
      <c r="I102" s="406"/>
      <c r="J102" s="406"/>
      <c r="K102" s="407"/>
    </row>
    <row r="103" spans="2:13">
      <c r="C103" s="408"/>
      <c r="E103" s="410"/>
      <c r="F103" s="410"/>
      <c r="G103" s="410"/>
    </row>
    <row r="104" spans="2:13">
      <c r="C104" s="337"/>
      <c r="E104" s="410"/>
      <c r="F104" s="410"/>
      <c r="G104" s="410"/>
      <c r="H104" s="624"/>
      <c r="I104" s="624"/>
      <c r="J104" s="625"/>
      <c r="K104" s="625"/>
    </row>
    <row r="105" spans="2:13">
      <c r="C105" s="337"/>
      <c r="E105" s="410"/>
      <c r="F105" s="410"/>
      <c r="G105" s="410"/>
      <c r="H105" s="411"/>
      <c r="I105" s="614" t="s">
        <v>1628</v>
      </c>
      <c r="J105" s="614"/>
      <c r="K105" s="614"/>
    </row>
    <row r="106" spans="2:13">
      <c r="C106" s="337"/>
      <c r="E106" s="410"/>
      <c r="F106" s="410"/>
      <c r="G106" s="410"/>
      <c r="H106" s="411"/>
      <c r="I106" s="614" t="s">
        <v>1629</v>
      </c>
      <c r="J106" s="614"/>
      <c r="K106" s="614"/>
    </row>
    <row r="107" spans="2:13">
      <c r="C107" s="337"/>
      <c r="E107" s="410"/>
      <c r="F107" s="410"/>
      <c r="G107" s="410"/>
      <c r="H107" s="412"/>
      <c r="I107" s="413"/>
      <c r="J107" s="413"/>
      <c r="K107" s="413"/>
    </row>
    <row r="108" spans="2:13">
      <c r="C108" s="337"/>
      <c r="E108" s="410"/>
      <c r="F108" s="410"/>
      <c r="G108" s="410"/>
      <c r="H108" s="412"/>
      <c r="I108" s="412"/>
      <c r="J108" s="412"/>
      <c r="K108" s="412"/>
    </row>
    <row r="109" spans="2:13">
      <c r="C109" s="337"/>
      <c r="E109" s="410"/>
      <c r="F109" s="410"/>
      <c r="G109" s="410"/>
      <c r="H109" s="412"/>
      <c r="I109" s="412"/>
      <c r="J109" s="412"/>
      <c r="K109" s="412"/>
    </row>
    <row r="110" spans="2:13">
      <c r="C110" s="337"/>
      <c r="E110" s="410"/>
      <c r="F110" s="410"/>
      <c r="G110" s="410"/>
      <c r="H110" s="412"/>
      <c r="I110" s="412"/>
      <c r="J110" s="412"/>
      <c r="K110" s="412"/>
    </row>
    <row r="111" spans="2:13">
      <c r="C111" s="337"/>
      <c r="E111" s="410"/>
      <c r="F111" s="410"/>
      <c r="G111" s="410"/>
      <c r="H111" s="414"/>
      <c r="I111" s="614" t="s">
        <v>1630</v>
      </c>
      <c r="J111" s="614"/>
      <c r="K111" s="614"/>
    </row>
    <row r="112" spans="2:13">
      <c r="C112" s="408"/>
      <c r="E112" s="410"/>
      <c r="F112" s="410"/>
      <c r="G112" s="410"/>
      <c r="H112" s="412"/>
      <c r="I112" s="412"/>
      <c r="J112" s="412"/>
      <c r="K112" s="412"/>
    </row>
    <row r="113" spans="3:11">
      <c r="C113" s="408"/>
      <c r="E113" s="410"/>
      <c r="F113" s="410"/>
      <c r="G113" s="410"/>
      <c r="H113" s="412"/>
      <c r="I113" s="412"/>
      <c r="J113" s="412"/>
      <c r="K113" s="412"/>
    </row>
    <row r="114" spans="3:11">
      <c r="C114" s="408"/>
      <c r="E114" s="410"/>
      <c r="F114" s="410"/>
      <c r="G114" s="410"/>
      <c r="H114" s="412"/>
      <c r="I114" s="412"/>
      <c r="J114" s="412"/>
      <c r="K114" s="412"/>
    </row>
  </sheetData>
  <sheetProtection sort="0" autoFilter="0"/>
  <protectedRanges>
    <protectedRange sqref="B92 B83:B90" name="Range1_1"/>
    <protectedRange sqref="F82:F93 F14:F48" name="Range1_1_2_2"/>
    <protectedRange sqref="C92 C83:C86 C88:C90" name="Range1_1_1"/>
    <protectedRange sqref="B58:C68 B51:C52 B57 B81:C82 B53 B50 B48:C49 B54:C56 B69:B70" name="Range1_6_2"/>
    <protectedRange sqref="C69:C70" name="Range1_1_3_2"/>
    <protectedRange sqref="C57" name="Range1_1_3_3"/>
    <protectedRange sqref="C53" name="Range1_1_3_10"/>
    <protectedRange sqref="C87" name="Range1_1_3_13"/>
    <protectedRange sqref="C17" name="Range1_1_3_14"/>
    <protectedRange sqref="C32" name="Range1_1_3_15"/>
    <protectedRange sqref="C33" name="Range1_1_3_16"/>
    <protectedRange sqref="C50" name="Range1_1_3"/>
  </protectedRanges>
  <mergeCells count="22">
    <mergeCell ref="O3:P4"/>
    <mergeCell ref="B4:K4"/>
    <mergeCell ref="C97:F97"/>
    <mergeCell ref="B11:B13"/>
    <mergeCell ref="C11:C13"/>
    <mergeCell ref="D11:D13"/>
    <mergeCell ref="E11:E13"/>
    <mergeCell ref="F11:F13"/>
    <mergeCell ref="G11:G13"/>
    <mergeCell ref="I12:I13"/>
    <mergeCell ref="I106:K106"/>
    <mergeCell ref="I111:K111"/>
    <mergeCell ref="C99:F99"/>
    <mergeCell ref="G6:K6"/>
    <mergeCell ref="I105:K105"/>
    <mergeCell ref="C98:F98"/>
    <mergeCell ref="B100:K101"/>
    <mergeCell ref="H104:K104"/>
    <mergeCell ref="H11:K11"/>
    <mergeCell ref="H12:H13"/>
    <mergeCell ref="J12:J13"/>
    <mergeCell ref="K12:K13"/>
  </mergeCells>
  <phoneticPr fontId="138" type="noConversion"/>
  <conditionalFormatting sqref="C15">
    <cfRule type="cellIs" dxfId="20" priority="468" operator="equal">
      <formula>0</formula>
    </cfRule>
  </conditionalFormatting>
  <conditionalFormatting sqref="C19">
    <cfRule type="cellIs" dxfId="19" priority="95" operator="equal">
      <formula>0</formula>
    </cfRule>
  </conditionalFormatting>
  <conditionalFormatting sqref="C47">
    <cfRule type="cellIs" dxfId="18" priority="93" operator="equal">
      <formula>0</formula>
    </cfRule>
  </conditionalFormatting>
  <conditionalFormatting sqref="C91">
    <cfRule type="cellIs" dxfId="17" priority="91" operator="equal">
      <formula>0</formula>
    </cfRule>
  </conditionalFormatting>
  <conditionalFormatting sqref="E1:E3 G1:G13 E5:E13 H12:I12 O13 E94:G94 H94:K96 E95:H95 E96:F96 E89:K93 S14:V19 E14:K30 E31:E45 G31:K45 E46:K48">
    <cfRule type="cellIs" dxfId="16" priority="1048" stopIfTrue="1" operator="equal">
      <formula>0</formula>
    </cfRule>
  </conditionalFormatting>
  <conditionalFormatting sqref="E71:K82 E83:E88 G83:K88 E49:E70 G49:K70">
    <cfRule type="cellIs" dxfId="15" priority="20" stopIfTrue="1" operator="equal">
      <formula>0</formula>
    </cfRule>
  </conditionalFormatting>
  <conditionalFormatting sqref="G95:G65561 E100:E65561">
    <cfRule type="cellIs" dxfId="14" priority="182" stopIfTrue="1" operator="equal">
      <formula>0</formula>
    </cfRule>
  </conditionalFormatting>
  <conditionalFormatting sqref="C54">
    <cfRule type="cellIs" dxfId="13" priority="17" operator="equal">
      <formula>0</formula>
    </cfRule>
  </conditionalFormatting>
  <conditionalFormatting sqref="F49:F70">
    <cfRule type="cellIs" dxfId="12" priority="16" stopIfTrue="1" operator="equal">
      <formula>0</formula>
    </cfRule>
  </conditionalFormatting>
  <conditionalFormatting sqref="C57">
    <cfRule type="cellIs" dxfId="11" priority="15" operator="equal">
      <formula>0</formula>
    </cfRule>
  </conditionalFormatting>
  <conditionalFormatting sqref="C53">
    <cfRule type="cellIs" dxfId="10" priority="14" operator="equal">
      <formula>0</formula>
    </cfRule>
  </conditionalFormatting>
  <conditionalFormatting sqref="F83:F88">
    <cfRule type="cellIs" dxfId="9" priority="12" stopIfTrue="1" operator="equal">
      <formula>0</formula>
    </cfRule>
  </conditionalFormatting>
  <conditionalFormatting sqref="C84">
    <cfRule type="cellIs" dxfId="8" priority="11" operator="equal">
      <formula>0</formula>
    </cfRule>
  </conditionalFormatting>
  <conditionalFormatting sqref="C69:C70">
    <cfRule type="cellIs" dxfId="6" priority="9" operator="equal">
      <formula>0</formula>
    </cfRule>
  </conditionalFormatting>
  <conditionalFormatting sqref="C87">
    <cfRule type="cellIs" dxfId="5" priority="8" operator="equal">
      <formula>0</formula>
    </cfRule>
  </conditionalFormatting>
  <conditionalFormatting sqref="C17">
    <cfRule type="cellIs" dxfId="4" priority="7" operator="equal">
      <formula>0</formula>
    </cfRule>
  </conditionalFormatting>
  <conditionalFormatting sqref="F31:F45">
    <cfRule type="cellIs" dxfId="3" priority="4" stopIfTrue="1" operator="equal">
      <formula>0</formula>
    </cfRule>
  </conditionalFormatting>
  <conditionalFormatting sqref="C32">
    <cfRule type="cellIs" dxfId="2" priority="3" operator="equal">
      <formula>0</formula>
    </cfRule>
  </conditionalFormatting>
  <conditionalFormatting sqref="C33">
    <cfRule type="cellIs" dxfId="1" priority="2" operator="equal">
      <formula>0</formula>
    </cfRule>
  </conditionalFormatting>
  <conditionalFormatting sqref="C5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51:C52 F21:F81 H14:K9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E45" zoomScale="145" zoomScaleNormal="115" zoomScaleSheetLayoutView="14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7" t="s">
        <v>1439</v>
      </c>
      <c r="X2" s="698"/>
      <c r="Y2" s="698"/>
      <c r="Z2" s="698"/>
      <c r="AA2" s="698"/>
      <c r="AB2" s="698"/>
      <c r="AC2" s="698"/>
      <c r="AD2" s="699"/>
    </row>
    <row r="3" spans="3:30">
      <c r="C3" s="238"/>
      <c r="W3" s="700"/>
      <c r="X3" s="701"/>
      <c r="Y3" s="701"/>
      <c r="Z3" s="701"/>
      <c r="AA3" s="701"/>
      <c r="AB3" s="701"/>
      <c r="AC3" s="701"/>
      <c r="AD3" s="70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90" t="s">
        <v>1620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95"/>
      <c r="Y19" s="695"/>
      <c r="Z19" s="695"/>
      <c r="AA19" s="695"/>
      <c r="AB19" s="695"/>
      <c r="AC19" s="695"/>
      <c r="AD19" s="696"/>
    </row>
    <row r="20" spans="3:30">
      <c r="C20" s="238"/>
      <c r="W20" s="682" t="s">
        <v>992</v>
      </c>
      <c r="X20" s="683"/>
      <c r="Y20" s="683"/>
      <c r="Z20" s="683"/>
      <c r="AA20" s="683"/>
      <c r="AB20" s="683"/>
      <c r="AC20" s="683"/>
      <c r="AD20" s="684"/>
    </row>
    <row r="21" spans="3:30">
      <c r="C21" s="238"/>
      <c r="W21" s="685" t="s">
        <v>985</v>
      </c>
      <c r="X21" s="686"/>
      <c r="Y21" s="686"/>
      <c r="Z21" s="687"/>
      <c r="AA21" s="688" t="s">
        <v>986</v>
      </c>
      <c r="AB21" s="689"/>
      <c r="AC21" s="689"/>
      <c r="AD21" s="690"/>
    </row>
    <row r="22" spans="3:30">
      <c r="C22" s="238"/>
      <c r="W22" s="691"/>
      <c r="X22" s="692"/>
      <c r="Y22" s="492"/>
      <c r="Z22" s="493"/>
      <c r="AA22" s="693"/>
      <c r="AB22" s="694"/>
      <c r="AC22" s="248"/>
      <c r="AD22" s="249"/>
    </row>
    <row r="23" spans="3:30">
      <c r="C23" s="238"/>
      <c r="W23" s="691"/>
      <c r="X23" s="692"/>
      <c r="Y23" s="492"/>
      <c r="Z23" s="493"/>
      <c r="AA23" s="680"/>
      <c r="AB23" s="681"/>
      <c r="AC23" s="248"/>
      <c r="AD23" s="249"/>
    </row>
    <row r="24" spans="3:30">
      <c r="C24" s="238"/>
      <c r="W24" s="675"/>
      <c r="X24" s="677"/>
      <c r="Y24" s="246"/>
      <c r="Z24" s="247"/>
      <c r="AA24" s="678"/>
      <c r="AB24" s="679"/>
      <c r="AC24" s="248"/>
      <c r="AD24" s="249"/>
    </row>
    <row r="25" spans="3:30">
      <c r="C25" s="238"/>
      <c r="W25" s="675"/>
      <c r="X25" s="677"/>
      <c r="Y25" s="246"/>
      <c r="Z25" s="247"/>
      <c r="AA25" s="680"/>
      <c r="AB25" s="681"/>
      <c r="AC25" s="248"/>
      <c r="AD25" s="249"/>
    </row>
    <row r="26" spans="3:30">
      <c r="C26" s="238"/>
      <c r="W26" s="480"/>
      <c r="X26" s="481"/>
      <c r="Y26" s="246"/>
      <c r="Z26" s="247"/>
      <c r="AA26" s="680"/>
      <c r="AB26" s="681"/>
      <c r="AC26" s="248"/>
      <c r="AD26" s="249"/>
    </row>
    <row r="27" spans="3:30">
      <c r="C27" s="238"/>
      <c r="W27" s="480"/>
      <c r="X27" s="481"/>
      <c r="Y27" s="246"/>
      <c r="Z27" s="247"/>
      <c r="AA27" s="674"/>
      <c r="AB27" s="669"/>
      <c r="AC27" s="248"/>
      <c r="AD27" s="249"/>
    </row>
    <row r="28" spans="3:30">
      <c r="C28" s="238"/>
      <c r="W28" s="480"/>
      <c r="X28" s="481"/>
      <c r="Y28" s="246"/>
      <c r="Z28" s="247"/>
      <c r="AA28" s="674"/>
      <c r="AB28" s="669"/>
      <c r="AC28" s="248"/>
      <c r="AD28" s="249"/>
    </row>
    <row r="29" spans="3:30">
      <c r="C29" s="238"/>
      <c r="W29" s="480"/>
      <c r="X29" s="481"/>
      <c r="Y29" s="246"/>
      <c r="Z29" s="247"/>
      <c r="AA29" s="674"/>
      <c r="AB29" s="66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4"/>
      <c r="AB30" s="66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4"/>
      <c r="AB31" s="66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4"/>
      <c r="AB32" s="669"/>
      <c r="AC32" s="248"/>
      <c r="AD32" s="249"/>
    </row>
    <row r="33" spans="3:30">
      <c r="C33" s="238"/>
      <c r="W33" s="480"/>
      <c r="X33" s="481"/>
      <c r="Y33" s="246"/>
      <c r="Z33" s="247"/>
      <c r="AA33" s="674"/>
      <c r="AB33" s="669"/>
      <c r="AC33" s="248"/>
      <c r="AD33" s="249"/>
    </row>
    <row r="34" spans="3:30">
      <c r="C34" s="238"/>
      <c r="W34" s="480"/>
      <c r="X34" s="481"/>
      <c r="Y34" s="246"/>
      <c r="Z34" s="247"/>
      <c r="AA34" s="674"/>
      <c r="AB34" s="669"/>
      <c r="AC34" s="248"/>
      <c r="AD34" s="249"/>
    </row>
    <row r="35" spans="3:30">
      <c r="C35" s="238"/>
      <c r="W35" s="675"/>
      <c r="X35" s="676"/>
      <c r="Y35" s="246"/>
      <c r="Z35" s="247"/>
      <c r="AA35" s="674"/>
      <c r="AB35" s="669"/>
      <c r="AC35" s="248"/>
      <c r="AD35" s="249"/>
    </row>
    <row r="36" spans="3:30">
      <c r="C36" s="238"/>
      <c r="W36" s="666"/>
      <c r="X36" s="667"/>
      <c r="Y36" s="246"/>
      <c r="Z36" s="251"/>
      <c r="AA36" s="668"/>
      <c r="AB36" s="669"/>
      <c r="AC36" s="248"/>
      <c r="AD36" s="249"/>
    </row>
    <row r="37" spans="3:30" ht="12.75" customHeight="1">
      <c r="C37" s="238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0"/>
      <c r="X39" s="671"/>
      <c r="Y39" s="254"/>
      <c r="Z39" s="257"/>
      <c r="AA39" s="662"/>
      <c r="AB39" s="663"/>
      <c r="AC39" s="252"/>
      <c r="AD39" s="253"/>
    </row>
    <row r="40" spans="3:30" ht="12" customHeight="1">
      <c r="C40" s="238"/>
      <c r="W40" s="658"/>
      <c r="X40" s="65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0"/>
      <c r="X41" s="661"/>
      <c r="Y41" s="260"/>
      <c r="Z41" s="261"/>
      <c r="AA41" s="662"/>
      <c r="AB41" s="663"/>
      <c r="AC41" s="252"/>
      <c r="AD41" s="253"/>
    </row>
    <row r="42" spans="3:30" ht="12" customHeight="1">
      <c r="C42" s="238"/>
      <c r="W42" s="664" t="s">
        <v>1456</v>
      </c>
      <c r="X42" s="665"/>
      <c r="Y42" s="665"/>
      <c r="Z42" s="66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3" t="s">
        <v>11</v>
      </c>
      <c r="X44" s="644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3" t="s">
        <v>984</v>
      </c>
      <c r="X45" s="644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3" t="s">
        <v>15</v>
      </c>
      <c r="X46" s="644"/>
      <c r="Y46" s="657"/>
      <c r="Z46" s="657"/>
      <c r="AA46" s="657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1" t="s">
        <v>17</v>
      </c>
      <c r="X47" s="651"/>
      <c r="Y47" s="651"/>
      <c r="Z47" s="651"/>
      <c r="AA47" s="651"/>
      <c r="AB47" s="651"/>
      <c r="AC47" s="651"/>
      <c r="AD47" s="65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3" t="str">
        <f>RAB!G6</f>
        <v>AGR ENI KUSRINI</v>
      </c>
      <c r="X48" s="653"/>
      <c r="Y48" s="653"/>
      <c r="Z48" s="653"/>
      <c r="AA48" s="653"/>
      <c r="AB48" s="653"/>
      <c r="AC48" s="653"/>
      <c r="AD48" s="65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3"/>
      <c r="X49" s="653"/>
      <c r="Y49" s="653"/>
      <c r="Z49" s="653"/>
      <c r="AA49" s="653"/>
      <c r="AB49" s="653"/>
      <c r="AC49" s="653"/>
      <c r="AD49" s="65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3"/>
      <c r="X50" s="653"/>
      <c r="Y50" s="653"/>
      <c r="Z50" s="653"/>
      <c r="AA50" s="653"/>
      <c r="AB50" s="653"/>
      <c r="AC50" s="653"/>
      <c r="AD50" s="65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5"/>
      <c r="X51" s="655"/>
      <c r="Y51" s="655"/>
      <c r="Z51" s="655"/>
      <c r="AA51" s="655"/>
      <c r="AB51" s="655"/>
      <c r="AC51" s="655"/>
      <c r="AD51" s="65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3" t="s">
        <v>18</v>
      </c>
      <c r="X52" s="644"/>
      <c r="Y52" s="646" t="s">
        <v>1631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3" t="s">
        <v>19</v>
      </c>
      <c r="X53" s="644"/>
      <c r="Y53" s="646" t="s">
        <v>1632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3" t="s">
        <v>20</v>
      </c>
      <c r="X54" s="644"/>
      <c r="Y54" s="645" t="s">
        <v>1633</v>
      </c>
      <c r="Z54" s="645"/>
      <c r="AA54" s="645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8" t="s">
        <v>21</v>
      </c>
      <c r="X55" s="649"/>
      <c r="Y55" s="645" t="s">
        <v>1634</v>
      </c>
      <c r="Z55" s="645"/>
      <c r="AA55" s="645"/>
      <c r="AB55" s="645"/>
      <c r="AC55" s="645"/>
      <c r="AD55" s="65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AC24" sqref="AC2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S14" sqref="S14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2" t="s">
        <v>1620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8"/>
      <c r="Z6" s="428"/>
      <c r="AA6" s="428"/>
      <c r="AB6" s="429"/>
      <c r="AC6" s="429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2023-08-14T01:57:47Z</cp:lastPrinted>
  <dcterms:created xsi:type="dcterms:W3CDTF">2011-02-06T11:57:38Z</dcterms:created>
  <dcterms:modified xsi:type="dcterms:W3CDTF">2023-09-14T08:10:26Z</dcterms:modified>
</cp:coreProperties>
</file>