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3\2. PP\4. PBPD\MoM\C. BP KURANG  DR INVESTASI (PP DIATAS 5 TH)\AGUSTUS\H KUSTIANAH\"/>
    </mc:Choice>
  </mc:AlternateContent>
  <xr:revisionPtr revIDLastSave="0" documentId="8_{7352354F-7E9B-4004-92BF-6A0D959364E9}" xr6:coauthVersionLast="47" xr6:coauthVersionMax="47" xr10:uidLastSave="{00000000-0000-0000-0000-000000000000}"/>
  <bookViews>
    <workbookView xWindow="-120" yWindow="-120" windowWidth="24240" windowHeight="13140" tabRatio="859" firstSheet="5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RAB!$A$1:$K$151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C6" i="62"/>
  <c r="F101" i="11"/>
  <c r="F99" i="11"/>
  <c r="F98" i="11"/>
  <c r="F100" i="11" s="1"/>
  <c r="D97" i="11"/>
  <c r="J97" i="11" s="1"/>
  <c r="E97" i="11"/>
  <c r="G97" i="11"/>
  <c r="D98" i="11"/>
  <c r="J98" i="11" s="1"/>
  <c r="E98" i="11"/>
  <c r="G98" i="11"/>
  <c r="D99" i="11"/>
  <c r="H99" i="11" s="1"/>
  <c r="E99" i="11"/>
  <c r="G99" i="11"/>
  <c r="D100" i="11"/>
  <c r="J100" i="11" s="1"/>
  <c r="E100" i="11"/>
  <c r="G100" i="11"/>
  <c r="D101" i="11"/>
  <c r="E101" i="11"/>
  <c r="G101" i="11"/>
  <c r="D102" i="11"/>
  <c r="J102" i="11" s="1"/>
  <c r="E102" i="11"/>
  <c r="G102" i="11"/>
  <c r="D103" i="11"/>
  <c r="J103" i="11" s="1"/>
  <c r="E103" i="11"/>
  <c r="G103" i="11"/>
  <c r="D104" i="11"/>
  <c r="J104" i="11" s="1"/>
  <c r="E104" i="11"/>
  <c r="G104" i="11"/>
  <c r="F36" i="11"/>
  <c r="F35" i="11"/>
  <c r="F34" i="11"/>
  <c r="F33" i="11"/>
  <c r="F32" i="11"/>
  <c r="F29" i="11"/>
  <c r="F28" i="11"/>
  <c r="F27" i="11"/>
  <c r="F26" i="11"/>
  <c r="F25" i="11"/>
  <c r="D22" i="11"/>
  <c r="H22" i="11" s="1"/>
  <c r="E22" i="11"/>
  <c r="G22" i="11"/>
  <c r="D23" i="11"/>
  <c r="H23" i="11" s="1"/>
  <c r="E23" i="11"/>
  <c r="G23" i="11"/>
  <c r="D24" i="11"/>
  <c r="H24" i="11" s="1"/>
  <c r="E24" i="11"/>
  <c r="G24" i="11"/>
  <c r="D25" i="11"/>
  <c r="H25" i="11" s="1"/>
  <c r="E25" i="11"/>
  <c r="G25" i="11"/>
  <c r="D26" i="11"/>
  <c r="H26" i="11" s="1"/>
  <c r="E26" i="11"/>
  <c r="G26" i="11"/>
  <c r="D27" i="11"/>
  <c r="H27" i="11" s="1"/>
  <c r="E27" i="11"/>
  <c r="G27" i="11"/>
  <c r="D28" i="11"/>
  <c r="H28" i="11" s="1"/>
  <c r="E28" i="11"/>
  <c r="G28" i="11"/>
  <c r="D29" i="11"/>
  <c r="H29" i="11" s="1"/>
  <c r="E29" i="11"/>
  <c r="G29" i="11"/>
  <c r="D30" i="11"/>
  <c r="H30" i="11" s="1"/>
  <c r="E30" i="11"/>
  <c r="G30" i="11"/>
  <c r="D31" i="11"/>
  <c r="H31" i="11" s="1"/>
  <c r="E31" i="11"/>
  <c r="G31" i="11"/>
  <c r="D32" i="11"/>
  <c r="H32" i="11" s="1"/>
  <c r="E32" i="11"/>
  <c r="G32" i="11"/>
  <c r="D33" i="11"/>
  <c r="H33" i="11" s="1"/>
  <c r="E33" i="11"/>
  <c r="G33" i="11"/>
  <c r="D34" i="11"/>
  <c r="H34" i="11" s="1"/>
  <c r="E34" i="11"/>
  <c r="G34" i="11"/>
  <c r="D35" i="11"/>
  <c r="H35" i="11" s="1"/>
  <c r="E35" i="11"/>
  <c r="G35" i="11"/>
  <c r="D36" i="11"/>
  <c r="H36" i="11" s="1"/>
  <c r="E36" i="11"/>
  <c r="G36" i="11"/>
  <c r="D37" i="11"/>
  <c r="H37" i="11" s="1"/>
  <c r="E37" i="11"/>
  <c r="G37" i="11"/>
  <c r="D38" i="11"/>
  <c r="J38" i="11" s="1"/>
  <c r="E38" i="11"/>
  <c r="G38" i="11"/>
  <c r="G18" i="11"/>
  <c r="G19" i="11"/>
  <c r="G20" i="11"/>
  <c r="G21" i="11"/>
  <c r="D18" i="11"/>
  <c r="H18" i="11" s="1"/>
  <c r="E18" i="11"/>
  <c r="D19" i="11"/>
  <c r="E19" i="11"/>
  <c r="F119" i="11"/>
  <c r="F118" i="11"/>
  <c r="F117" i="11"/>
  <c r="F116" i="11"/>
  <c r="F115" i="11"/>
  <c r="F114" i="11"/>
  <c r="F113" i="11"/>
  <c r="F40" i="11"/>
  <c r="K12" i="60"/>
  <c r="G63" i="11"/>
  <c r="G64" i="11"/>
  <c r="G65" i="11"/>
  <c r="G66" i="11"/>
  <c r="D63" i="11"/>
  <c r="H63" i="11" s="1"/>
  <c r="E63" i="11"/>
  <c r="D64" i="11"/>
  <c r="H64" i="11" s="1"/>
  <c r="E64" i="11"/>
  <c r="D65" i="11"/>
  <c r="J65" i="11" s="1"/>
  <c r="E65" i="11"/>
  <c r="I102" i="11" l="1"/>
  <c r="I104" i="11"/>
  <c r="H102" i="11"/>
  <c r="K102" i="11" s="1"/>
  <c r="J99" i="11"/>
  <c r="I97" i="11"/>
  <c r="J101" i="11"/>
  <c r="I100" i="11"/>
  <c r="I99" i="11"/>
  <c r="H97" i="11"/>
  <c r="K97" i="11" s="1"/>
  <c r="I101" i="11"/>
  <c r="H100" i="11"/>
  <c r="H104" i="11"/>
  <c r="I103" i="11"/>
  <c r="H101" i="11"/>
  <c r="K101" i="11" s="1"/>
  <c r="I98" i="11"/>
  <c r="H103" i="11"/>
  <c r="H98" i="11"/>
  <c r="J33" i="11"/>
  <c r="J37" i="11"/>
  <c r="I31" i="11"/>
  <c r="J30" i="11"/>
  <c r="J29" i="11"/>
  <c r="I37" i="11"/>
  <c r="K37" i="11" s="1"/>
  <c r="J34" i="11"/>
  <c r="I35" i="11"/>
  <c r="I27" i="11"/>
  <c r="J26" i="11"/>
  <c r="J25" i="11"/>
  <c r="I24" i="11"/>
  <c r="I23" i="11"/>
  <c r="J22" i="11"/>
  <c r="I28" i="11"/>
  <c r="I25" i="11"/>
  <c r="I34" i="11"/>
  <c r="I30" i="11"/>
  <c r="I26" i="11"/>
  <c r="I22" i="11"/>
  <c r="I36" i="11"/>
  <c r="J35" i="11"/>
  <c r="I33" i="11"/>
  <c r="I32" i="11"/>
  <c r="J31" i="11"/>
  <c r="I29" i="11"/>
  <c r="K29" i="11" s="1"/>
  <c r="J27" i="11"/>
  <c r="J23" i="11"/>
  <c r="J36" i="11"/>
  <c r="J32" i="11"/>
  <c r="J28" i="11"/>
  <c r="J24" i="11"/>
  <c r="I38" i="11"/>
  <c r="H38" i="11"/>
  <c r="J19" i="11"/>
  <c r="J18" i="11"/>
  <c r="H19" i="11"/>
  <c r="I18" i="11"/>
  <c r="I19" i="11"/>
  <c r="J64" i="11"/>
  <c r="I65" i="11"/>
  <c r="H65" i="11"/>
  <c r="I64" i="11"/>
  <c r="J63" i="11"/>
  <c r="I63" i="11"/>
  <c r="K100" i="11" l="1"/>
  <c r="K104" i="11"/>
  <c r="K99" i="11"/>
  <c r="K103" i="11"/>
  <c r="K98" i="11"/>
  <c r="K27" i="11"/>
  <c r="K33" i="11"/>
  <c r="K31" i="11"/>
  <c r="K23" i="11"/>
  <c r="K22" i="11"/>
  <c r="K32" i="11"/>
  <c r="K35" i="11"/>
  <c r="K30" i="11"/>
  <c r="K24" i="11"/>
  <c r="K34" i="11"/>
  <c r="K26" i="11"/>
  <c r="K36" i="11"/>
  <c r="K25" i="11"/>
  <c r="K28" i="11"/>
  <c r="K38" i="11"/>
  <c r="K18" i="11"/>
  <c r="K19" i="11"/>
  <c r="K64" i="11"/>
  <c r="K63" i="11"/>
  <c r="K65" i="11"/>
  <c r="K13" i="60" l="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7" i="11"/>
  <c r="G6" i="11" l="1"/>
  <c r="F62" i="11"/>
  <c r="F61" i="11"/>
  <c r="F60" i="11"/>
  <c r="F59" i="11"/>
  <c r="F56" i="11"/>
  <c r="F55" i="11"/>
  <c r="F54" i="11"/>
  <c r="F53" i="11"/>
  <c r="F50" i="11"/>
  <c r="F49" i="11"/>
  <c r="F48" i="11"/>
  <c r="F47" i="11"/>
  <c r="F46" i="11"/>
  <c r="F45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8" i="11"/>
  <c r="G59" i="11"/>
  <c r="G60" i="11"/>
  <c r="G61" i="11"/>
  <c r="G62" i="11"/>
  <c r="D41" i="11"/>
  <c r="H41" i="11" s="1"/>
  <c r="E41" i="11"/>
  <c r="D42" i="11"/>
  <c r="J42" i="11" s="1"/>
  <c r="E42" i="11"/>
  <c r="D43" i="11"/>
  <c r="I43" i="11" s="1"/>
  <c r="E43" i="11"/>
  <c r="D44" i="11"/>
  <c r="H44" i="11" s="1"/>
  <c r="E44" i="11"/>
  <c r="D45" i="11"/>
  <c r="H45" i="11" s="1"/>
  <c r="E45" i="11"/>
  <c r="D46" i="11"/>
  <c r="J46" i="11" s="1"/>
  <c r="E46" i="11"/>
  <c r="D47" i="11"/>
  <c r="E47" i="11"/>
  <c r="D48" i="11"/>
  <c r="H48" i="11" s="1"/>
  <c r="E48" i="11"/>
  <c r="D49" i="11"/>
  <c r="H49" i="11" s="1"/>
  <c r="E49" i="11"/>
  <c r="D50" i="11"/>
  <c r="J50" i="11" s="1"/>
  <c r="E50" i="11"/>
  <c r="D51" i="11"/>
  <c r="I51" i="11" s="1"/>
  <c r="E51" i="11"/>
  <c r="D52" i="11"/>
  <c r="H52" i="11" s="1"/>
  <c r="E52" i="11"/>
  <c r="D53" i="11"/>
  <c r="H53" i="11" s="1"/>
  <c r="E53" i="11"/>
  <c r="D54" i="11"/>
  <c r="J54" i="11" s="1"/>
  <c r="E54" i="11"/>
  <c r="D55" i="11"/>
  <c r="E55" i="11"/>
  <c r="D56" i="11"/>
  <c r="H56" i="11" s="1"/>
  <c r="E56" i="11"/>
  <c r="D58" i="11"/>
  <c r="H58" i="11" s="1"/>
  <c r="E58" i="11"/>
  <c r="D59" i="11"/>
  <c r="J59" i="11" s="1"/>
  <c r="E59" i="11"/>
  <c r="D60" i="11"/>
  <c r="E60" i="11"/>
  <c r="D61" i="11"/>
  <c r="H61" i="11" s="1"/>
  <c r="E61" i="11"/>
  <c r="D62" i="11"/>
  <c r="H62" i="11" s="1"/>
  <c r="E62" i="11"/>
  <c r="F126" i="11"/>
  <c r="F125" i="11"/>
  <c r="F124" i="11"/>
  <c r="F123" i="11"/>
  <c r="F122" i="11"/>
  <c r="F110" i="11"/>
  <c r="F108" i="11"/>
  <c r="F107" i="11"/>
  <c r="F106" i="11"/>
  <c r="G96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1" i="11"/>
  <c r="G122" i="11"/>
  <c r="G123" i="11"/>
  <c r="G124" i="11"/>
  <c r="G125" i="11"/>
  <c r="G126" i="11"/>
  <c r="G127" i="11"/>
  <c r="G128" i="11"/>
  <c r="G129" i="11"/>
  <c r="D96" i="11"/>
  <c r="H96" i="11" s="1"/>
  <c r="E96" i="11"/>
  <c r="D105" i="11"/>
  <c r="H105" i="11" s="1"/>
  <c r="E105" i="11"/>
  <c r="D106" i="11"/>
  <c r="E106" i="11"/>
  <c r="D107" i="11"/>
  <c r="J107" i="11" s="1"/>
  <c r="E107" i="11"/>
  <c r="D108" i="11"/>
  <c r="E108" i="11"/>
  <c r="D109" i="11"/>
  <c r="E109" i="11"/>
  <c r="D110" i="11"/>
  <c r="H110" i="11" s="1"/>
  <c r="E110" i="11"/>
  <c r="D111" i="11"/>
  <c r="I111" i="11" s="1"/>
  <c r="E111" i="11"/>
  <c r="D112" i="11"/>
  <c r="H112" i="11" s="1"/>
  <c r="E112" i="11"/>
  <c r="D113" i="11"/>
  <c r="H113" i="11" s="1"/>
  <c r="E113" i="11"/>
  <c r="D114" i="11"/>
  <c r="J114" i="11" s="1"/>
  <c r="E114" i="11"/>
  <c r="D115" i="11"/>
  <c r="E115" i="11"/>
  <c r="D116" i="11"/>
  <c r="H116" i="11" s="1"/>
  <c r="E116" i="11"/>
  <c r="D117" i="11"/>
  <c r="H117" i="11" s="1"/>
  <c r="E117" i="11"/>
  <c r="D118" i="11"/>
  <c r="J118" i="11" s="1"/>
  <c r="E118" i="11"/>
  <c r="D119" i="11"/>
  <c r="E119" i="11"/>
  <c r="D121" i="11"/>
  <c r="H121" i="11" s="1"/>
  <c r="E121" i="11"/>
  <c r="D122" i="11"/>
  <c r="H122" i="11" s="1"/>
  <c r="E122" i="11"/>
  <c r="D123" i="11"/>
  <c r="J123" i="11" s="1"/>
  <c r="E123" i="11"/>
  <c r="D124" i="11"/>
  <c r="E124" i="11"/>
  <c r="D125" i="11"/>
  <c r="H125" i="11" s="1"/>
  <c r="E125" i="11"/>
  <c r="D126" i="11"/>
  <c r="H126" i="11" s="1"/>
  <c r="E126" i="11"/>
  <c r="D127" i="11"/>
  <c r="J127" i="11" s="1"/>
  <c r="E127" i="11"/>
  <c r="F95" i="11"/>
  <c r="F94" i="11"/>
  <c r="F93" i="11"/>
  <c r="F92" i="11"/>
  <c r="F91" i="11"/>
  <c r="F90" i="11"/>
  <c r="F89" i="11"/>
  <c r="F88" i="11"/>
  <c r="F87" i="11"/>
  <c r="D66" i="11"/>
  <c r="E66" i="11"/>
  <c r="D67" i="11"/>
  <c r="E67" i="11"/>
  <c r="G67" i="11"/>
  <c r="D68" i="11"/>
  <c r="H68" i="11" s="1"/>
  <c r="E68" i="11"/>
  <c r="G68" i="11"/>
  <c r="D69" i="11"/>
  <c r="J69" i="11" s="1"/>
  <c r="E69" i="11"/>
  <c r="G69" i="11"/>
  <c r="D70" i="11"/>
  <c r="J70" i="11" s="1"/>
  <c r="E70" i="11"/>
  <c r="G70" i="11"/>
  <c r="D71" i="11"/>
  <c r="I71" i="11" s="1"/>
  <c r="E71" i="11"/>
  <c r="G71" i="11"/>
  <c r="D72" i="11"/>
  <c r="I72" i="11" s="1"/>
  <c r="E72" i="11"/>
  <c r="G72" i="11"/>
  <c r="D73" i="11"/>
  <c r="H73" i="11" s="1"/>
  <c r="E73" i="11"/>
  <c r="G73" i="11"/>
  <c r="D74" i="11"/>
  <c r="J74" i="11" s="1"/>
  <c r="E74" i="11"/>
  <c r="G74" i="11"/>
  <c r="D75" i="11"/>
  <c r="J75" i="11" s="1"/>
  <c r="E75" i="11"/>
  <c r="G75" i="11"/>
  <c r="D76" i="11"/>
  <c r="H76" i="11" s="1"/>
  <c r="E76" i="11"/>
  <c r="G76" i="11"/>
  <c r="D77" i="11"/>
  <c r="H77" i="11" s="1"/>
  <c r="E77" i="11"/>
  <c r="G77" i="11"/>
  <c r="D78" i="11"/>
  <c r="J78" i="11" s="1"/>
  <c r="E78" i="11"/>
  <c r="G78" i="11"/>
  <c r="D79" i="11"/>
  <c r="J79" i="11" s="1"/>
  <c r="E79" i="11"/>
  <c r="G79" i="11"/>
  <c r="D80" i="11"/>
  <c r="H80" i="11" s="1"/>
  <c r="E80" i="11"/>
  <c r="G80" i="11"/>
  <c r="D81" i="11"/>
  <c r="H81" i="11" s="1"/>
  <c r="E81" i="11"/>
  <c r="G81" i="11"/>
  <c r="D82" i="11"/>
  <c r="J82" i="11" s="1"/>
  <c r="E82" i="11"/>
  <c r="G82" i="11"/>
  <c r="D83" i="11"/>
  <c r="H83" i="11" s="1"/>
  <c r="E83" i="11"/>
  <c r="G83" i="11"/>
  <c r="D84" i="11"/>
  <c r="H84" i="11" s="1"/>
  <c r="E84" i="11"/>
  <c r="G84" i="11"/>
  <c r="D85" i="11"/>
  <c r="J85" i="11" s="1"/>
  <c r="E85" i="11"/>
  <c r="G85" i="11"/>
  <c r="D86" i="11"/>
  <c r="H86" i="11" s="1"/>
  <c r="E86" i="11"/>
  <c r="G86" i="11"/>
  <c r="D87" i="11"/>
  <c r="H87" i="11" s="1"/>
  <c r="E87" i="11"/>
  <c r="G87" i="11"/>
  <c r="D88" i="11"/>
  <c r="J88" i="11" s="1"/>
  <c r="E88" i="11"/>
  <c r="G88" i="11"/>
  <c r="D89" i="11"/>
  <c r="J89" i="11" s="1"/>
  <c r="E89" i="11"/>
  <c r="G89" i="11"/>
  <c r="D90" i="11"/>
  <c r="J90" i="11" s="1"/>
  <c r="E90" i="11"/>
  <c r="G90" i="11"/>
  <c r="D91" i="11"/>
  <c r="H91" i="11" s="1"/>
  <c r="E91" i="11"/>
  <c r="G91" i="11"/>
  <c r="D92" i="11"/>
  <c r="H92" i="11" s="1"/>
  <c r="E92" i="11"/>
  <c r="G92" i="11"/>
  <c r="D93" i="11"/>
  <c r="J93" i="11" s="1"/>
  <c r="E93" i="11"/>
  <c r="G93" i="11"/>
  <c r="D94" i="11"/>
  <c r="J94" i="11" s="1"/>
  <c r="E94" i="11"/>
  <c r="G94" i="11"/>
  <c r="D95" i="11"/>
  <c r="H95" i="11" s="1"/>
  <c r="E95" i="11"/>
  <c r="G95" i="11"/>
  <c r="D128" i="11"/>
  <c r="I128" i="11" s="1"/>
  <c r="E128" i="11"/>
  <c r="D129" i="11"/>
  <c r="H129" i="11" s="1"/>
  <c r="E129" i="11"/>
  <c r="D130" i="11"/>
  <c r="I130" i="11" s="1"/>
  <c r="E130" i="11"/>
  <c r="G130" i="11"/>
  <c r="D39" i="11"/>
  <c r="J39" i="11" s="1"/>
  <c r="E39" i="11"/>
  <c r="G39" i="11"/>
  <c r="D40" i="11"/>
  <c r="E40" i="11"/>
  <c r="G40" i="11"/>
  <c r="D16" i="11"/>
  <c r="H16" i="11" s="1"/>
  <c r="E16" i="11"/>
  <c r="G16" i="11"/>
  <c r="D17" i="11"/>
  <c r="J17" i="11" s="1"/>
  <c r="E17" i="11"/>
  <c r="G17" i="11"/>
  <c r="D20" i="11"/>
  <c r="E20" i="11"/>
  <c r="D21" i="11"/>
  <c r="E21" i="11"/>
  <c r="H21" i="11" l="1"/>
  <c r="I21" i="11"/>
  <c r="J21" i="11"/>
  <c r="I20" i="11"/>
  <c r="J20" i="11"/>
  <c r="H20" i="11"/>
  <c r="I66" i="11"/>
  <c r="J66" i="11"/>
  <c r="H66" i="11"/>
  <c r="I55" i="11"/>
  <c r="I60" i="11"/>
  <c r="I47" i="11"/>
  <c r="I59" i="11"/>
  <c r="J56" i="11"/>
  <c r="H54" i="11"/>
  <c r="I42" i="11"/>
  <c r="H59" i="11"/>
  <c r="K59" i="11" s="1"/>
  <c r="I46" i="11"/>
  <c r="J44" i="11"/>
  <c r="H42" i="11"/>
  <c r="K42" i="11" s="1"/>
  <c r="I50" i="11"/>
  <c r="J48" i="11"/>
  <c r="H46" i="11"/>
  <c r="I54" i="11"/>
  <c r="J52" i="11"/>
  <c r="H50" i="11"/>
  <c r="J62" i="11"/>
  <c r="H60" i="11"/>
  <c r="J58" i="11"/>
  <c r="H55" i="11"/>
  <c r="J53" i="11"/>
  <c r="H51" i="11"/>
  <c r="J49" i="11"/>
  <c r="H47" i="11"/>
  <c r="J45" i="11"/>
  <c r="H43" i="11"/>
  <c r="J41" i="11"/>
  <c r="I124" i="11"/>
  <c r="I119" i="11"/>
  <c r="I115" i="11"/>
  <c r="I62" i="11"/>
  <c r="J61" i="11"/>
  <c r="I58" i="11"/>
  <c r="I53" i="11"/>
  <c r="I49" i="11"/>
  <c r="I45" i="11"/>
  <c r="I41" i="11"/>
  <c r="I61" i="11"/>
  <c r="J60" i="11"/>
  <c r="I56" i="11"/>
  <c r="K56" i="11" s="1"/>
  <c r="J55" i="11"/>
  <c r="I52" i="11"/>
  <c r="J51" i="11"/>
  <c r="I48" i="11"/>
  <c r="K48" i="11" s="1"/>
  <c r="J47" i="11"/>
  <c r="I44" i="11"/>
  <c r="J43" i="11"/>
  <c r="H106" i="11"/>
  <c r="H109" i="11"/>
  <c r="I108" i="11"/>
  <c r="J110" i="11"/>
  <c r="J126" i="11"/>
  <c r="I118" i="11"/>
  <c r="H111" i="11"/>
  <c r="I123" i="11"/>
  <c r="H115" i="11"/>
  <c r="J113" i="11"/>
  <c r="I107" i="11"/>
  <c r="I127" i="11"/>
  <c r="H119" i="11"/>
  <c r="J117" i="11"/>
  <c r="J96" i="11"/>
  <c r="J71" i="11"/>
  <c r="H124" i="11"/>
  <c r="J122" i="11"/>
  <c r="I114" i="11"/>
  <c r="H108" i="11"/>
  <c r="J106" i="11"/>
  <c r="H128" i="11"/>
  <c r="J129" i="11"/>
  <c r="H127" i="11"/>
  <c r="I126" i="11"/>
  <c r="J125" i="11"/>
  <c r="H123" i="11"/>
  <c r="I122" i="11"/>
  <c r="J121" i="11"/>
  <c r="H118" i="11"/>
  <c r="I117" i="11"/>
  <c r="J116" i="11"/>
  <c r="H114" i="11"/>
  <c r="I113" i="11"/>
  <c r="J112" i="11"/>
  <c r="I110" i="11"/>
  <c r="J109" i="11"/>
  <c r="H107" i="11"/>
  <c r="I106" i="11"/>
  <c r="J105" i="11"/>
  <c r="I96" i="11"/>
  <c r="I129" i="11"/>
  <c r="J128" i="11"/>
  <c r="I125" i="11"/>
  <c r="J124" i="11"/>
  <c r="I121" i="11"/>
  <c r="J119" i="11"/>
  <c r="I116" i="11"/>
  <c r="J115" i="11"/>
  <c r="I112" i="11"/>
  <c r="J111" i="11"/>
  <c r="I109" i="11"/>
  <c r="J108" i="11"/>
  <c r="I105" i="11"/>
  <c r="I90" i="11"/>
  <c r="H90" i="11"/>
  <c r="J86" i="11"/>
  <c r="H71" i="11"/>
  <c r="J73" i="11"/>
  <c r="I69" i="11"/>
  <c r="J81" i="11"/>
  <c r="J130" i="11"/>
  <c r="I86" i="11"/>
  <c r="I84" i="11"/>
  <c r="J83" i="11"/>
  <c r="J92" i="11"/>
  <c r="H67" i="11"/>
  <c r="I92" i="11"/>
  <c r="I83" i="11"/>
  <c r="I81" i="11"/>
  <c r="I67" i="11"/>
  <c r="I75" i="11"/>
  <c r="I73" i="11"/>
  <c r="J77" i="11"/>
  <c r="H75" i="11"/>
  <c r="H72" i="11"/>
  <c r="H69" i="11"/>
  <c r="I68" i="11"/>
  <c r="J67" i="11"/>
  <c r="I88" i="11"/>
  <c r="H94" i="11"/>
  <c r="H79" i="11"/>
  <c r="I77" i="11"/>
  <c r="H130" i="11"/>
  <c r="I91" i="11"/>
  <c r="I76" i="11"/>
  <c r="I94" i="11"/>
  <c r="I79" i="11"/>
  <c r="H88" i="11"/>
  <c r="I87" i="11"/>
  <c r="I95" i="11"/>
  <c r="I80" i="11"/>
  <c r="J95" i="11"/>
  <c r="H93" i="11"/>
  <c r="J91" i="11"/>
  <c r="H89" i="11"/>
  <c r="J87" i="11"/>
  <c r="H85" i="11"/>
  <c r="J84" i="11"/>
  <c r="H82" i="11"/>
  <c r="J80" i="11"/>
  <c r="H78" i="11"/>
  <c r="J76" i="11"/>
  <c r="H74" i="11"/>
  <c r="J72" i="11"/>
  <c r="H70" i="11"/>
  <c r="J68" i="11"/>
  <c r="I93" i="11"/>
  <c r="I89" i="11"/>
  <c r="I85" i="11"/>
  <c r="I74" i="11"/>
  <c r="I82" i="11"/>
  <c r="I78" i="11"/>
  <c r="I70" i="11"/>
  <c r="I39" i="11"/>
  <c r="J40" i="11"/>
  <c r="H39" i="11"/>
  <c r="I40" i="11"/>
  <c r="H40" i="11"/>
  <c r="J16" i="11"/>
  <c r="I16" i="11"/>
  <c r="I17" i="11"/>
  <c r="H17" i="11"/>
  <c r="K21" i="11" l="1"/>
  <c r="K20" i="11"/>
  <c r="K66" i="11"/>
  <c r="K45" i="11"/>
  <c r="K111" i="11"/>
  <c r="K125" i="11"/>
  <c r="K96" i="11"/>
  <c r="K46" i="11"/>
  <c r="K50" i="11"/>
  <c r="K53" i="11"/>
  <c r="K54" i="11"/>
  <c r="K52" i="11"/>
  <c r="K61" i="11"/>
  <c r="K62" i="11"/>
  <c r="K41" i="11"/>
  <c r="K122" i="11"/>
  <c r="K127" i="11"/>
  <c r="K58" i="11"/>
  <c r="K115" i="11"/>
  <c r="K123" i="11"/>
  <c r="K44" i="11"/>
  <c r="K49" i="11"/>
  <c r="K47" i="11"/>
  <c r="K43" i="11"/>
  <c r="K51" i="11"/>
  <c r="K60" i="11"/>
  <c r="K55" i="11"/>
  <c r="K109" i="11"/>
  <c r="K110" i="11"/>
  <c r="K121" i="11"/>
  <c r="K83" i="11"/>
  <c r="K105" i="11"/>
  <c r="K119" i="11"/>
  <c r="K114" i="11"/>
  <c r="K126" i="11"/>
  <c r="K112" i="11"/>
  <c r="K129" i="11"/>
  <c r="K95" i="11"/>
  <c r="K84" i="11"/>
  <c r="K86" i="11"/>
  <c r="K108" i="11"/>
  <c r="K117" i="11"/>
  <c r="K71" i="11"/>
  <c r="K116" i="11"/>
  <c r="K113" i="11"/>
  <c r="K118" i="11"/>
  <c r="K130" i="11"/>
  <c r="K81" i="11"/>
  <c r="K106" i="11"/>
  <c r="K124" i="11"/>
  <c r="K107" i="11"/>
  <c r="K80" i="11"/>
  <c r="K90" i="11"/>
  <c r="K73" i="11"/>
  <c r="K128" i="11"/>
  <c r="K88" i="11"/>
  <c r="K67" i="11"/>
  <c r="K72" i="11"/>
  <c r="K69" i="11"/>
  <c r="K75" i="11"/>
  <c r="K70" i="11"/>
  <c r="K77" i="11"/>
  <c r="K92" i="11"/>
  <c r="K68" i="11"/>
  <c r="K87" i="11"/>
  <c r="K85" i="11"/>
  <c r="K79" i="11"/>
  <c r="K94" i="11"/>
  <c r="K76" i="11"/>
  <c r="K91" i="11"/>
  <c r="K93" i="11"/>
  <c r="K74" i="11"/>
  <c r="K82" i="11"/>
  <c r="K89" i="11"/>
  <c r="K78" i="11"/>
  <c r="K39" i="11"/>
  <c r="K40" i="11"/>
  <c r="K16" i="11"/>
  <c r="K17" i="11"/>
  <c r="D21" i="59" l="1"/>
  <c r="K6" i="60"/>
  <c r="D15" i="11" l="1"/>
  <c r="H15" i="11" s="1"/>
  <c r="E15" i="11"/>
  <c r="G15" i="11"/>
  <c r="J15" i="11" l="1"/>
  <c r="I15" i="11"/>
  <c r="K15" i="11" l="1"/>
  <c r="D14" i="11" l="1"/>
  <c r="J14" i="11" s="1"/>
  <c r="J131" i="11" s="1"/>
  <c r="E14" i="11"/>
  <c r="G14" i="11"/>
  <c r="K19" i="60"/>
  <c r="D19" i="60"/>
  <c r="H14" i="11" l="1"/>
  <c r="H131" i="11" s="1"/>
  <c r="I14" i="11"/>
  <c r="I131" i="11" s="1"/>
  <c r="K131" i="11" l="1"/>
  <c r="K14" i="1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D22" i="59" l="1"/>
  <c r="K8" i="60" s="1"/>
  <c r="D19" i="59"/>
  <c r="D8" i="60" s="1"/>
  <c r="D18" i="59"/>
  <c r="D7" i="60" s="1"/>
  <c r="K7" i="60"/>
  <c r="K9" i="60" s="1"/>
  <c r="K16" i="60" s="1"/>
  <c r="K18" i="60"/>
  <c r="K17" i="60"/>
  <c r="D17" i="60"/>
  <c r="D18" i="60"/>
  <c r="D20" i="60" l="1"/>
  <c r="D6" i="60"/>
  <c r="D9" i="60" s="1"/>
  <c r="K20" i="60" l="1"/>
  <c r="A22" i="11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131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31" i="11"/>
  <c r="D132" i="11"/>
  <c r="H132" i="11" s="1"/>
  <c r="E132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L90" i="10" s="1"/>
  <c r="N90" i="10" s="1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L31" i="10" s="1"/>
  <c r="N31" i="10" s="1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N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P184" i="10" s="1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M192" i="10" s="1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P201" i="10" s="1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M244" i="10" s="1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N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N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N698" i="10" s="1"/>
  <c r="K698" i="10"/>
  <c r="M698" i="10" s="1"/>
  <c r="O698" i="10"/>
  <c r="P698" i="10" s="1"/>
  <c r="J699" i="10"/>
  <c r="L699" i="10" s="1"/>
  <c r="K699" i="10"/>
  <c r="M699" i="10" s="1"/>
  <c r="N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N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N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N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N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N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N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N855" i="10" s="1"/>
  <c r="O855" i="10"/>
  <c r="P855" i="10"/>
  <c r="J856" i="10"/>
  <c r="L856" i="10" s="1"/>
  <c r="K856" i="10"/>
  <c r="M856" i="10" s="1"/>
  <c r="N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N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N868" i="10" s="1"/>
  <c r="K868" i="10"/>
  <c r="M868" i="10" s="1"/>
  <c r="O868" i="10"/>
  <c r="P868" i="10" s="1"/>
  <c r="J869" i="10"/>
  <c r="L869" i="10" s="1"/>
  <c r="K869" i="10"/>
  <c r="M869" i="10" s="1"/>
  <c r="N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N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N876" i="10" s="1"/>
  <c r="K876" i="10"/>
  <c r="M876" i="10" s="1"/>
  <c r="O876" i="10"/>
  <c r="P876" i="10" s="1"/>
  <c r="J877" i="10"/>
  <c r="L877" i="10" s="1"/>
  <c r="K877" i="10"/>
  <c r="M877" i="10" s="1"/>
  <c r="N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N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N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N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N893" i="10" s="1"/>
  <c r="K893" i="10"/>
  <c r="M893" i="10" s="1"/>
  <c r="O893" i="10"/>
  <c r="P893" i="10" s="1"/>
  <c r="J894" i="10"/>
  <c r="L894" i="10" s="1"/>
  <c r="K894" i="10"/>
  <c r="M894" i="10" s="1"/>
  <c r="N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N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N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N905" i="10" s="1"/>
  <c r="K905" i="10"/>
  <c r="M905" i="10" s="1"/>
  <c r="O905" i="10"/>
  <c r="P905" i="10" s="1"/>
  <c r="J906" i="10"/>
  <c r="L906" i="10" s="1"/>
  <c r="K906" i="10"/>
  <c r="M906" i="10" s="1"/>
  <c r="N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 s="1"/>
  <c r="N911" i="10" s="1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N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N940" i="10" s="1"/>
  <c r="K940" i="10"/>
  <c r="M940" i="10" s="1"/>
  <c r="O940" i="10"/>
  <c r="P940" i="10" s="1"/>
  <c r="J941" i="10"/>
  <c r="L941" i="10" s="1"/>
  <c r="K941" i="10"/>
  <c r="M941" i="10" s="1"/>
  <c r="N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N945" i="10" s="1"/>
  <c r="K945" i="10"/>
  <c r="M945" i="10" s="1"/>
  <c r="O945" i="10"/>
  <c r="P945" i="10" s="1"/>
  <c r="J946" i="10"/>
  <c r="L946" i="10" s="1"/>
  <c r="K946" i="10"/>
  <c r="M946" i="10" s="1"/>
  <c r="N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N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N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N962" i="10" s="1"/>
  <c r="K962" i="10"/>
  <c r="M962" i="10" s="1"/>
  <c r="O962" i="10"/>
  <c r="P962" i="10" s="1"/>
  <c r="J963" i="10"/>
  <c r="L963" i="10" s="1"/>
  <c r="K963" i="10"/>
  <c r="M963" i="10" s="1"/>
  <c r="N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N966" i="10" s="1"/>
  <c r="K966" i="10"/>
  <c r="M966" i="10" s="1"/>
  <c r="O966" i="10"/>
  <c r="P966" i="10" s="1"/>
  <c r="J967" i="10"/>
  <c r="L967" i="10" s="1"/>
  <c r="K967" i="10"/>
  <c r="M967" i="10" s="1"/>
  <c r="N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N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N974" i="10" s="1"/>
  <c r="K974" i="10"/>
  <c r="M974" i="10" s="1"/>
  <c r="O974" i="10"/>
  <c r="P974" i="10" s="1"/>
  <c r="J975" i="10"/>
  <c r="L975" i="10" s="1"/>
  <c r="K975" i="10"/>
  <c r="M975" i="10" s="1"/>
  <c r="N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N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N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N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N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N1050" i="10" s="1"/>
  <c r="K1050" i="10"/>
  <c r="M1050" i="10" s="1"/>
  <c r="O1050" i="10"/>
  <c r="P1050" i="10" s="1"/>
  <c r="J1051" i="10"/>
  <c r="L1051" i="10" s="1"/>
  <c r="K1051" i="10"/>
  <c r="M1051" i="10" s="1"/>
  <c r="N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N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N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N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N1071" i="10" s="1"/>
  <c r="O1071" i="10"/>
  <c r="P1071" i="10" s="1"/>
  <c r="J1072" i="10"/>
  <c r="L1072" i="10" s="1"/>
  <c r="N1072" i="10" s="1"/>
  <c r="K1072" i="10"/>
  <c r="M1072" i="10" s="1"/>
  <c r="O1072" i="10"/>
  <c r="P1072" i="10" s="1"/>
  <c r="J1073" i="10"/>
  <c r="L1073" i="10" s="1"/>
  <c r="K1073" i="10"/>
  <c r="M1073" i="10" s="1"/>
  <c r="N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N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N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N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N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N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N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N1112" i="10" s="1"/>
  <c r="K1112" i="10"/>
  <c r="M1112" i="10" s="1"/>
  <c r="O1112" i="10"/>
  <c r="P1112" i="10" s="1"/>
  <c r="J1113" i="10"/>
  <c r="L1113" i="10" s="1"/>
  <c r="K1113" i="10"/>
  <c r="M1113" i="10" s="1"/>
  <c r="N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N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N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N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N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N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N1210" i="10" s="1"/>
  <c r="K1210" i="10"/>
  <c r="M1210" i="10" s="1"/>
  <c r="O1210" i="10"/>
  <c r="P1210" i="10" s="1"/>
  <c r="J1211" i="10"/>
  <c r="L1211" i="10" s="1"/>
  <c r="K1211" i="10"/>
  <c r="M1211" i="10" s="1"/>
  <c r="N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N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N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 s="1"/>
  <c r="N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N1245" i="10" s="1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 s="1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N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N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N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N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N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N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N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739" i="10"/>
  <c r="N874" i="10"/>
  <c r="N857" i="10"/>
  <c r="N1070" i="10"/>
  <c r="N700" i="10"/>
  <c r="N775" i="10"/>
  <c r="N889" i="10"/>
  <c r="N983" i="10"/>
  <c r="N965" i="10"/>
  <c r="N960" i="10"/>
  <c r="N944" i="10"/>
  <c r="N676" i="10"/>
  <c r="N824" i="10"/>
  <c r="N822" i="10"/>
  <c r="N723" i="10"/>
  <c r="N973" i="10"/>
  <c r="N968" i="10"/>
  <c r="N956" i="10"/>
  <c r="N751" i="10"/>
  <c r="N661" i="10"/>
  <c r="N912" i="10"/>
  <c r="N1124" i="10"/>
  <c r="N970" i="10"/>
  <c r="N952" i="10"/>
  <c r="N863" i="10"/>
  <c r="N838" i="10"/>
  <c r="N831" i="10"/>
  <c r="N815" i="10"/>
  <c r="N664" i="10"/>
  <c r="N986" i="10"/>
  <c r="N922" i="10"/>
  <c r="N921" i="10"/>
  <c r="N908" i="10"/>
  <c r="N892" i="10"/>
  <c r="N884" i="10"/>
  <c r="N763" i="10"/>
  <c r="N645" i="10"/>
  <c r="N993" i="10"/>
  <c r="N964" i="10"/>
  <c r="N1040" i="10"/>
  <c r="N1085" i="10"/>
  <c r="N1053" i="10"/>
  <c r="N1045" i="10"/>
  <c r="N989" i="10"/>
  <c r="N977" i="10"/>
  <c r="N937" i="10"/>
  <c r="N845" i="10"/>
  <c r="N813" i="10"/>
  <c r="N925" i="10"/>
  <c r="N909" i="10"/>
  <c r="N896" i="10"/>
  <c r="N840" i="10"/>
  <c r="N712" i="10"/>
  <c r="N701" i="10"/>
  <c r="N689" i="10"/>
  <c r="N681" i="10"/>
  <c r="N693" i="10"/>
  <c r="N677" i="10"/>
  <c r="N668" i="10"/>
  <c r="N657" i="10"/>
  <c r="N649" i="10"/>
  <c r="L207" i="10"/>
  <c r="O7" i="10"/>
  <c r="P188" i="10"/>
  <c r="G9" i="39"/>
  <c r="G6" i="39"/>
  <c r="C2" i="41"/>
  <c r="J7" i="10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132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39" i="11"/>
  <c r="I1220" i="10"/>
  <c r="I1219" i="10"/>
  <c r="I9" i="10"/>
  <c r="P191" i="10"/>
  <c r="P193" i="10"/>
  <c r="P190" i="10"/>
  <c r="P7" i="10"/>
  <c r="P192" i="10"/>
  <c r="P195" i="10"/>
  <c r="P194" i="10"/>
  <c r="L128" i="10"/>
  <c r="L108" i="10"/>
  <c r="L111" i="10"/>
  <c r="L204" i="10"/>
  <c r="L203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70" i="11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G8" i="39"/>
  <c r="I107" i="10"/>
  <c r="I1408" i="10"/>
  <c r="I1411" i="10"/>
  <c r="I1414" i="10"/>
  <c r="M120" i="10"/>
  <c r="M141" i="10"/>
  <c r="M229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432" i="10"/>
  <c r="M118" i="10"/>
  <c r="M1413" i="10"/>
  <c r="M222" i="10"/>
  <c r="M225" i="10"/>
  <c r="P80" i="10"/>
  <c r="N1298" i="10"/>
  <c r="N1096" i="10"/>
  <c r="G8" i="29"/>
  <c r="N1359" i="10"/>
  <c r="N1209" i="10"/>
  <c r="N1208" i="10"/>
  <c r="N1060" i="10"/>
  <c r="N1003" i="10"/>
  <c r="N1370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39" i="10"/>
  <c r="N923" i="10"/>
  <c r="N916" i="10"/>
  <c r="N887" i="10"/>
  <c r="N867" i="10"/>
  <c r="N835" i="10"/>
  <c r="N870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2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P202" i="10"/>
  <c r="N1262" i="10"/>
  <c r="N1252" i="10"/>
  <c r="N1238" i="10"/>
  <c r="L70" i="10"/>
  <c r="N70" i="10" s="1"/>
  <c r="L9" i="10"/>
  <c r="N1386" i="10"/>
  <c r="N1326" i="10"/>
  <c r="N1276" i="10"/>
  <c r="N1185" i="10"/>
  <c r="N1139" i="10"/>
  <c r="N1454" i="10"/>
  <c r="L86" i="10"/>
  <c r="N86" i="10" s="1"/>
  <c r="L45" i="10"/>
  <c r="L91" i="10"/>
  <c r="N91" i="10" s="1"/>
  <c r="N1237" i="10"/>
  <c r="N1164" i="10"/>
  <c r="N1145" i="10"/>
  <c r="N1144" i="10"/>
  <c r="N1041" i="10"/>
  <c r="N972" i="10"/>
  <c r="N851" i="10"/>
  <c r="N842" i="10"/>
  <c r="N1318" i="10"/>
  <c r="N1254" i="10"/>
  <c r="N1163" i="10"/>
  <c r="N1111" i="10"/>
  <c r="N1048" i="10"/>
  <c r="N1012" i="10"/>
  <c r="N903" i="10"/>
  <c r="N871" i="10"/>
  <c r="N862" i="10"/>
  <c r="N860" i="10"/>
  <c r="N827" i="10"/>
  <c r="N818" i="10"/>
  <c r="N817" i="10"/>
  <c r="N812" i="10"/>
  <c r="N947" i="10"/>
  <c r="N918" i="10"/>
  <c r="N917" i="10"/>
  <c r="N915" i="10"/>
  <c r="N885" i="10"/>
  <c r="N883" i="10"/>
  <c r="N843" i="10"/>
  <c r="N834" i="10"/>
  <c r="N833" i="10"/>
  <c r="N794" i="10"/>
  <c r="N790" i="10"/>
  <c r="N786" i="10"/>
  <c r="N782" i="10"/>
  <c r="N778" i="10"/>
  <c r="N774" i="10"/>
  <c r="N766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59" i="10"/>
  <c r="N943" i="10"/>
  <c r="N936" i="10"/>
  <c r="N927" i="10"/>
  <c r="N920" i="10"/>
  <c r="N904" i="10"/>
  <c r="N895" i="10"/>
  <c r="N852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56" i="10"/>
  <c r="N997" i="10"/>
  <c r="N1186" i="10"/>
  <c r="N1166" i="10"/>
  <c r="L208" i="10"/>
  <c r="L257" i="10"/>
  <c r="L242" i="10"/>
  <c r="L269" i="10"/>
  <c r="L240" i="10"/>
  <c r="L93" i="10"/>
  <c r="N93" i="10" s="1"/>
  <c r="L233" i="10"/>
  <c r="L241" i="10"/>
  <c r="L268" i="10"/>
  <c r="L235" i="10"/>
  <c r="N1270" i="10"/>
  <c r="N1121" i="10"/>
  <c r="N1297" i="10"/>
  <c r="N1173" i="10"/>
  <c r="N1272" i="10"/>
  <c r="N1223" i="10"/>
  <c r="N1129" i="10"/>
  <c r="N1128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02" i="10"/>
  <c r="N1302" i="10"/>
  <c r="N1257" i="10"/>
  <c r="N1249" i="10"/>
  <c r="N1240" i="10"/>
  <c r="N1160" i="10"/>
  <c r="N1159" i="10"/>
  <c r="N1115" i="10"/>
  <c r="N1035" i="10"/>
  <c r="N1034" i="10"/>
  <c r="N994" i="10"/>
  <c r="P10" i="10"/>
  <c r="P203" i="10"/>
  <c r="P198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31" i="10"/>
  <c r="L228" i="10" l="1"/>
  <c r="N228" i="10" s="1"/>
  <c r="L137" i="10"/>
  <c r="N137" i="10" s="1"/>
  <c r="L232" i="10"/>
  <c r="L222" i="10"/>
  <c r="N222" i="10" s="1"/>
  <c r="L217" i="10"/>
  <c r="N217" i="10" s="1"/>
  <c r="L117" i="10"/>
  <c r="N117" i="10" s="1"/>
  <c r="L141" i="10"/>
  <c r="N141" i="10" s="1"/>
  <c r="L146" i="10"/>
  <c r="N146" i="10" s="1"/>
  <c r="L120" i="10"/>
  <c r="N120" i="10" s="1"/>
  <c r="L85" i="10"/>
  <c r="N85" i="10" s="1"/>
  <c r="L186" i="10"/>
  <c r="N186" i="10" s="1"/>
  <c r="L80" i="10"/>
  <c r="N80" i="10" s="1"/>
  <c r="L29" i="10"/>
  <c r="N29" i="10" s="1"/>
  <c r="L224" i="10"/>
  <c r="N224" i="10" s="1"/>
  <c r="L123" i="10"/>
  <c r="N123" i="10" s="1"/>
  <c r="L237" i="10"/>
  <c r="N1360" i="10"/>
  <c r="N1278" i="10"/>
  <c r="N1235" i="10"/>
  <c r="L225" i="10"/>
  <c r="N225" i="10" s="1"/>
  <c r="L246" i="10"/>
  <c r="L135" i="10"/>
  <c r="N135" i="10" s="1"/>
  <c r="N1375" i="10"/>
  <c r="N1367" i="10"/>
  <c r="N1363" i="10"/>
  <c r="N1348" i="10"/>
  <c r="N1347" i="10"/>
  <c r="N1329" i="10"/>
  <c r="N1304" i="10"/>
  <c r="N1285" i="10"/>
  <c r="N1269" i="10"/>
  <c r="N1215" i="10"/>
  <c r="N1212" i="10"/>
  <c r="N1122" i="10"/>
  <c r="N1093" i="10"/>
  <c r="N898" i="10"/>
  <c r="N846" i="10"/>
  <c r="N837" i="10"/>
  <c r="N807" i="10"/>
  <c r="N791" i="10"/>
  <c r="N765" i="10"/>
  <c r="N761" i="10"/>
  <c r="N757" i="10"/>
  <c r="N745" i="10"/>
  <c r="N722" i="10"/>
  <c r="N637" i="10"/>
  <c r="N1403" i="10"/>
  <c r="N1399" i="10"/>
  <c r="N1365" i="10"/>
  <c r="N1361" i="10"/>
  <c r="N1313" i="10"/>
  <c r="N1303" i="10"/>
  <c r="N1284" i="10"/>
  <c r="N1277" i="10"/>
  <c r="N1234" i="10"/>
  <c r="N1229" i="10"/>
  <c r="N1057" i="10"/>
  <c r="N900" i="10"/>
  <c r="N810" i="10"/>
  <c r="N685" i="10"/>
  <c r="N636" i="10"/>
  <c r="N1374" i="10"/>
  <c r="N907" i="10"/>
  <c r="L7" i="10"/>
  <c r="C294" i="29" s="1"/>
  <c r="D294" i="29" s="1"/>
  <c r="E294" i="29" s="1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31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N1435" i="10"/>
  <c r="C313" i="29"/>
  <c r="D313" i="29" s="1"/>
  <c r="C256" i="29"/>
  <c r="D256" i="29" s="1"/>
  <c r="E256" i="29" s="1"/>
  <c r="C247" i="29"/>
  <c r="D247" i="29" s="1"/>
  <c r="F247" i="29" s="1"/>
  <c r="C271" i="29"/>
  <c r="D271" i="29" s="1"/>
  <c r="E271" i="29" s="1"/>
  <c r="C308" i="29"/>
  <c r="D308" i="29" s="1"/>
  <c r="E308" i="29" s="1"/>
  <c r="C273" i="29"/>
  <c r="D273" i="29" s="1"/>
  <c r="F273" i="29" s="1"/>
  <c r="C245" i="29"/>
  <c r="D245" i="29" s="1"/>
  <c r="F245" i="29" s="1"/>
  <c r="C289" i="29"/>
  <c r="D289" i="29" s="1"/>
  <c r="E289" i="29" s="1"/>
  <c r="C284" i="29"/>
  <c r="D284" i="29" s="1"/>
  <c r="E284" i="29" s="1"/>
  <c r="C266" i="29"/>
  <c r="D266" i="29" s="1"/>
  <c r="E266" i="29" s="1"/>
  <c r="C268" i="29"/>
  <c r="D268" i="29" s="1"/>
  <c r="F268" i="29" s="1"/>
  <c r="C302" i="29"/>
  <c r="D302" i="29" s="1"/>
  <c r="E302" i="29" s="1"/>
  <c r="N9" i="10"/>
  <c r="C228" i="29"/>
  <c r="D228" i="29" s="1"/>
  <c r="E228" i="29" s="1"/>
  <c r="C299" i="29"/>
  <c r="D299" i="29" s="1"/>
  <c r="F299" i="29" s="1"/>
  <c r="C316" i="29"/>
  <c r="D316" i="29" s="1"/>
  <c r="E316" i="29" s="1"/>
  <c r="C250" i="29"/>
  <c r="D250" i="29" s="1"/>
  <c r="E250" i="29" s="1"/>
  <c r="C261" i="29"/>
  <c r="D261" i="29" s="1"/>
  <c r="F261" i="29" s="1"/>
  <c r="C264" i="29"/>
  <c r="D264" i="29" s="1"/>
  <c r="F264" i="29" s="1"/>
  <c r="C270" i="29"/>
  <c r="D270" i="29" s="1"/>
  <c r="E270" i="29" s="1"/>
  <c r="C298" i="29"/>
  <c r="D298" i="29" s="1"/>
  <c r="E298" i="29" s="1"/>
  <c r="C293" i="29"/>
  <c r="D293" i="29" s="1"/>
  <c r="E293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32" i="11"/>
  <c r="I132" i="11"/>
  <c r="C246" i="29" l="1"/>
  <c r="D246" i="29" s="1"/>
  <c r="E246" i="29" s="1"/>
  <c r="C236" i="29"/>
  <c r="D236" i="29" s="1"/>
  <c r="F236" i="29" s="1"/>
  <c r="C235" i="29"/>
  <c r="D235" i="29" s="1"/>
  <c r="E235" i="29" s="1"/>
  <c r="C317" i="29"/>
  <c r="D317" i="29" s="1"/>
  <c r="E317" i="29" s="1"/>
  <c r="C296" i="29"/>
  <c r="D296" i="29" s="1"/>
  <c r="E296" i="29" s="1"/>
  <c r="C314" i="29"/>
  <c r="D314" i="29" s="1"/>
  <c r="E314" i="29" s="1"/>
  <c r="C277" i="29"/>
  <c r="D277" i="29" s="1"/>
  <c r="F277" i="29" s="1"/>
  <c r="C243" i="29"/>
  <c r="D243" i="29" s="1"/>
  <c r="F243" i="29" s="1"/>
  <c r="C267" i="29"/>
  <c r="D267" i="29" s="1"/>
  <c r="F267" i="29" s="1"/>
  <c r="C227" i="29"/>
  <c r="D227" i="29" s="1"/>
  <c r="F227" i="29" s="1"/>
  <c r="C279" i="29"/>
  <c r="D279" i="29" s="1"/>
  <c r="E279" i="29" s="1"/>
  <c r="C254" i="29"/>
  <c r="D254" i="29" s="1"/>
  <c r="E254" i="29" s="1"/>
  <c r="C244" i="29"/>
  <c r="D244" i="29" s="1"/>
  <c r="E244" i="29" s="1"/>
  <c r="C280" i="29"/>
  <c r="D280" i="29" s="1"/>
  <c r="F280" i="29" s="1"/>
  <c r="C300" i="29"/>
  <c r="D300" i="29" s="1"/>
  <c r="F300" i="29" s="1"/>
  <c r="C285" i="29"/>
  <c r="D285" i="29" s="1"/>
  <c r="F285" i="29" s="1"/>
  <c r="C292" i="29"/>
  <c r="D292" i="29" s="1"/>
  <c r="E292" i="29" s="1"/>
  <c r="C274" i="29"/>
  <c r="D274" i="29" s="1"/>
  <c r="E274" i="29" s="1"/>
  <c r="C324" i="29"/>
  <c r="D324" i="29" s="1"/>
  <c r="F324" i="29" s="1"/>
  <c r="C263" i="29"/>
  <c r="D263" i="29" s="1"/>
  <c r="E263" i="29" s="1"/>
  <c r="C287" i="29"/>
  <c r="D287" i="29" s="1"/>
  <c r="E287" i="29" s="1"/>
  <c r="C278" i="29"/>
  <c r="D278" i="29" s="1"/>
  <c r="E278" i="29" s="1"/>
  <c r="C275" i="29"/>
  <c r="D275" i="29" s="1"/>
  <c r="E275" i="29" s="1"/>
  <c r="C252" i="29"/>
  <c r="D252" i="29" s="1"/>
  <c r="F252" i="29" s="1"/>
  <c r="C315" i="29"/>
  <c r="D315" i="29" s="1"/>
  <c r="E315" i="29" s="1"/>
  <c r="C253" i="29"/>
  <c r="D253" i="29" s="1"/>
  <c r="E253" i="29" s="1"/>
  <c r="C290" i="29"/>
  <c r="D290" i="29" s="1"/>
  <c r="E290" i="29" s="1"/>
  <c r="C318" i="29"/>
  <c r="D318" i="29" s="1"/>
  <c r="E318" i="29" s="1"/>
  <c r="C309" i="29"/>
  <c r="D309" i="29" s="1"/>
  <c r="F309" i="29" s="1"/>
  <c r="C283" i="29"/>
  <c r="D283" i="29" s="1"/>
  <c r="E283" i="29" s="1"/>
  <c r="C240" i="29"/>
  <c r="D240" i="29" s="1"/>
  <c r="E240" i="29" s="1"/>
  <c r="C281" i="29"/>
  <c r="D281" i="29" s="1"/>
  <c r="F281" i="29" s="1"/>
  <c r="C249" i="29"/>
  <c r="D249" i="29" s="1"/>
  <c r="E249" i="29" s="1"/>
  <c r="C303" i="29"/>
  <c r="D303" i="29" s="1"/>
  <c r="E303" i="29" s="1"/>
  <c r="C321" i="29"/>
  <c r="D321" i="29" s="1"/>
  <c r="F321" i="29" s="1"/>
  <c r="C229" i="29"/>
  <c r="D229" i="29" s="1"/>
  <c r="E229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E239" i="29" s="1"/>
  <c r="C233" i="29"/>
  <c r="D233" i="29" s="1"/>
  <c r="E233" i="29" s="1"/>
  <c r="C288" i="29"/>
  <c r="D288" i="29" s="1"/>
  <c r="F288" i="29" s="1"/>
  <c r="C232" i="29"/>
  <c r="D232" i="29" s="1"/>
  <c r="E232" i="29" s="1"/>
  <c r="C306" i="29"/>
  <c r="D306" i="29" s="1"/>
  <c r="F306" i="29" s="1"/>
  <c r="C310" i="29"/>
  <c r="D310" i="29" s="1"/>
  <c r="E310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313" i="29"/>
  <c r="E267" i="29"/>
  <c r="E247" i="29"/>
  <c r="F302" i="29"/>
  <c r="F284" i="29"/>
  <c r="F266" i="29"/>
  <c r="E245" i="29"/>
  <c r="F289" i="29"/>
  <c r="E299" i="29"/>
  <c r="E268" i="29"/>
  <c r="E273" i="29"/>
  <c r="E236" i="29"/>
  <c r="F308" i="29"/>
  <c r="F293" i="29"/>
  <c r="E264" i="29"/>
  <c r="E261" i="29"/>
  <c r="F270" i="29"/>
  <c r="E276" i="29"/>
  <c r="F256" i="29"/>
  <c r="E251" i="29"/>
  <c r="F250" i="29"/>
  <c r="F298" i="29"/>
  <c r="F271" i="29"/>
  <c r="F278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E8" i="54"/>
  <c r="L8" i="54" s="1"/>
  <c r="M8" i="54" s="1"/>
  <c r="I9" i="54"/>
  <c r="H9" i="54"/>
  <c r="C10" i="54"/>
  <c r="D9" i="54"/>
  <c r="K36" i="39"/>
  <c r="K132" i="11"/>
  <c r="E227" i="29" l="1"/>
  <c r="F246" i="29"/>
  <c r="F244" i="29"/>
  <c r="F287" i="29"/>
  <c r="E309" i="29"/>
  <c r="F292" i="29"/>
  <c r="F274" i="29"/>
  <c r="E280" i="29"/>
  <c r="F315" i="29"/>
  <c r="F235" i="29"/>
  <c r="F224" i="29"/>
  <c r="E288" i="29"/>
  <c r="F249" i="29"/>
  <c r="E277" i="29"/>
  <c r="F275" i="29"/>
  <c r="E324" i="29"/>
  <c r="E321" i="29"/>
  <c r="F305" i="29"/>
  <c r="F286" i="29"/>
  <c r="F279" i="29"/>
  <c r="E300" i="29"/>
  <c r="E306" i="29"/>
  <c r="F240" i="29"/>
  <c r="E282" i="29"/>
  <c r="F304" i="29"/>
  <c r="F253" i="29"/>
  <c r="F310" i="29"/>
  <c r="F234" i="29"/>
  <c r="F254" i="29"/>
  <c r="E252" i="29"/>
  <c r="F318" i="29"/>
  <c r="F263" i="29"/>
  <c r="F303" i="29"/>
  <c r="E285" i="29"/>
  <c r="F229" i="29"/>
  <c r="F232" i="29"/>
  <c r="E311" i="29"/>
  <c r="E281" i="29"/>
  <c r="F283" i="29"/>
  <c r="E260" i="29"/>
  <c r="E265" i="29"/>
  <c r="E243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34" i="11"/>
  <c r="H135" i="11" s="1"/>
  <c r="I134" i="11"/>
  <c r="I135" i="11" s="1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50" i="29"/>
  <c r="F341" i="29"/>
  <c r="E341" i="29"/>
  <c r="E327" i="29"/>
  <c r="E338" i="29"/>
  <c r="E335" i="29"/>
  <c r="E355" i="29"/>
  <c r="F340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94" i="29" l="1"/>
  <c r="F317" i="29"/>
  <c r="F62" i="39"/>
  <c r="F337" i="29"/>
  <c r="F59" i="39"/>
  <c r="F313" i="29"/>
  <c r="F228" i="29"/>
  <c r="F290" i="29"/>
  <c r="F230" i="29"/>
  <c r="F355" i="29"/>
  <c r="F296" i="29"/>
  <c r="F65" i="39"/>
  <c r="F361" i="29"/>
  <c r="F327" i="29"/>
  <c r="F314" i="29"/>
  <c r="F336" i="29"/>
  <c r="F334" i="29"/>
  <c r="F36" i="39"/>
  <c r="F226" i="29"/>
  <c r="F239" i="29"/>
  <c r="F346" i="29"/>
  <c r="F351" i="29"/>
  <c r="F323" i="29"/>
  <c r="A12" i="54"/>
  <c r="O11" i="54"/>
  <c r="F347" i="29"/>
  <c r="F233" i="29"/>
  <c r="F312" i="29"/>
  <c r="H136" i="11"/>
  <c r="I136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K134" i="11"/>
  <c r="K135" i="11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134" i="11"/>
  <c r="J135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I16" i="29"/>
  <c r="J16" i="29"/>
  <c r="G16" i="29" l="1"/>
  <c r="H16" i="29" s="1"/>
  <c r="K16" i="29" s="1"/>
  <c r="B16" i="29"/>
  <c r="E16" i="29" s="1"/>
  <c r="K136" i="11"/>
  <c r="B137" i="11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36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F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84" i="41" l="1"/>
  <c r="F807" i="41"/>
  <c r="F827" i="41"/>
  <c r="D10" i="59"/>
  <c r="F7" i="54" s="1"/>
  <c r="F803" i="41"/>
  <c r="F718" i="41"/>
  <c r="F780" i="41"/>
  <c r="F786" i="41"/>
  <c r="F720" i="41"/>
  <c r="F852" i="41"/>
  <c r="F845" i="41"/>
  <c r="F817" i="41"/>
  <c r="F804" i="41"/>
  <c r="F826" i="41"/>
  <c r="F824" i="41"/>
  <c r="K16" i="39"/>
  <c r="K35" i="39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D11" i="59" l="1"/>
  <c r="G8" i="54" s="1"/>
  <c r="J8" i="54" s="1"/>
  <c r="N8" i="54" s="1"/>
  <c r="P8" i="54" s="1"/>
  <c r="K17" i="39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30" i="54" l="1"/>
  <c r="G31" i="54"/>
  <c r="G19" i="54"/>
  <c r="G17" i="54"/>
  <c r="G26" i="54"/>
  <c r="G22" i="54"/>
  <c r="G16" i="54"/>
  <c r="G20" i="54"/>
  <c r="G9" i="54"/>
  <c r="J9" i="54" s="1"/>
  <c r="N9" i="54" s="1"/>
  <c r="P9" i="54" s="1"/>
  <c r="G18" i="54"/>
  <c r="G32" i="54"/>
  <c r="G15" i="54"/>
  <c r="J15" i="54" s="1"/>
  <c r="G27" i="54"/>
  <c r="G7" i="54"/>
  <c r="J7" i="54" s="1"/>
  <c r="N7" i="54" s="1"/>
  <c r="P7" i="54" s="1"/>
  <c r="Q7" i="54" s="1"/>
  <c r="G13" i="54"/>
  <c r="J13" i="54" s="1"/>
  <c r="G29" i="54"/>
  <c r="G21" i="54"/>
  <c r="G28" i="54"/>
  <c r="G11" i="54"/>
  <c r="J11" i="54" s="1"/>
  <c r="N11" i="54" s="1"/>
  <c r="P11" i="54" s="1"/>
  <c r="G25" i="54"/>
  <c r="G12" i="54"/>
  <c r="J12" i="54" s="1"/>
  <c r="N12" i="54" s="1"/>
  <c r="P12" i="54" s="1"/>
  <c r="G10" i="54"/>
  <c r="J10" i="54" s="1"/>
  <c r="N10" i="54" s="1"/>
  <c r="P10" i="54" s="1"/>
  <c r="G24" i="54"/>
  <c r="G14" i="54"/>
  <c r="J14" i="54" s="1"/>
  <c r="G23" i="54"/>
  <c r="G13" i="41"/>
  <c r="N13" i="54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S7" i="54"/>
  <c r="Q8" i="54"/>
  <c r="N14" i="54" l="1"/>
  <c r="P14" i="54" s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<sst xmlns="http://schemas.openxmlformats.org/spreadsheetml/2006/main" count="4793" uniqueCount="1642">
  <si>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</si>
  <si>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</si>
  <si>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</si>
  <si>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</si>
  <si>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</si>
  <si>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</si>
  <si>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</si>
  <si>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</si>
  <si>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</si>
  <si>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</si>
  <si>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</si>
  <si>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</si>
  <si>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</si>
  <si>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</si>
  <si>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</si>
  <si>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</si>
  <si>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</si>
  <si>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</si>
  <si>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</si>
  <si>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</si>
  <si>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</si>
  <si>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</si>
  <si>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</si>
  <si>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</si>
  <si>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</si>
  <si>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</si>
  <si>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</si>
  <si>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</si>
  <si>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</si>
  <si>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</si>
  <si>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</si>
  <si>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</si>
  <si>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</si>
  <si>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</si>
  <si>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</si>
  <si>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</si>
  <si>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</si>
  <si>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</si>
  <si>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</si>
  <si>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</si>
  <si>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</si>
  <si>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</si>
  <si>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</si>
  <si>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</si>
  <si>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</si>
  <si>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</si>
  <si>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</si>
  <si>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</si>
  <si>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</si>
  <si>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</si>
  <si>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</si>
  <si>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</si>
  <si>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</si>
  <si>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</si>
  <si>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</si>
  <si>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</si>
  <si>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</si>
  <si>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</si>
  <si>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</si>
  <si>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</si>
  <si>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</si>
  <si>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</si>
  <si>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</si>
  <si>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</si>
  <si>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</si>
  <si>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</si>
  <si>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</si>
  <si>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</si>
  <si>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</si>
  <si>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</si>
  <si>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</si>
  <si>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</si>
  <si>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</si>
  <si>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</si>
  <si>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</si>
  <si>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</si>
  <si>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</si>
  <si>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</si>
  <si>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</si>
  <si>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</si>
  <si>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</si>
  <si>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</si>
  <si>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</si>
  <si>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</si>
  <si>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</si>
  <si>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</si>
  <si>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</si>
  <si>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</si>
  <si>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</si>
  <si>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</si>
  <si>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</si>
  <si>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</si>
  <si>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</si>
  <si>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</si>
  <si>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</si>
  <si>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</si>
  <si>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</si>
  <si>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</si>
  <si>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</si>
  <si>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</si>
  <si>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</si>
  <si>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</si>
  <si>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</si>
  <si>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</si>
  <si>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</si>
  <si>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</si>
  <si>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</si>
  <si>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</si>
  <si>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</si>
  <si>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</si>
  <si>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</si>
  <si>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</si>
  <si>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</si>
  <si>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</si>
  <si>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</si>
  <si>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</si>
  <si>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</si>
  <si>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</si>
  <si>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</si>
  <si>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</si>
  <si>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</si>
  <si>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</si>
  <si>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</si>
  <si>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</si>
  <si>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</si>
  <si>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</si>
  <si>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</si>
  <si>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</si>
  <si>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</si>
  <si>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</si>
  <si>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</si>
  <si>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</si>
  <si>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</si>
  <si>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</si>
  <si>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</si>
  <si>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</si>
  <si>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</si>
  <si>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</si>
  <si>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</si>
  <si>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</si>
  <si>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</si>
  <si>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</si>
  <si>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</si>
  <si>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</si>
  <si>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</si>
  <si>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</si>
  <si>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</si>
  <si>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</si>
  <si>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</si>
  <si>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</si>
  <si>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</si>
  <si>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</si>
  <si>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</si>
  <si>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</si>
  <si>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</si>
  <si>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</si>
  <si>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</si>
  <si>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</si>
  <si>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</si>
  <si>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</si>
  <si>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</si>
  <si>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</si>
  <si>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</si>
  <si>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</si>
  <si>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</si>
  <si>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</si>
  <si>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</si>
  <si>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</si>
  <si>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</si>
  <si>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</si>
  <si>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</si>
  <si>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</si>
  <si>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</si>
  <si>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</si>
  <si>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</si>
  <si>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</si>
  <si>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</si>
  <si>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</si>
  <si>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</si>
  <si>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</si>
  <si>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</si>
  <si>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</si>
  <si>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</si>
  <si>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</si>
  <si>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</si>
  <si>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</si>
  <si>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</si>
  <si>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</si>
  <si>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</si>
  <si>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</si>
  <si>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</si>
  <si>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</si>
  <si>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</si>
  <si>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</si>
  <si>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</si>
  <si>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</si>
  <si>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</si>
  <si>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</si>
  <si>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</si>
  <si>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</si>
  <si>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</si>
  <si>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</si>
  <si>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</si>
  <si>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</si>
  <si>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</si>
  <si>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</si>
  <si>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</si>
  <si>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</si>
  <si>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</si>
  <si>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</si>
  <si>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</si>
  <si>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</si>
  <si>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</si>
  <si>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</si>
  <si>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</si>
  <si>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</si>
  <si>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</si>
  <si>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</si>
  <si>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</si>
  <si>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</si>
  <si>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</si>
  <si>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</si>
  <si>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</si>
  <si>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</si>
  <si>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</si>
  <si>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</si>
  <si>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</si>
  <si>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</si>
  <si>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</si>
  <si>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</si>
  <si>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</si>
  <si>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</si>
  <si>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</si>
  <si>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</si>
  <si>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</si>
  <si>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</si>
  <si>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</si>
  <si>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</si>
  <si>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</si>
  <si>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</si>
  <si>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</si>
  <si>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</si>
  <si>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</si>
  <si>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</si>
  <si>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</si>
  <si>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</si>
  <si>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</si>
  <si>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</si>
  <si>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</si>
  <si>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</si>
  <si>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</si>
  <si>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</si>
  <si>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</si>
  <si>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</si>
  <si>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</si>
  <si>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</si>
  <si>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</si>
  <si>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</si>
  <si>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</si>
  <si>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</si>
  <si>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</si>
  <si>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</si>
  <si>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</si>
  <si>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</si>
  <si>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</si>
  <si>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</si>
  <si>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</si>
  <si>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</si>
  <si>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</si>
  <si>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</si>
  <si>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</si>
  <si>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</si>
  <si>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</si>
  <si>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</si>
  <si>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</si>
  <si>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</si>
  <si>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</si>
  <si>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</si>
  <si>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</si>
  <si>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</si>
  <si>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</si>
  <si>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</si>
  <si>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</si>
  <si>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</si>
  <si>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</si>
  <si>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</si>
  <si>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</si>
  <si>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</si>
  <si>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</si>
  <si>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</si>
  <si>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</si>
  <si>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</si>
  <si>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</si>
  <si>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</si>
  <si>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</si>
  <si>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</si>
  <si>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</si>
  <si>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</si>
  <si>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</si>
  <si>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</si>
  <si>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</si>
  <si>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</si>
  <si>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</si>
  <si>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</si>
  <si>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</si>
  <si>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</si>
  <si>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</si>
  <si>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</si>
  <si>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</si>
  <si>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</si>
  <si>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</si>
  <si>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</si>
  <si>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</si>
  <si>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</si>
  <si>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</si>
  <si>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</si>
  <si>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</si>
  <si>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</si>
  <si>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</si>
  <si>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</si>
  <si>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</si>
  <si>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</si>
  <si>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</si>
  <si>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</si>
  <si>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</si>
  <si>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</si>
  <si>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</si>
  <si>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</si>
  <si>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</si>
  <si>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</si>
  <si>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</si>
  <si>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</si>
  <si>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</si>
  <si>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</si>
  <si>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</si>
  <si>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</si>
  <si>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</si>
  <si>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</si>
  <si>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</si>
  <si>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</si>
  <si>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</si>
  <si>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</si>
  <si>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</si>
  <si>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</si>
  <si>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</si>
  <si>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</si>
  <si>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</si>
  <si>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</si>
  <si>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</si>
  <si>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</si>
  <si>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</si>
  <si>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</si>
  <si>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</si>
  <si>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</si>
  <si>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</si>
  <si>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</si>
  <si>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</si>
  <si>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</si>
  <si>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</si>
  <si>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</si>
  <si>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</si>
  <si>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</si>
  <si>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</si>
  <si>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</si>
  <si>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</si>
  <si>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</si>
  <si>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</si>
  <si>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</si>
  <si>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</si>
  <si>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</si>
  <si>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</si>
  <si>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</si>
  <si>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</si>
  <si>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</si>
  <si>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</si>
  <si>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</si>
  <si>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</si>
  <si>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</si>
  <si>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</si>
  <si>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</si>
  <si>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</si>
  <si>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</si>
  <si>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</si>
  <si>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</si>
  <si>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</si>
  <si>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</si>
  <si>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</si>
  <si>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</si>
  <si>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</si>
  <si>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</si>
  <si>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</si>
  <si>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</si>
  <si>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</si>
  <si>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</si>
  <si>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</si>
  <si>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</si>
  <si>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</si>
  <si>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</si>
  <si>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</si>
  <si>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</si>
  <si>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</si>
  <si>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</si>
  <si>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</si>
  <si>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</si>
  <si>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</si>
  <si>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</si>
  <si>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</si>
  <si>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</si>
  <si>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</si>
  <si>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</si>
  <si>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</si>
  <si>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</si>
  <si>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</si>
  <si>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</si>
  <si>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</si>
  <si>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</si>
  <si>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</si>
  <si>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</si>
  <si>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</si>
  <si>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</si>
  <si>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</si>
  <si>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</si>
  <si>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</si>
  <si>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</si>
  <si>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</si>
  <si>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</si>
  <si>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</si>
  <si>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</si>
  <si>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</si>
  <si>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</si>
  <si>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</si>
  <si>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</si>
  <si>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</si>
  <si>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</si>
  <si>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</si>
  <si>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</si>
  <si>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</si>
  <si>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</si>
  <si>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</si>
  <si>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</si>
  <si>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</si>
  <si>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</si>
  <si>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</si>
  <si>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</si>
  <si>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</si>
  <si>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</si>
  <si>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</si>
  <si>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</si>
  <si>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</si>
  <si>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</si>
  <si>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</si>
  <si>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</si>
  <si>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</si>
  <si>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</si>
  <si>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</si>
  <si>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</si>
  <si>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</si>
  <si>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</si>
  <si>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</si>
  <si>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</si>
  <si>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</si>
  <si>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</si>
  <si>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</si>
  <si>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</si>
  <si>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</si>
  <si>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</si>
  <si>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</si>
  <si>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</si>
  <si>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</si>
  <si>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</si>
  <si>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</si>
  <si>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</si>
  <si>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</si>
  <si>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</si>
  <si>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</si>
  <si>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</si>
  <si>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</si>
  <si>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</si>
  <si>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</si>
  <si>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</si>
  <si>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</si>
  <si>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</si>
  <si>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</si>
  <si>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</si>
  <si>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</si>
  <si>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</si>
  <si>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</si>
  <si>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</si>
  <si>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</si>
  <si>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</si>
  <si>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</si>
  <si>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</si>
  <si>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</si>
  <si>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</si>
  <si>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</si>
  <si>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</si>
  <si>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</si>
  <si>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</si>
  <si>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</si>
  <si>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</si>
  <si>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</si>
  <si>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</si>
  <si>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</si>
  <si>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</si>
  <si>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</si>
  <si>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</si>
  <si>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</si>
  <si>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</si>
  <si>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</si>
  <si>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</si>
  <si>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</si>
  <si>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</si>
  <si>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</si>
  <si>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</si>
  <si>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</si>
  <si>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</si>
  <si>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</si>
  <si>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</si>
  <si>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</si>
  <si>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</si>
  <si>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</si>
  <si>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</si>
  <si>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</si>
  <si>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</si>
  <si>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</si>
  <si>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</si>
  <si>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</si>
  <si>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</si>
  <si>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</si>
  <si>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</si>
  <si>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</si>
  <si>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</si>
  <si>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</si>
  <si>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</si>
  <si>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</si>
  <si>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</si>
  <si>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</si>
  <si>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</si>
  <si>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</si>
  <si>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</si>
  <si>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</si>
  <si>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</si>
  <si>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</si>
  <si>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</si>
  <si>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</si>
  <si>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</si>
  <si>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</si>
  <si>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</si>
  <si>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</si>
  <si>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</si>
  <si>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</si>
  <si>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</si>
  <si>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</si>
  <si>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</si>
  <si>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</si>
  <si>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</si>
  <si>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</si>
  <si>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</si>
  <si>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</si>
  <si>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</si>
  <si>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</si>
  <si>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</si>
  <si>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</si>
  <si>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</si>
  <si>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</si>
  <si>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</si>
  <si>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</si>
  <si>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</si>
  <si>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</si>
  <si>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</si>
  <si>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</si>
  <si>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</si>
  <si>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</si>
  <si>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</si>
  <si>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</si>
  <si>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</si>
  <si>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</si>
  <si>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</si>
  <si>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</si>
  <si>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</si>
  <si>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</si>
  <si>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</si>
  <si>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</si>
  <si>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</si>
  <si>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</si>
  <si>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</si>
  <si>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</si>
  <si>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</si>
  <si>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</si>
  <si>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</si>
  <si>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</si>
  <si>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</si>
  <si>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</si>
  <si>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</si>
  <si>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</si>
  <si>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</si>
  <si>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</si>
  <si>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</si>
  <si>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</si>
  <si>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</si>
  <si>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</si>
  <si>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</si>
  <si>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</si>
  <si>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</si>
  <si>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</si>
  <si>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</si>
  <si>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</si>
  <si>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</si>
  <si>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</si>
  <si>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</si>
  <si>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</si>
  <si>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</si>
  <si>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</si>
  <si>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</si>
  <si>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</si>
  <si>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</si>
  <si>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</si>
  <si>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</si>
  <si>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</si>
  <si>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</si>
  <si>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</si>
  <si>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</si>
  <si>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</si>
  <si>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</si>
  <si>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</si>
  <si>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</si>
  <si>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</si>
  <si>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</si>
  <si>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</si>
  <si>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</si>
  <si>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</si>
  <si>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</si>
  <si>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</si>
  <si>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</si>
  <si>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</si>
  <si>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</si>
  <si>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</si>
  <si>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</si>
  <si>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</si>
  <si>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</si>
  <si>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</si>
  <si>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</si>
  <si>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</si>
  <si>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</si>
  <si>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</si>
  <si>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</si>
  <si>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</si>
  <si>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</si>
  <si>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</si>
  <si>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</si>
  <si>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</si>
  <si>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</si>
  <si>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</si>
  <si>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</si>
  <si>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</si>
  <si>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</si>
  <si>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</si>
  <si>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</si>
  <si>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</si>
  <si>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</si>
  <si>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</si>
  <si>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</si>
  <si>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</si>
  <si>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</si>
  <si>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</si>
  <si>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</si>
  <si>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</si>
  <si>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</si>
  <si>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</si>
  <si>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</si>
  <si>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</si>
  <si>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</si>
  <si>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</si>
  <si>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</si>
  <si>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</si>
  <si>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</si>
  <si>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</si>
  <si>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</si>
  <si>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</si>
  <si>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</si>
  <si>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</si>
  <si>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</si>
  <si>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</si>
  <si>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</si>
  <si>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</si>
  <si>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</si>
  <si>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</si>
  <si>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</si>
  <si>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</si>
  <si>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</si>
  <si>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</si>
  <si>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</si>
  <si>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</si>
  <si>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</si>
  <si>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</si>
  <si>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</si>
  <si>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</si>
  <si>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</si>
  <si>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</si>
  <si>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</si>
  <si>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</si>
  <si>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</si>
  <si>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</si>
  <si>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</si>
  <si>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</si>
  <si>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</si>
  <si>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</si>
  <si>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</si>
  <si>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</si>
  <si>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</si>
  <si>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</si>
  <si>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</si>
  <si>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</si>
  <si>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</si>
  <si>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</si>
  <si>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</si>
  <si>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</si>
  <si>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</si>
  <si>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</si>
  <si>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</si>
  <si>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</si>
  <si>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</si>
  <si>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</si>
  <si>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</si>
  <si>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</si>
  <si>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</si>
  <si>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</si>
  <si>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</si>
  <si>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</si>
  <si>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</si>
  <si>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</si>
  <si>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</si>
  <si>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</si>
  <si>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</si>
  <si>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</si>
  <si>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</si>
  <si>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</si>
  <si>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</si>
  <si>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</si>
  <si>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</si>
  <si>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</si>
  <si>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</si>
  <si>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</si>
  <si>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</si>
  <si>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</si>
  <si>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</si>
  <si>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</si>
  <si>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</si>
  <si>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</si>
  <si>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</si>
  <si>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</si>
  <si>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</si>
  <si>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</si>
  <si>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</si>
  <si>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</si>
  <si>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</si>
  <si>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</si>
  <si>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</si>
  <si>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</si>
  <si>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</si>
  <si>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</si>
  <si>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</si>
  <si>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</si>
  <si>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</si>
  <si>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</si>
  <si>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</si>
  <si>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</si>
  <si>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</si>
  <si>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</si>
  <si>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</si>
  <si>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</si>
  <si>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</si>
  <si>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</si>
  <si>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</si>
  <si>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</si>
  <si>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</si>
  <si>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</si>
  <si>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</si>
  <si>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</si>
  <si>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</si>
  <si>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</si>
  <si>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</si>
  <si>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</si>
  <si>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</si>
  <si>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</si>
  <si>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</si>
  <si>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</si>
  <si>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</si>
  <si>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</si>
  <si>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</si>
  <si>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</si>
  <si>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</si>
  <si>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</si>
  <si>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</si>
  <si>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</si>
  <si>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</si>
  <si>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</si>
  <si>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</si>
  <si>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</si>
  <si>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</si>
  <si>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</si>
  <si>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</si>
  <si>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</si>
  <si>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</si>
  <si>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</si>
  <si>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</si>
  <si>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</si>
  <si>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</si>
  <si>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</si>
  <si>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</si>
  <si>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</si>
  <si>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</si>
  <si>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</si>
  <si>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</si>
  <si>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</si>
  <si>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</si>
  <si>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</si>
  <si>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</si>
  <si>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</si>
  <si>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</si>
  <si>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</si>
  <si>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</si>
  <si>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</si>
  <si>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</si>
  <si>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</si>
  <si>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</si>
  <si>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</si>
  <si>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</si>
  <si>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</si>
  <si>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</si>
  <si>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</si>
  <si>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</si>
  <si>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</si>
  <si>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</si>
  <si>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</si>
  <si>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</si>
  <si>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</si>
  <si>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</si>
  <si>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</si>
  <si>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</si>
  <si>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</si>
  <si>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</si>
  <si>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</si>
  <si>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</si>
  <si>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</si>
  <si>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</si>
  <si>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</si>
  <si>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</si>
  <si>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</si>
  <si>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</si>
  <si>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</si>
  <si>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</si>
  <si>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</si>
  <si>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</si>
  <si>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</si>
  <si>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</si>
  <si>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</si>
  <si>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</si>
  <si>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</si>
  <si>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</si>
  <si>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</si>
  <si>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</si>
  <si>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</si>
  <si>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</si>
  <si>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</si>
  <si>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</si>
  <si>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</si>
  <si>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</si>
  <si>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</si>
  <si>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</si>
  <si>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</si>
  <si>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</si>
  <si>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</si>
  <si>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</si>
  <si>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</si>
  <si>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</si>
  <si>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</si>
  <si>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</si>
  <si>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</si>
  <si>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</si>
  <si>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</si>
  <si>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</si>
  <si>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</si>
  <si>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</si>
  <si>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</si>
  <si>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</si>
  <si>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</si>
  <si>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</si>
  <si>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</si>
  <si>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</si>
  <si>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</si>
  <si>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</si>
  <si>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</si>
  <si>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</si>
  <si>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</si>
  <si>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</si>
  <si>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</si>
  <si>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</si>
  <si>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</si>
  <si>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</si>
  <si>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</si>
  <si>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</si>
  <si>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</si>
  <si>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</si>
  <si>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</si>
  <si>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</si>
  <si>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</si>
  <si>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</si>
  <si>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</si>
  <si>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</si>
  <si>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</si>
  <si>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</si>
  <si>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</si>
  <si>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</si>
  <si>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</si>
  <si>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</si>
  <si>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</si>
  <si>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</si>
  <si>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</si>
  <si>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</si>
  <si>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</si>
  <si>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</si>
  <si>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</si>
  <si>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</si>
  <si>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</si>
  <si>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</si>
  <si>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</si>
  <si>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</si>
  <si>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</si>
  <si>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</si>
  <si>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</si>
  <si>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</si>
  <si>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</si>
  <si>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</si>
  <si>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</si>
  <si>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</si>
  <si>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</si>
  <si>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</si>
  <si>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</si>
  <si>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</si>
  <si>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</si>
  <si>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</si>
  <si>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</si>
  <si>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</si>
  <si>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</si>
  <si>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</si>
  <si>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</si>
  <si>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</si>
  <si>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</si>
  <si>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</si>
  <si>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</si>
  <si>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</si>
  <si>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</si>
  <si>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</si>
  <si>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</si>
  <si>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</si>
  <si>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</si>
  <si>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</si>
  <si>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</si>
  <si>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</si>
  <si>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</si>
  <si>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</si>
  <si>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</si>
  <si>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</si>
  <si>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</si>
  <si>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</si>
  <si>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</si>
  <si>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</si>
  <si>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</si>
  <si>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</si>
  <si>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</si>
  <si>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</si>
  <si>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</si>
  <si>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</si>
  <si>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</si>
  <si>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</si>
  <si>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</si>
  <si>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</si>
  <si>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</si>
  <si>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</si>
  <si>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</si>
  <si>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</si>
  <si>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</si>
  <si>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</si>
  <si>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</si>
  <si>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</si>
  <si>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</si>
  <si>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</si>
  <si>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</si>
  <si>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</si>
  <si>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</si>
  <si>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</si>
  <si>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</si>
  <si>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</si>
  <si>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</si>
  <si>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</si>
  <si>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</si>
  <si>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</si>
  <si>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</si>
  <si>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</si>
  <si>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</si>
  <si>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</si>
  <si>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</si>
  <si>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</si>
  <si>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</si>
  <si>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</si>
  <si>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</si>
  <si>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</si>
  <si>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</si>
  <si>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</si>
  <si>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</si>
  <si>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</si>
  <si>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</si>
  <si>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</si>
  <si>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</si>
  <si>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</si>
  <si>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</si>
  <si>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</si>
  <si>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</si>
  <si>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</si>
  <si>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</si>
  <si>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</si>
  <si>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</si>
  <si>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</si>
  <si>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</si>
  <si>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</si>
  <si>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</si>
  <si>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</si>
  <si>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</si>
  <si>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</si>
  <si>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</si>
  <si>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</si>
  <si>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</si>
  <si>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</si>
  <si>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</si>
  <si>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</si>
  <si>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</si>
  <si>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</si>
  <si>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</si>
  <si>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</si>
  <si>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</si>
  <si>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</si>
  <si>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</si>
  <si>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</si>
  <si>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</si>
  <si>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</si>
  <si>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</si>
  <si>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</si>
  <si>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</si>
  <si>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</si>
  <si>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</si>
  <si>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</si>
  <si>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</si>
  <si>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</si>
  <si>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</si>
  <si>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</si>
  <si>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</si>
  <si>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</si>
  <si>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</si>
  <si>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</si>
  <si>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</si>
  <si>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</si>
  <si>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</si>
  <si>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</si>
  <si>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</si>
  <si>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</si>
  <si>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</si>
  <si>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</si>
  <si>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</si>
  <si>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</si>
  <si>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</si>
  <si>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</si>
  <si>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</si>
  <si>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</si>
  <si>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</si>
  <si>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</si>
  <si>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</si>
  <si>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</si>
  <si>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</si>
  <si>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</si>
  <si>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</si>
  <si>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</si>
  <si>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</si>
  <si>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</si>
  <si>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</si>
  <si>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</si>
  <si>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</si>
  <si>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</si>
  <si>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</si>
  <si>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</si>
  <si>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</si>
  <si>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</si>
  <si>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</si>
  <si>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</si>
  <si>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</si>
  <si>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</si>
  <si>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</si>
  <si>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</si>
  <si>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</si>
  <si>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</si>
  <si>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</si>
  <si>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</si>
  <si>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</si>
  <si>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</si>
  <si>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</si>
  <si>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</si>
  <si>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</si>
  <si>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</si>
  <si>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</si>
  <si>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</si>
  <si>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</si>
  <si>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</si>
  <si>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</si>
  <si>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</si>
  <si>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</si>
  <si>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</si>
  <si>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</si>
  <si>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</si>
  <si>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</si>
  <si>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</si>
  <si>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</si>
  <si>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</si>
  <si>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</si>
  <si>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</si>
  <si>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</si>
  <si>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</si>
  <si>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</si>
  <si>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</si>
  <si>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</si>
  <si>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</si>
  <si>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</si>
  <si>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</si>
  <si>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</si>
  <si>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</si>
  <si>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</si>
  <si>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</si>
  <si>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</si>
  <si>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</si>
  <si>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</si>
  <si>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</si>
  <si>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</si>
  <si>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</si>
  <si>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</si>
  <si>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</si>
  <si>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</si>
  <si>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</si>
  <si>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</si>
  <si>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</si>
  <si>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</si>
  <si>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</si>
  <si>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</si>
  <si>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</si>
  <si>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</si>
  <si>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</si>
  <si>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</si>
  <si>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</si>
  <si>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</si>
  <si>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</si>
  <si>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</si>
  <si>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</si>
  <si>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</si>
  <si>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</si>
  <si>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</si>
  <si>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</si>
  <si>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</si>
  <si>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</si>
  <si>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</si>
  <si>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</si>
  <si>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</si>
  <si>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</si>
  <si>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</si>
  <si>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</si>
  <si>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</si>
  <si>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</si>
  <si>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</si>
  <si>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</si>
  <si>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</si>
  <si>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</si>
  <si>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</si>
  <si>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</si>
  <si>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</si>
  <si>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</si>
  <si>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</si>
  <si>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</si>
  <si>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</si>
  <si>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</si>
  <si>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</si>
  <si>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</si>
  <si>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</si>
  <si>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</si>
  <si>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</si>
  <si>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</si>
  <si>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</si>
  <si>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</si>
  <si>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</si>
  <si>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</si>
  <si>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</si>
  <si>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</si>
  <si>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</si>
  <si>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</si>
  <si>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</si>
  <si>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</si>
  <si>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</si>
  <si>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</si>
  <si>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</si>
  <si>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</si>
  <si>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</si>
  <si>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</si>
  <si>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</si>
  <si>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</si>
  <si>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</si>
  <si>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</si>
  <si>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</si>
  <si>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</si>
  <si>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</si>
  <si>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</si>
  <si>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</si>
  <si>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</si>
  <si>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</si>
  <si>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</si>
  <si>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</si>
  <si>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</si>
  <si>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</si>
  <si>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</si>
  <si>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</si>
  <si>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</si>
  <si>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</si>
  <si>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</si>
  <si>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</si>
  <si>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</si>
  <si>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</si>
  <si>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</si>
  <si>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</si>
  <si>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</si>
  <si>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</si>
  <si>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</si>
  <si>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</si>
  <si>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</si>
  <si>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</si>
  <si>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</si>
  <si>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</si>
  <si>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</si>
  <si>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</si>
  <si>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</si>
  <si>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</si>
  <si>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</si>
  <si>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</si>
  <si>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</si>
  <si>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</si>
  <si>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</si>
  <si>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</si>
  <si>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</si>
  <si>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</si>
  <si>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</si>
  <si>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</si>
  <si>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</si>
  <si>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</si>
  <si>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</si>
  <si>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</si>
  <si>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</si>
  <si>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</si>
  <si>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</si>
  <si>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</si>
  <si>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</si>
  <si>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</si>
  <si>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</si>
  <si>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</si>
  <si>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</si>
  <si>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</si>
  <si>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</si>
  <si>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</si>
  <si>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</si>
  <si>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</si>
  <si>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</si>
  <si>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</si>
  <si>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</si>
  <si>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</si>
  <si>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</si>
  <si>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</si>
  <si>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</si>
  <si>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</si>
  <si>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</si>
  <si>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</si>
  <si>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</si>
  <si>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</si>
  <si>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</si>
  <si>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</si>
  <si>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</si>
  <si>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</si>
  <si>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</si>
  <si>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</si>
  <si>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</si>
  <si>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</si>
  <si>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</si>
  <si>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</si>
  <si>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</si>
  <si>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</si>
  <si>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</si>
  <si>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</si>
  <si>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</si>
  <si>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</si>
  <si>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</si>
  <si>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</si>
  <si>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</si>
  <si>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</si>
  <si>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</si>
  <si>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</si>
  <si>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</si>
  <si>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</si>
  <si>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</si>
  <si>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</si>
  <si>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</si>
  <si>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</si>
  <si>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</si>
  <si>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</si>
  <si>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</si>
  <si>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</si>
  <si>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</si>
  <si>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</si>
  <si>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</si>
  <si>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</si>
  <si>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</si>
  <si>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</si>
  <si>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</si>
  <si>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</si>
  <si>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</si>
  <si>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</si>
  <si>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</si>
  <si>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</si>
  <si>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</si>
  <si>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</si>
  <si>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</si>
  <si>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</si>
  <si>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</si>
  <si>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</si>
  <si>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</si>
  <si>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</si>
  <si>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</si>
  <si>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</si>
  <si>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</si>
  <si>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</si>
  <si>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</si>
  <si>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</si>
  <si>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</si>
  <si>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</si>
  <si>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</si>
  <si>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</si>
  <si>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</si>
  <si>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</si>
  <si>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</si>
  <si>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</si>
  <si>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</si>
  <si>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</si>
  <si>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</si>
  <si>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</si>
  <si>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</si>
  <si>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</si>
  <si>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</si>
  <si>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</si>
  <si>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</si>
  <si>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</si>
  <si>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</si>
  <si>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</si>
  <si>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</si>
  <si>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</si>
  <si>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</si>
  <si>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</si>
  <si>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</si>
  <si>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</si>
  <si>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</si>
  <si>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</si>
  <si>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</si>
  <si>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</si>
  <si>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</si>
  <si>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</si>
  <si>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</si>
  <si>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</si>
  <si>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</si>
  <si>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</si>
  <si>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</si>
  <si>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</si>
  <si>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</si>
  <si>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</si>
  <si>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</si>
  <si>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</si>
  <si>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</si>
  <si>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</si>
  <si>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</si>
  <si>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</si>
  <si>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</si>
  <si>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</si>
  <si>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</si>
  <si>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</si>
  <si>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</si>
  <si>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</si>
  <si>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</si>
  <si>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</si>
  <si>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</si>
  <si>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</si>
  <si>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</si>
  <si>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</si>
  <si>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</si>
  <si>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</si>
  <si>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</si>
  <si>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</si>
  <si>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</si>
  <si>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</si>
  <si>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</si>
  <si>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</si>
  <si>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</si>
  <si>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</si>
  <si>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</si>
  <si>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</si>
  <si>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</si>
  <si>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</si>
  <si>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</si>
  <si>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</si>
  <si>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</si>
  <si>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</si>
  <si>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</si>
  <si>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</si>
  <si>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</si>
  <si>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</si>
  <si>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</si>
  <si>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</si>
  <si>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</si>
  <si>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</si>
  <si>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</si>
  <si>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</si>
  <si>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</si>
  <si>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</si>
  <si>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</si>
  <si>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</si>
  <si>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</si>
  <si>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</si>
  <si>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</si>
  <si>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</si>
  <si>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</si>
  <si>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</si>
  <si>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</si>
  <si>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</si>
  <si>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</si>
  <si>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</si>
  <si>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</si>
  <si>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</si>
  <si>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</si>
  <si>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</si>
  <si>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</si>
  <si>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</si>
  <si>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</si>
  <si>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</si>
  <si>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</si>
  <si>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</si>
  <si>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</si>
  <si>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</si>
  <si>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PEKERJAAN PEMASANGAN TIANG</t>
  </si>
  <si>
    <t>II</t>
  </si>
  <si>
    <t>PEMASANGAN APP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</si>
  <si>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</si>
  <si>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</si>
  <si>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</si>
  <si>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</si>
  <si>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</si>
  <si>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</si>
  <si>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</si>
  <si>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</si>
  <si>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</si>
  <si>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</si>
  <si>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</si>
  <si>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</si>
  <si>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</si>
  <si>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</si>
  <si>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</si>
  <si>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</si>
  <si>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</si>
  <si>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</si>
  <si>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</si>
  <si>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</si>
  <si>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</si>
  <si>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</si>
  <si>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</si>
  <si>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</si>
  <si>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</si>
  <si>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</si>
  <si>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</si>
  <si>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</si>
  <si>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</si>
  <si>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</si>
  <si>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</si>
  <si>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</si>
  <si>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</si>
  <si>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</si>
  <si>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</si>
  <si>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</si>
  <si>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</si>
  <si>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</si>
  <si>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</si>
  <si>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</si>
  <si>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</si>
  <si>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</si>
  <si>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</si>
  <si>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</si>
  <si>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</si>
  <si>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</si>
  <si>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</si>
  <si>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</si>
  <si>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</si>
  <si>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</si>
  <si>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</si>
  <si>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</si>
  <si>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</si>
  <si>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</si>
  <si>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</si>
  <si>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</si>
  <si>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</si>
  <si>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</si>
  <si>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</si>
  <si>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</si>
  <si>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</si>
  <si>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</si>
  <si>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</si>
  <si>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</si>
  <si>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</si>
  <si>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</si>
  <si>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</si>
  <si>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</si>
  <si>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</si>
  <si>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</si>
  <si>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</si>
  <si>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</si>
  <si>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</si>
  <si>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</si>
  <si>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</si>
  <si>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</si>
  <si>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</si>
  <si>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</si>
  <si>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</si>
  <si>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</si>
  <si>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</si>
  <si>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</si>
  <si>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</si>
  <si>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</si>
  <si>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</si>
  <si>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</si>
  <si>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</si>
  <si>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</si>
  <si>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</si>
  <si>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</si>
  <si>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</si>
  <si>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III</t>
  </si>
  <si>
    <t>IV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</si>
  <si>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</si>
  <si>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</si>
  <si>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</si>
  <si>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</si>
  <si>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</si>
  <si>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</si>
  <si>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</si>
  <si>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</si>
  <si>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</si>
  <si>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</si>
  <si>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</si>
  <si>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</si>
  <si>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</si>
  <si>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</si>
  <si>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</si>
  <si>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</si>
  <si>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</si>
  <si>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</si>
  <si>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</si>
  <si>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</si>
  <si>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</si>
  <si>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</si>
  <si>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</si>
  <si>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</si>
  <si>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</si>
  <si>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</si>
  <si>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</si>
  <si>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</si>
  <si>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</si>
  <si>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</si>
  <si>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</si>
  <si>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</si>
  <si>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</si>
  <si>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</si>
  <si>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</si>
  <si>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</si>
  <si>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</si>
  <si>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</si>
  <si>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</si>
  <si>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</si>
  <si>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</si>
  <si>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</si>
  <si>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</si>
  <si>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</si>
  <si>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</si>
  <si>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</si>
  <si>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</si>
  <si>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</si>
  <si>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</si>
  <si>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</si>
  <si>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</si>
  <si>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</si>
  <si>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</si>
  <si>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</si>
  <si>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</si>
  <si>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</si>
  <si>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</si>
  <si>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</si>
  <si>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</si>
  <si>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</si>
  <si>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</si>
  <si>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UPAH LAIN-LAIN</t>
  </si>
  <si>
    <t>Staff Teknik</t>
  </si>
  <si>
    <t>TL. Teknik</t>
  </si>
  <si>
    <t>MULP</t>
  </si>
  <si>
    <t>PEMASANGAN TRAFO</t>
  </si>
  <si>
    <t>I2</t>
  </si>
  <si>
    <t>CONDUKTOR</t>
  </si>
  <si>
    <t xml:space="preserve">Jumper Wire : </t>
  </si>
  <si>
    <t>CM2-11M</t>
  </si>
  <si>
    <t>Stainless Steel Strap 20 X 0.7 mm</t>
  </si>
  <si>
    <t>CM2-11</t>
  </si>
  <si>
    <t>SCHOOR</t>
  </si>
  <si>
    <t>CE1-3</t>
  </si>
  <si>
    <t>F1-3</t>
  </si>
  <si>
    <t>CM2-12A</t>
  </si>
  <si>
    <t>Trafo 3 Fasa 100 KVA 2 Tiang (G313)</t>
  </si>
  <si>
    <t>K3-67</t>
  </si>
  <si>
    <t>DC KDS16 - KDS03</t>
  </si>
  <si>
    <t>AGS KUSTIANAH</t>
  </si>
  <si>
    <t>PEMBANGUNAN JARINGAN TR</t>
  </si>
  <si>
    <t>Daya 66.000 VA</t>
  </si>
  <si>
    <t>Pemasangan APP 3 Fasa Di Bangunan</t>
  </si>
  <si>
    <t>CJ5-T</t>
  </si>
  <si>
    <t>CJ6-T</t>
  </si>
  <si>
    <t>CM5-4</t>
  </si>
  <si>
    <t>KOORDINAT : -6.858227, 110.787909</t>
  </si>
  <si>
    <t>DS CANGKRING KEC. KARANGANYAR</t>
  </si>
  <si>
    <t>Demak,03 Agustus 2023</t>
  </si>
  <si>
    <t>MANAGER ULP</t>
  </si>
  <si>
    <t>ACHMAD SUHENDRO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</si>
</sst>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u/>
      <sz val="10"/>
      <color theme="10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79">
    <xf numFmtId="0" fontId="0" fillId="0" borderId="0"/>
    <xf numFmtId="172" fontId="40" fillId="0" borderId="0">
      <alignment horizontal="centerContinuous"/>
    </xf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62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4" fontId="34" fillId="0" borderId="0" applyFill="0" applyBorder="0" applyAlignment="0"/>
    <xf numFmtId="174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167" fontId="103" fillId="0" borderId="0" applyFont="0" applyFill="0" applyBorder="0" applyAlignment="0" applyProtection="0"/>
    <xf numFmtId="0" fontId="63" fillId="0" borderId="0"/>
    <xf numFmtId="0" fontId="63" fillId="0" borderId="0"/>
    <xf numFmtId="0" fontId="63" fillId="0" borderId="0"/>
    <xf numFmtId="167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80" fontId="34" fillId="0" borderId="0" applyFont="0" applyFill="0" applyBorder="0" applyAlignment="0" applyProtection="0"/>
    <xf numFmtId="180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7" fontId="34" fillId="0" borderId="0" applyFont="0" applyFill="0" applyBorder="0" applyAlignment="0" applyProtection="0"/>
    <xf numFmtId="177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1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8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5" fillId="0" borderId="0" applyFont="0" applyFill="0" applyBorder="0" applyAlignment="0" applyProtection="0"/>
    <xf numFmtId="185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206" fontId="20" fillId="0" borderId="0" applyFont="0" applyFill="0" applyBorder="0" applyAlignment="0" applyProtection="0"/>
    <xf numFmtId="205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3" fontId="68" fillId="0" borderId="0" applyFont="0" applyFill="0" applyBorder="0" applyAlignment="0" applyProtection="0"/>
    <xf numFmtId="0" fontId="69" fillId="0" borderId="0" applyNumberFormat="0" applyAlignment="0">
      <alignment horizontal="left"/>
    </xf>
    <xf numFmtId="0" fontId="63" fillId="0" borderId="0"/>
    <xf numFmtId="0" fontId="63" fillId="0" borderId="0"/>
    <xf numFmtId="186" fontId="34" fillId="0" borderId="3"/>
    <xf numFmtId="186" fontId="20" fillId="0" borderId="3"/>
    <xf numFmtId="164" fontId="21" fillId="0" borderId="0" applyFont="0" applyFill="0" applyBorder="0" applyAlignment="0" applyProtection="0"/>
    <xf numFmtId="164" fontId="46" fillId="0" borderId="0" applyFont="0" applyFill="0" applyBorder="0" applyAlignment="0" applyProtection="0"/>
    <xf numFmtId="173" fontId="34" fillId="0" borderId="0" applyFont="0" applyFill="0" applyBorder="0" applyAlignment="0" applyProtection="0"/>
    <xf numFmtId="173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66" fontId="34" fillId="0" borderId="0" applyFont="0" applyFill="0" applyBorder="0" applyAlignment="0" applyProtection="0"/>
    <xf numFmtId="166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68" fillId="0" borderId="0" applyFont="0" applyFill="0" applyBorder="0" applyAlignment="0" applyProtection="0"/>
    <xf numFmtId="188" fontId="70" fillId="0" borderId="0">
      <protection locked="0"/>
    </xf>
    <xf numFmtId="14" fontId="62" fillId="0" borderId="0" applyFill="0" applyBorder="0" applyAlignment="0"/>
    <xf numFmtId="189" fontId="71" fillId="0" borderId="0">
      <protection locked="0"/>
    </xf>
    <xf numFmtId="0" fontId="72" fillId="0" borderId="0"/>
    <xf numFmtId="0" fontId="72" fillId="0" borderId="4"/>
    <xf numFmtId="0" fontId="72" fillId="0" borderId="4"/>
    <xf numFmtId="0" fontId="72" fillId="0" borderId="4"/>
    <xf numFmtId="0" fontId="72" fillId="0" borderId="4"/>
    <xf numFmtId="0" fontId="73" fillId="22" borderId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4" fillId="0" borderId="0" applyNumberFormat="0" applyAlignment="0">
      <alignment horizontal="left"/>
    </xf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5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6" fillId="0" borderId="0">
      <protection locked="0"/>
    </xf>
    <xf numFmtId="190" fontId="70" fillId="0" borderId="0">
      <protection locked="0"/>
    </xf>
    <xf numFmtId="0" fontId="77" fillId="0" borderId="5"/>
    <xf numFmtId="0" fontId="77" fillId="0" borderId="5"/>
    <xf numFmtId="0" fontId="77" fillId="0" borderId="5"/>
    <xf numFmtId="0" fontId="77" fillId="0" borderId="5"/>
    <xf numFmtId="0" fontId="77" fillId="0" borderId="4"/>
    <xf numFmtId="0" fontId="77" fillId="0" borderId="4"/>
    <xf numFmtId="0" fontId="77" fillId="23" borderId="4"/>
    <xf numFmtId="0" fontId="77" fillId="23" borderId="4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78" fillId="0" borderId="0" applyNumberFormat="0"/>
    <xf numFmtId="38" fontId="39" fillId="24" borderId="0" applyNumberFormat="0" applyBorder="0" applyAlignment="0" applyProtection="0"/>
    <xf numFmtId="0" fontId="79" fillId="0" borderId="6" applyNumberFormat="0" applyAlignment="0" applyProtection="0">
      <alignment horizontal="left" vertical="center"/>
    </xf>
    <xf numFmtId="0" fontId="79" fillId="0" borderId="7">
      <alignment horizontal="left" vertical="center"/>
    </xf>
    <xf numFmtId="0" fontId="79" fillId="0" borderId="7">
      <alignment horizontal="left" vertical="center"/>
    </xf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91" fontId="75" fillId="0" borderId="0">
      <protection locked="0"/>
    </xf>
    <xf numFmtId="191" fontId="75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1" fillId="7" borderId="1" applyNumberFormat="0" applyAlignment="0" applyProtection="0"/>
    <xf numFmtId="10" fontId="39" fillId="25" borderId="3" applyNumberFormat="0" applyBorder="0" applyAlignment="0" applyProtection="0"/>
    <xf numFmtId="10" fontId="39" fillId="25" borderId="3" applyNumberFormat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192" fontId="34" fillId="0" borderId="0" applyFont="0" applyFill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37" fontId="80" fillId="0" borderId="0"/>
    <xf numFmtId="193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20" fillId="0" borderId="0"/>
    <xf numFmtId="193" fontId="34" fillId="0" borderId="0"/>
    <xf numFmtId="172" fontId="81" fillId="0" borderId="0"/>
    <xf numFmtId="172" fontId="82" fillId="0" borderId="0"/>
    <xf numFmtId="172" fontId="82" fillId="0" borderId="0"/>
    <xf numFmtId="0" fontId="64" fillId="0" borderId="0"/>
    <xf numFmtId="0" fontId="110" fillId="0" borderId="0"/>
    <xf numFmtId="0" fontId="34" fillId="0" borderId="0"/>
    <xf numFmtId="0" fontId="20" fillId="0" borderId="0"/>
    <xf numFmtId="0" fontId="67" fillId="0" borderId="0"/>
    <xf numFmtId="0" fontId="34" fillId="0" borderId="0"/>
    <xf numFmtId="12" fontId="34" fillId="0" borderId="0"/>
    <xf numFmtId="12" fontId="2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67" fillId="0" borderId="0"/>
    <xf numFmtId="0" fontId="34" fillId="0" borderId="0"/>
    <xf numFmtId="0" fontId="11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34" fillId="0" borderId="0"/>
    <xf numFmtId="0" fontId="34" fillId="0" borderId="0"/>
    <xf numFmtId="0" fontId="65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21" fillId="0" borderId="0"/>
    <xf numFmtId="0" fontId="21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62" fillId="0" borderId="0">
      <alignment vertical="top"/>
    </xf>
    <xf numFmtId="0" fontId="21" fillId="0" borderId="0"/>
    <xf numFmtId="194" fontId="41" fillId="0" borderId="0"/>
    <xf numFmtId="0" fontId="110" fillId="0" borderId="0"/>
    <xf numFmtId="0" fontId="1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34" fillId="0" borderId="0" applyNumberFormat="0" applyFont="0" applyFill="0" applyAlignment="0" applyProtection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 applyNumberFormat="0" applyFont="0" applyFill="0" applyAlignment="0" applyProtection="0"/>
    <xf numFmtId="0" fontId="82" fillId="0" borderId="0"/>
    <xf numFmtId="0" fontId="82" fillId="0" borderId="0"/>
    <xf numFmtId="0" fontId="20" fillId="0" borderId="0" applyNumberFormat="0" applyFont="0" applyFill="0" applyAlignment="0" applyProtection="0"/>
    <xf numFmtId="0" fontId="34" fillId="0" borderId="0"/>
    <xf numFmtId="0" fontId="110" fillId="0" borderId="0"/>
    <xf numFmtId="182" fontId="82" fillId="0" borderId="0"/>
    <xf numFmtId="0" fontId="82" fillId="0" borderId="0"/>
    <xf numFmtId="195" fontId="82" fillId="0" borderId="0"/>
    <xf numFmtId="196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5" fontId="82" fillId="0" borderId="0"/>
    <xf numFmtId="0" fontId="82" fillId="0" borderId="0"/>
    <xf numFmtId="0" fontId="34" fillId="0" borderId="0"/>
    <xf numFmtId="0" fontId="20" fillId="0" borderId="0"/>
    <xf numFmtId="182" fontId="8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 applyNumberFormat="0" applyFont="0" applyFill="0" applyAlignment="0" applyProtection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198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7" fontId="82" fillId="0" borderId="0"/>
    <xf numFmtId="199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2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2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194" fontId="41" fillId="0" borderId="0"/>
    <xf numFmtId="0" fontId="20" fillId="0" borderId="0"/>
    <xf numFmtId="0" fontId="20" fillId="0" borderId="0" applyProtection="0"/>
    <xf numFmtId="0" fontId="110" fillId="0" borderId="0"/>
    <xf numFmtId="0" fontId="110" fillId="0" borderId="0"/>
    <xf numFmtId="0" fontId="110" fillId="0" borderId="0"/>
    <xf numFmtId="0" fontId="20" fillId="0" borderId="0"/>
    <xf numFmtId="0" fontId="20" fillId="0" borderId="0" applyProtection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4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34" fillId="0" borderId="0"/>
    <xf numFmtId="0" fontId="20" fillId="0" borderId="0"/>
    <xf numFmtId="0" fontId="11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112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1" fillId="0" borderId="0"/>
    <xf numFmtId="0" fontId="111" fillId="0" borderId="0"/>
    <xf numFmtId="0" fontId="6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20" fillId="0" borderId="0"/>
    <xf numFmtId="194" fontId="41" fillId="0" borderId="0"/>
    <xf numFmtId="194" fontId="41" fillId="0" borderId="0"/>
    <xf numFmtId="0" fontId="1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176" fontId="34" fillId="0" borderId="0" applyFont="0" applyFill="0" applyBorder="0" applyAlignment="0" applyProtection="0"/>
    <xf numFmtId="176" fontId="20" fillId="0" borderId="0" applyFont="0" applyFill="0" applyBorder="0" applyAlignment="0" applyProtection="0"/>
    <xf numFmtId="200" fontId="34" fillId="0" borderId="0" applyFont="0" applyFill="0" applyBorder="0" applyAlignment="0" applyProtection="0"/>
    <xf numFmtId="200" fontId="20" fillId="0" borderId="0" applyFont="0" applyFill="0" applyBorder="0" applyAlignment="0" applyProtection="0"/>
    <xf numFmtId="10" fontId="34" fillId="0" borderId="0" applyFont="0" applyFill="0" applyBorder="0" applyAlignment="0" applyProtection="0"/>
    <xf numFmtId="10" fontId="2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2" fillId="0" borderId="0"/>
    <xf numFmtId="201" fontId="85" fillId="0" borderId="0" applyNumberFormat="0" applyFill="0" applyBorder="0" applyAlignment="0" applyProtection="0">
      <alignment horizontal="left"/>
    </xf>
    <xf numFmtId="0" fontId="86" fillId="0" borderId="14"/>
    <xf numFmtId="0" fontId="86" fillId="0" borderId="14"/>
    <xf numFmtId="0" fontId="87" fillId="0" borderId="15"/>
    <xf numFmtId="0" fontId="87" fillId="0" borderId="15"/>
    <xf numFmtId="40" fontId="88" fillId="0" borderId="0" applyBorder="0">
      <alignment horizontal="right"/>
    </xf>
    <xf numFmtId="49" fontId="62" fillId="0" borderId="0" applyFill="0" applyBorder="0" applyAlignment="0"/>
    <xf numFmtId="202" fontId="34" fillId="0" borderId="0" applyFill="0" applyBorder="0" applyAlignment="0"/>
    <xf numFmtId="202" fontId="20" fillId="0" borderId="0" applyFill="0" applyBorder="0" applyAlignment="0"/>
    <xf numFmtId="203" fontId="34" fillId="0" borderId="0" applyFill="0" applyBorder="0" applyAlignment="0"/>
    <xf numFmtId="203" fontId="20" fillId="0" borderId="0" applyFill="0" applyBorder="0" applyAlignment="0"/>
    <xf numFmtId="204" fontId="89" fillId="0" borderId="16" applyFont="0" applyBorder="0" applyAlignment="0">
      <alignment horizontal="right"/>
    </xf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4" fillId="0" borderId="0"/>
    <xf numFmtId="0" fontId="8" fillId="0" borderId="0"/>
    <xf numFmtId="9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7" fillId="0" borderId="0"/>
    <xf numFmtId="41" fontId="20" fillId="0" borderId="0" applyFont="0" applyFill="0" applyBorder="0" applyAlignment="0" applyProtection="0"/>
    <xf numFmtId="9" fontId="161" fillId="0" borderId="0" applyFont="0" applyFill="0" applyBorder="0" applyAlignment="0" applyProtection="0"/>
    <xf numFmtId="41" fontId="173" fillId="0" borderId="0" applyFont="0" applyFill="0" applyBorder="0" applyAlignment="0" applyProtection="0"/>
    <xf numFmtId="0" fontId="20" fillId="0" borderId="0"/>
    <xf numFmtId="0" fontId="175" fillId="0" borderId="0" applyNumberFormat="0" applyFill="0" applyBorder="0" applyAlignment="0" applyProtection="0"/>
  </cellStyleXfs>
  <cellXfs count="720">
    <xf numFmtId="0" fontId="0" fillId="0" borderId="0" xfId="0"/>
    <xf numFmtId="0" fontId="43" fillId="0" borderId="0" xfId="1448" applyFont="1" applyAlignment="1">
      <alignment horizontal="center" wrapText="1"/>
    </xf>
    <xf numFmtId="0" fontId="42" fillId="0" borderId="0" xfId="1448" applyFont="1" applyAlignment="1">
      <alignment horizontal="left" vertical="center" wrapText="1"/>
    </xf>
    <xf numFmtId="0" fontId="52" fillId="0" borderId="0" xfId="1448" applyFont="1" applyAlignment="1">
      <alignment horizontal="center" wrapText="1"/>
    </xf>
    <xf numFmtId="3" fontId="43" fillId="0" borderId="0" xfId="1448" applyNumberFormat="1" applyFont="1" applyAlignment="1">
      <alignment horizontal="center" vertical="center" wrapText="1"/>
    </xf>
    <xf numFmtId="0" fontId="52" fillId="0" borderId="0" xfId="1448" applyFont="1" applyAlignment="1">
      <alignment wrapText="1"/>
    </xf>
    <xf numFmtId="0" fontId="53" fillId="0" borderId="0" xfId="1448" applyFont="1" applyAlignment="1">
      <alignment wrapText="1"/>
    </xf>
    <xf numFmtId="0" fontId="42" fillId="0" borderId="0" xfId="1448" applyFont="1" applyAlignment="1">
      <alignment horizontal="center" wrapText="1"/>
    </xf>
    <xf numFmtId="0" fontId="42" fillId="0" borderId="0" xfId="1448" applyFont="1" applyAlignment="1">
      <alignment horizontal="center" vertical="center" wrapText="1"/>
    </xf>
    <xf numFmtId="3" fontId="42" fillId="0" borderId="0" xfId="1448" applyNumberFormat="1" applyFont="1" applyAlignment="1">
      <alignment horizontal="center" vertical="center" wrapText="1"/>
    </xf>
    <xf numFmtId="0" fontId="42" fillId="0" borderId="18" xfId="1448" applyFont="1" applyBorder="1" applyAlignment="1">
      <alignment horizontal="center" vertical="center" wrapText="1"/>
    </xf>
    <xf numFmtId="0" fontId="43" fillId="0" borderId="0" xfId="1448" applyFont="1" applyAlignment="1">
      <alignment horizontal="center" vertical="center" wrapText="1"/>
    </xf>
    <xf numFmtId="0" fontId="52" fillId="0" borderId="0" xfId="1448" applyFont="1" applyAlignment="1">
      <alignment horizontal="center" vertical="center" wrapText="1"/>
    </xf>
    <xf numFmtId="0" fontId="55" fillId="0" borderId="18" xfId="1448" applyFont="1" applyBorder="1" applyAlignment="1">
      <alignment horizontal="center" wrapText="1"/>
    </xf>
    <xf numFmtId="0" fontId="56" fillId="0" borderId="0" xfId="1448" applyFont="1" applyAlignment="1">
      <alignment wrapText="1"/>
    </xf>
    <xf numFmtId="0" fontId="43" fillId="0" borderId="18" xfId="1448" applyFont="1" applyBorder="1" applyAlignment="1">
      <alignment horizontal="center" vertical="center" wrapText="1"/>
    </xf>
    <xf numFmtId="165" fontId="43" fillId="0" borderId="0" xfId="527" applyNumberFormat="1" applyFont="1" applyFill="1" applyBorder="1" applyAlignment="1">
      <alignment horizontal="center" wrapText="1"/>
    </xf>
    <xf numFmtId="0" fontId="43" fillId="0" borderId="18" xfId="1448" quotePrefix="1" applyFont="1" applyBorder="1" applyAlignment="1">
      <alignment horizontal="center" vertical="center" wrapText="1"/>
    </xf>
    <xf numFmtId="18" fontId="43" fillId="0" borderId="18" xfId="1448" quotePrefix="1" applyNumberFormat="1" applyFont="1" applyBorder="1" applyAlignment="1">
      <alignment horizontal="center" vertical="center" wrapText="1"/>
    </xf>
    <xf numFmtId="0" fontId="52" fillId="0" borderId="0" xfId="1448" applyFont="1" applyAlignment="1">
      <alignment vertical="top" wrapText="1"/>
    </xf>
    <xf numFmtId="165" fontId="43" fillId="0" borderId="18" xfId="1448" applyNumberFormat="1" applyFont="1" applyBorder="1" applyAlignment="1">
      <alignment horizontal="center" vertical="center" wrapText="1"/>
    </xf>
    <xf numFmtId="17" fontId="43" fillId="0" borderId="18" xfId="1448" quotePrefix="1" applyNumberFormat="1" applyFont="1" applyBorder="1" applyAlignment="1">
      <alignment horizontal="center" vertical="center" wrapText="1"/>
    </xf>
    <xf numFmtId="165" fontId="43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7" fillId="0" borderId="0" xfId="1614" applyFont="1" applyAlignment="1">
      <alignment horizontal="center" vertical="center"/>
    </xf>
    <xf numFmtId="0" fontId="42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/>
    </xf>
    <xf numFmtId="167" fontId="51" fillId="0" borderId="0" xfId="1652" applyNumberFormat="1" applyFont="1"/>
    <xf numFmtId="0" fontId="110" fillId="0" borderId="19" xfId="1614" applyBorder="1" applyAlignment="1">
      <alignment horizontal="center"/>
    </xf>
    <xf numFmtId="0" fontId="51" fillId="0" borderId="0" xfId="1614" applyFont="1" applyAlignment="1">
      <alignment horizontal="center"/>
    </xf>
    <xf numFmtId="0" fontId="51" fillId="0" borderId="0" xfId="1614" applyFont="1" applyAlignment="1">
      <alignment horizontal="center" vertical="center" wrapText="1"/>
    </xf>
    <xf numFmtId="3" fontId="43" fillId="0" borderId="0" xfId="1614" applyNumberFormat="1" applyFont="1" applyAlignment="1">
      <alignment vertical="center"/>
    </xf>
    <xf numFmtId="0" fontId="19" fillId="0" borderId="0" xfId="1614" applyFont="1" applyAlignment="1">
      <alignment horizontal="center"/>
    </xf>
    <xf numFmtId="0" fontId="43" fillId="0" borderId="20" xfId="1614" applyFont="1" applyBorder="1" applyAlignment="1">
      <alignment horizontal="center" vertical="center"/>
    </xf>
    <xf numFmtId="0" fontId="43" fillId="0" borderId="21" xfId="1614" applyFont="1" applyBorder="1" applyAlignment="1">
      <alignment horizontal="left" vertical="center" wrapText="1"/>
    </xf>
    <xf numFmtId="0" fontId="43" fillId="0" borderId="21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3" fillId="0" borderId="22" xfId="1614" applyNumberFormat="1" applyFont="1" applyBorder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3" fontId="60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/>
    </xf>
    <xf numFmtId="0" fontId="48" fillId="0" borderId="23" xfId="1614" applyFont="1" applyBorder="1" applyAlignment="1">
      <alignment horizontal="center" vertical="center"/>
    </xf>
    <xf numFmtId="0" fontId="48" fillId="0" borderId="24" xfId="1614" applyFont="1" applyBorder="1" applyAlignment="1">
      <alignment horizontal="left" vertical="center"/>
    </xf>
    <xf numFmtId="0" fontId="48" fillId="0" borderId="24" xfId="1614" applyFont="1" applyBorder="1" applyAlignment="1">
      <alignment vertical="center"/>
    </xf>
    <xf numFmtId="0" fontId="19" fillId="0" borderId="24" xfId="1614" applyFont="1" applyBorder="1" applyAlignment="1">
      <alignment horizontal="center" vertical="center"/>
    </xf>
    <xf numFmtId="3" fontId="43" fillId="0" borderId="24" xfId="1614" applyNumberFormat="1" applyFont="1" applyBorder="1" applyAlignment="1">
      <alignment horizontal="center" vertical="center"/>
    </xf>
    <xf numFmtId="3" fontId="43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19" fillId="0" borderId="0" xfId="1614" applyNumberFormat="1" applyFont="1" applyAlignment="1">
      <alignment horizontal="center"/>
    </xf>
    <xf numFmtId="37" fontId="61" fillId="0" borderId="0" xfId="1614" applyNumberFormat="1" applyFont="1" applyAlignment="1">
      <alignment horizontal="center"/>
    </xf>
    <xf numFmtId="37" fontId="51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1" fillId="0" borderId="30" xfId="1614" applyNumberFormat="1" applyFont="1" applyBorder="1" applyAlignment="1">
      <alignment horizontal="center"/>
    </xf>
    <xf numFmtId="0" fontId="50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8" fillId="0" borderId="0" xfId="1614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0" fontId="48" fillId="0" borderId="0" xfId="1614" applyFont="1" applyAlignment="1">
      <alignment vertical="center"/>
    </xf>
    <xf numFmtId="0" fontId="19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7" fillId="0" borderId="0" xfId="1614" applyFont="1" applyAlignment="1">
      <alignment vertical="center"/>
    </xf>
    <xf numFmtId="0" fontId="47" fillId="0" borderId="0" xfId="1614" applyFont="1" applyAlignment="1">
      <alignment horizontal="center"/>
    </xf>
    <xf numFmtId="0" fontId="90" fillId="0" borderId="0" xfId="1614" applyFont="1" applyAlignment="1">
      <alignment horizontal="center" vertical="center" wrapText="1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37" fontId="51" fillId="0" borderId="27" xfId="1614" applyNumberFormat="1" applyFont="1" applyBorder="1" applyAlignment="1">
      <alignment horizontal="center"/>
    </xf>
    <xf numFmtId="37" fontId="61" fillId="0" borderId="32" xfId="1614" applyNumberFormat="1" applyFont="1" applyBorder="1" applyAlignment="1">
      <alignment horizontal="center"/>
    </xf>
    <xf numFmtId="0" fontId="19" fillId="0" borderId="21" xfId="1652" applyFont="1" applyBorder="1" applyAlignment="1">
      <alignment horizontal="center" vertical="center"/>
    </xf>
    <xf numFmtId="0" fontId="42" fillId="0" borderId="0" xfId="1448" applyFont="1" applyAlignment="1">
      <alignment horizontal="left" vertical="center"/>
    </xf>
    <xf numFmtId="0" fontId="52" fillId="0" borderId="0" xfId="1448" applyFont="1" applyAlignment="1">
      <alignment horizontal="left" wrapText="1"/>
    </xf>
    <xf numFmtId="3" fontId="59" fillId="0" borderId="0" xfId="1614" applyNumberFormat="1" applyFont="1" applyAlignment="1">
      <alignment horizontal="center"/>
    </xf>
    <xf numFmtId="0" fontId="51" fillId="0" borderId="0" xfId="1614" applyFont="1"/>
    <xf numFmtId="0" fontId="43" fillId="0" borderId="21" xfId="1448" applyFont="1" applyBorder="1" applyAlignment="1">
      <alignment horizontal="center" vertical="center"/>
    </xf>
    <xf numFmtId="0" fontId="43" fillId="0" borderId="21" xfId="1448" applyFont="1" applyBorder="1" applyAlignment="1">
      <alignment horizontal="left" wrapText="1"/>
    </xf>
    <xf numFmtId="0" fontId="52" fillId="0" borderId="21" xfId="1448" applyFont="1" applyBorder="1" applyAlignment="1">
      <alignment horizontal="center" wrapText="1"/>
    </xf>
    <xf numFmtId="0" fontId="43" fillId="0" borderId="21" xfId="1448" applyFont="1" applyBorder="1" applyAlignment="1">
      <alignment horizontal="center" vertical="center" wrapText="1"/>
    </xf>
    <xf numFmtId="3" fontId="43" fillId="0" borderId="21" xfId="1448" applyNumberFormat="1" applyFont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61" fillId="0" borderId="34" xfId="1614" applyFont="1" applyBorder="1" applyAlignment="1">
      <alignment vertical="center"/>
    </xf>
    <xf numFmtId="169" fontId="43" fillId="0" borderId="0" xfId="714" applyFont="1" applyFill="1" applyAlignment="1">
      <alignment horizontal="center" wrapText="1"/>
    </xf>
    <xf numFmtId="169" fontId="42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3" fillId="0" borderId="0" xfId="1448" applyFont="1" applyAlignment="1">
      <alignment vertical="center" wrapText="1"/>
    </xf>
    <xf numFmtId="169" fontId="43" fillId="0" borderId="21" xfId="715" applyNumberFormat="1" applyFont="1" applyFill="1" applyBorder="1" applyAlignment="1">
      <alignment horizontal="center" vertical="center" wrapText="1"/>
    </xf>
    <xf numFmtId="169" fontId="43" fillId="0" borderId="21" xfId="714" applyFont="1" applyFill="1" applyBorder="1" applyAlignment="1">
      <alignment horizontal="center" vertical="center" wrapText="1"/>
    </xf>
    <xf numFmtId="169" fontId="43" fillId="0" borderId="33" xfId="714" applyFont="1" applyFill="1" applyBorder="1" applyAlignment="1">
      <alignment horizontal="center" vertical="center" wrapText="1"/>
    </xf>
    <xf numFmtId="167" fontId="42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7" fillId="0" borderId="20" xfId="1652" applyFont="1" applyBorder="1" applyAlignment="1">
      <alignment horizontal="center" vertical="center"/>
    </xf>
    <xf numFmtId="0" fontId="17" fillId="0" borderId="21" xfId="1652" applyFont="1" applyBorder="1" applyAlignment="1">
      <alignment horizontal="center" vertical="center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3" fontId="42" fillId="0" borderId="0" xfId="1614" applyNumberFormat="1" applyFont="1" applyAlignment="1">
      <alignment horizontal="left" vertical="center"/>
    </xf>
    <xf numFmtId="3" fontId="42" fillId="0" borderId="3" xfId="1448" applyNumberFormat="1" applyFont="1" applyBorder="1" applyAlignment="1">
      <alignment horizontal="center" vertical="center" wrapText="1"/>
    </xf>
    <xf numFmtId="0" fontId="43" fillId="0" borderId="21" xfId="1451" applyFont="1" applyBorder="1" applyAlignment="1">
      <alignment horizontal="left" vertical="center" wrapText="1"/>
    </xf>
    <xf numFmtId="0" fontId="55" fillId="0" borderId="18" xfId="1448" quotePrefix="1" applyFont="1" applyBorder="1" applyAlignment="1">
      <alignment horizontal="center" vertical="center" wrapText="1"/>
    </xf>
    <xf numFmtId="0" fontId="47" fillId="0" borderId="0" xfId="1505" applyFont="1"/>
    <xf numFmtId="0" fontId="59" fillId="0" borderId="0" xfId="1615" applyFont="1" applyAlignment="1">
      <alignment horizontal="center"/>
    </xf>
    <xf numFmtId="0" fontId="47" fillId="0" borderId="0" xfId="1615" applyFont="1" applyAlignment="1">
      <alignment horizontal="center" vertical="center"/>
    </xf>
    <xf numFmtId="0" fontId="42" fillId="0" borderId="0" xfId="1615" applyFont="1" applyAlignment="1">
      <alignment horizontal="left" vertical="center"/>
    </xf>
    <xf numFmtId="0" fontId="42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4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167" fontId="42" fillId="0" borderId="0" xfId="1615" applyNumberFormat="1" applyFont="1" applyAlignment="1">
      <alignment horizontal="left" vertical="center"/>
    </xf>
    <xf numFmtId="167" fontId="51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3" fillId="0" borderId="35" xfId="1615" applyFont="1" applyBorder="1" applyAlignment="1">
      <alignment horizontal="center" vertical="center"/>
    </xf>
    <xf numFmtId="0" fontId="43" fillId="0" borderId="35" xfId="1615" applyFont="1" applyBorder="1" applyAlignment="1">
      <alignment horizontal="left" vertical="center" wrapText="1"/>
    </xf>
    <xf numFmtId="0" fontId="43" fillId="0" borderId="35" xfId="1615" applyFont="1" applyBorder="1" applyAlignment="1">
      <alignment horizontal="center" vertical="center" wrapText="1"/>
    </xf>
    <xf numFmtId="0" fontId="45" fillId="0" borderId="35" xfId="1615" applyFont="1" applyBorder="1" applyAlignment="1">
      <alignment horizontal="center" vertical="center"/>
    </xf>
    <xf numFmtId="0" fontId="12" fillId="0" borderId="35" xfId="1653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0" fontId="12" fillId="0" borderId="0" xfId="1615" applyFont="1" applyAlignment="1">
      <alignment horizontal="center"/>
    </xf>
    <xf numFmtId="0" fontId="51" fillId="0" borderId="21" xfId="1653" applyFont="1" applyBorder="1" applyAlignment="1">
      <alignment horizontal="center" vertical="center"/>
    </xf>
    <xf numFmtId="0" fontId="51" fillId="0" borderId="21" xfId="1653" applyFont="1" applyBorder="1" applyAlignment="1">
      <alignment vertical="center" wrapText="1"/>
    </xf>
    <xf numFmtId="0" fontId="43" fillId="0" borderId="21" xfId="1615" applyFont="1" applyBorder="1" applyAlignment="1">
      <alignment horizontal="center" vertical="center" wrapText="1"/>
    </xf>
    <xf numFmtId="0" fontId="45" fillId="0" borderId="21" xfId="1615" applyFont="1" applyBorder="1" applyAlignment="1">
      <alignment horizontal="center" vertical="center"/>
    </xf>
    <xf numFmtId="0" fontId="12" fillId="0" borderId="21" xfId="1653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0" fontId="60" fillId="0" borderId="0" xfId="1615" applyFont="1" applyAlignment="1">
      <alignment horizontal="center"/>
    </xf>
    <xf numFmtId="3" fontId="12" fillId="0" borderId="21" xfId="1653" applyNumberFormat="1" applyFont="1" applyBorder="1" applyAlignment="1">
      <alignment horizontal="center" vertical="center"/>
    </xf>
    <xf numFmtId="0" fontId="47" fillId="0" borderId="0" xfId="1615" applyFont="1" applyAlignment="1">
      <alignment vertical="center"/>
    </xf>
    <xf numFmtId="0" fontId="47" fillId="0" borderId="33" xfId="1615" applyFont="1" applyBorder="1" applyAlignment="1">
      <alignment horizontal="center" vertical="center"/>
    </xf>
    <xf numFmtId="0" fontId="47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4" fillId="0" borderId="33" xfId="1615" applyNumberFormat="1" applyFont="1" applyBorder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49" fillId="0" borderId="0" xfId="1614" applyFont="1" applyAlignment="1">
      <alignment vertical="center"/>
    </xf>
    <xf numFmtId="0" fontId="59" fillId="0" borderId="0" xfId="1614" applyFont="1" applyAlignment="1">
      <alignment horizontal="center" vertical="center"/>
    </xf>
    <xf numFmtId="0" fontId="59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8" fillId="0" borderId="0" xfId="1614" applyFont="1" applyAlignment="1">
      <alignment horizontal="center"/>
    </xf>
    <xf numFmtId="0" fontId="90" fillId="0" borderId="0" xfId="1614" applyFont="1" applyAlignment="1">
      <alignment horizontal="center" vertical="center"/>
    </xf>
    <xf numFmtId="0" fontId="90" fillId="0" borderId="0" xfId="1614" applyFont="1" applyAlignment="1">
      <alignment vertical="center"/>
    </xf>
    <xf numFmtId="207" fontId="43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165" fontId="94" fillId="0" borderId="0" xfId="1448" applyNumberFormat="1" applyFont="1" applyAlignment="1">
      <alignment wrapText="1"/>
    </xf>
    <xf numFmtId="165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9" fontId="43" fillId="0" borderId="21" xfId="717" applyNumberFormat="1" applyFont="1" applyFill="1" applyBorder="1" applyAlignment="1" applyProtection="1">
      <alignment horizontal="center" vertical="center" wrapText="1"/>
    </xf>
    <xf numFmtId="165" fontId="43" fillId="0" borderId="21" xfId="1451" applyNumberFormat="1" applyFont="1" applyBorder="1" applyAlignment="1">
      <alignment horizontal="center" vertical="center" wrapText="1"/>
    </xf>
    <xf numFmtId="169" fontId="55" fillId="0" borderId="21" xfId="717" applyNumberFormat="1" applyFont="1" applyFill="1" applyBorder="1" applyAlignment="1" applyProtection="1">
      <alignment horizontal="center" vertical="center" wrapText="1"/>
    </xf>
    <xf numFmtId="0" fontId="43" fillId="0" borderId="21" xfId="1451" applyFont="1" applyBorder="1" applyAlignment="1">
      <alignment horizontal="center" vertical="center" wrapText="1"/>
    </xf>
    <xf numFmtId="169" fontId="43" fillId="0" borderId="21" xfId="728" applyFont="1" applyFill="1" applyBorder="1" applyAlignment="1" applyProtection="1">
      <alignment horizontal="center" vertical="center" wrapText="1"/>
    </xf>
    <xf numFmtId="3" fontId="43" fillId="0" borderId="21" xfId="1450" applyNumberFormat="1" applyFont="1" applyBorder="1" applyAlignment="1">
      <alignment horizontal="center" vertical="center" wrapText="1"/>
    </xf>
    <xf numFmtId="169" fontId="43" fillId="0" borderId="21" xfId="728" applyFont="1" applyFill="1" applyBorder="1" applyAlignment="1">
      <alignment horizontal="center" vertical="center" wrapText="1"/>
    </xf>
    <xf numFmtId="0" fontId="120" fillId="0" borderId="26" xfId="1451" applyFont="1" applyBorder="1"/>
    <xf numFmtId="0" fontId="120" fillId="0" borderId="36" xfId="1451" applyFont="1" applyBorder="1"/>
    <xf numFmtId="0" fontId="120" fillId="0" borderId="48" xfId="1451" applyFont="1" applyBorder="1"/>
    <xf numFmtId="0" fontId="120" fillId="0" borderId="28" xfId="1451" applyFont="1" applyBorder="1"/>
    <xf numFmtId="0" fontId="120" fillId="0" borderId="37" xfId="1451" applyFont="1" applyBorder="1"/>
    <xf numFmtId="0" fontId="115" fillId="0" borderId="37" xfId="1451" applyFont="1" applyBorder="1" applyAlignment="1">
      <alignment vertical="center"/>
    </xf>
    <xf numFmtId="0" fontId="120" fillId="0" borderId="34" xfId="1451" applyFont="1" applyBorder="1"/>
    <xf numFmtId="0" fontId="120" fillId="0" borderId="19" xfId="1451" applyFont="1" applyBorder="1"/>
    <xf numFmtId="0" fontId="115" fillId="0" borderId="19" xfId="1451" applyFont="1" applyBorder="1" applyAlignment="1">
      <alignment vertical="center"/>
    </xf>
    <xf numFmtId="0" fontId="115" fillId="0" borderId="19" xfId="1451" applyFont="1" applyBorder="1" applyAlignment="1">
      <alignment horizontal="center" vertical="center"/>
    </xf>
    <xf numFmtId="0" fontId="115" fillId="0" borderId="31" xfId="1451" applyFont="1" applyBorder="1" applyAlignment="1">
      <alignment vertical="center"/>
    </xf>
    <xf numFmtId="0" fontId="42" fillId="0" borderId="3" xfId="1448" applyFont="1" applyBorder="1" applyAlignment="1">
      <alignment horizontal="center" vertical="center"/>
    </xf>
    <xf numFmtId="0" fontId="42" fillId="0" borderId="3" xfId="1448" applyFont="1" applyBorder="1" applyAlignment="1">
      <alignment horizontal="left" vertical="center" wrapText="1"/>
    </xf>
    <xf numFmtId="0" fontId="42" fillId="0" borderId="3" xfId="1448" applyFont="1" applyBorder="1" applyAlignment="1">
      <alignment horizontal="center" vertical="center" wrapText="1"/>
    </xf>
    <xf numFmtId="169" fontId="42" fillId="0" borderId="3" xfId="715" applyNumberFormat="1" applyFont="1" applyFill="1" applyBorder="1" applyAlignment="1">
      <alignment horizontal="center" vertical="center" wrapText="1"/>
    </xf>
    <xf numFmtId="3" fontId="129" fillId="32" borderId="3" xfId="1448" applyNumberFormat="1" applyFont="1" applyFill="1" applyBorder="1" applyAlignment="1">
      <alignment horizontal="center" vertical="center" wrapText="1"/>
    </xf>
    <xf numFmtId="0" fontId="43" fillId="0" borderId="21" xfId="1451" applyFont="1" applyBorder="1" applyAlignment="1">
      <alignment horizontal="center" vertical="center"/>
    </xf>
    <xf numFmtId="0" fontId="135" fillId="0" borderId="21" xfId="1451" applyFont="1" applyBorder="1" applyAlignment="1">
      <alignment horizontal="left" vertical="center" wrapText="1"/>
    </xf>
    <xf numFmtId="0" fontId="43" fillId="33" borderId="21" xfId="1451" applyFont="1" applyFill="1" applyBorder="1" applyAlignment="1">
      <alignment horizontal="left" vertical="center" wrapText="1"/>
    </xf>
    <xf numFmtId="0" fontId="43" fillId="0" borderId="21" xfId="1451" applyFont="1" applyBorder="1" applyAlignment="1">
      <alignment horizontal="left" wrapText="1"/>
    </xf>
    <xf numFmtId="0" fontId="43" fillId="0" borderId="21" xfId="1450" applyFont="1" applyBorder="1" applyAlignment="1">
      <alignment horizontal="center" vertical="center"/>
    </xf>
    <xf numFmtId="0" fontId="43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167" fontId="128" fillId="0" borderId="0" xfId="523" applyFont="1" applyFill="1" applyAlignment="1">
      <alignment horizontal="left" wrapText="1"/>
    </xf>
    <xf numFmtId="0" fontId="7" fillId="0" borderId="0" xfId="2673" applyAlignment="1">
      <alignment vertical="center" wrapText="1"/>
    </xf>
    <xf numFmtId="0" fontId="7" fillId="0" borderId="0" xfId="2673" applyAlignment="1">
      <alignment horizontal="center" vertical="center" wrapText="1"/>
    </xf>
    <xf numFmtId="0" fontId="7" fillId="0" borderId="28" xfId="2673" applyBorder="1" applyAlignment="1">
      <alignment vertical="center" wrapText="1"/>
    </xf>
    <xf numFmtId="0" fontId="133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3" fillId="0" borderId="28" xfId="2673" applyFont="1" applyBorder="1" applyAlignment="1">
      <alignment vertical="center" wrapText="1"/>
    </xf>
    <xf numFmtId="0" fontId="9" fillId="0" borderId="21" xfId="1615" applyFont="1" applyBorder="1" applyAlignment="1">
      <alignment horizontal="center" vertical="center"/>
    </xf>
    <xf numFmtId="0" fontId="120" fillId="33" borderId="0" xfId="1451" applyFont="1" applyFill="1"/>
    <xf numFmtId="0" fontId="120" fillId="33" borderId="26" xfId="1451" applyFont="1" applyFill="1" applyBorder="1"/>
    <xf numFmtId="0" fontId="120" fillId="33" borderId="36" xfId="1451" applyFont="1" applyFill="1" applyBorder="1"/>
    <xf numFmtId="0" fontId="120" fillId="33" borderId="48" xfId="1451" applyFont="1" applyFill="1" applyBorder="1"/>
    <xf numFmtId="0" fontId="120" fillId="33" borderId="28" xfId="1451" applyFont="1" applyFill="1" applyBorder="1"/>
    <xf numFmtId="0" fontId="120" fillId="33" borderId="37" xfId="1451" applyFont="1" applyFill="1" applyBorder="1"/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horizontal="center" vertical="center"/>
    </xf>
    <xf numFmtId="0" fontId="124" fillId="33" borderId="0" xfId="1451" applyFont="1" applyFill="1"/>
    <xf numFmtId="0" fontId="125" fillId="33" borderId="0" xfId="1451" applyFont="1" applyFill="1"/>
    <xf numFmtId="0" fontId="115" fillId="33" borderId="0" xfId="1451" applyFont="1" applyFill="1" applyAlignment="1">
      <alignment vertical="center"/>
    </xf>
    <xf numFmtId="0" fontId="115" fillId="33" borderId="37" xfId="1451" applyFont="1" applyFill="1" applyBorder="1" applyAlignment="1">
      <alignment vertical="center"/>
    </xf>
    <xf numFmtId="0" fontId="125" fillId="33" borderId="0" xfId="1451" applyFont="1" applyFill="1" applyAlignment="1">
      <alignment horizontal="center"/>
    </xf>
    <xf numFmtId="0" fontId="115" fillId="33" borderId="0" xfId="1451" applyFont="1" applyFill="1" applyAlignment="1">
      <alignment horizontal="center" vertical="center"/>
    </xf>
    <xf numFmtId="0" fontId="115" fillId="33" borderId="37" xfId="1451" applyFont="1" applyFill="1" applyBorder="1" applyAlignment="1">
      <alignment horizontal="center" vertical="center"/>
    </xf>
    <xf numFmtId="0" fontId="126" fillId="33" borderId="0" xfId="1451" applyFont="1" applyFill="1" applyAlignment="1">
      <alignment vertical="center"/>
    </xf>
    <xf numFmtId="0" fontId="126" fillId="33" borderId="37" xfId="1451" applyFont="1" applyFill="1" applyBorder="1" applyAlignment="1">
      <alignment vertical="center"/>
    </xf>
    <xf numFmtId="0" fontId="120" fillId="33" borderId="34" xfId="1451" applyFont="1" applyFill="1" applyBorder="1"/>
    <xf numFmtId="0" fontId="120" fillId="33" borderId="19" xfId="1451" applyFont="1" applyFill="1" applyBorder="1"/>
    <xf numFmtId="0" fontId="115" fillId="33" borderId="19" xfId="1451" applyFont="1" applyFill="1" applyBorder="1" applyAlignment="1">
      <alignment vertical="center"/>
    </xf>
    <xf numFmtId="0" fontId="115" fillId="33" borderId="19" xfId="1451" applyFont="1" applyFill="1" applyBorder="1" applyAlignment="1">
      <alignment horizontal="center" vertical="center"/>
    </xf>
    <xf numFmtId="0" fontId="115" fillId="33" borderId="31" xfId="1451" applyFont="1" applyFill="1" applyBorder="1" applyAlignment="1">
      <alignment vertical="center"/>
    </xf>
    <xf numFmtId="0" fontId="120" fillId="33" borderId="31" xfId="1451" applyFont="1" applyFill="1" applyBorder="1"/>
    <xf numFmtId="0" fontId="114" fillId="33" borderId="0" xfId="0" applyFont="1" applyFill="1" applyAlignment="1">
      <alignment horizontal="center"/>
    </xf>
    <xf numFmtId="0" fontId="114" fillId="33" borderId="26" xfId="0" applyFont="1" applyFill="1" applyBorder="1" applyAlignment="1">
      <alignment horizontal="center"/>
    </xf>
    <xf numFmtId="0" fontId="114" fillId="33" borderId="36" xfId="0" applyFont="1" applyFill="1" applyBorder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15" fillId="33" borderId="18" xfId="0" applyFont="1" applyFill="1" applyBorder="1" applyAlignment="1">
      <alignment horizontal="left"/>
    </xf>
    <xf numFmtId="0" fontId="114" fillId="33" borderId="37" xfId="0" applyFont="1" applyFill="1" applyBorder="1" applyAlignment="1">
      <alignment horizontal="center"/>
    </xf>
    <xf numFmtId="0" fontId="114" fillId="33" borderId="3" xfId="0" applyFont="1" applyFill="1" applyBorder="1" applyAlignment="1">
      <alignment horizontal="center"/>
    </xf>
    <xf numFmtId="0" fontId="136" fillId="33" borderId="0" xfId="0" applyFont="1" applyFill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6" fillId="33" borderId="0" xfId="0" applyFont="1" applyFill="1" applyAlignment="1">
      <alignment horizontal="center"/>
    </xf>
    <xf numFmtId="0" fontId="114" fillId="33" borderId="38" xfId="0" applyFont="1" applyFill="1" applyBorder="1" applyAlignment="1">
      <alignment horizontal="center"/>
    </xf>
    <xf numFmtId="0" fontId="91" fillId="33" borderId="40" xfId="0" applyFont="1" applyFill="1" applyBorder="1" applyAlignment="1">
      <alignment horizontal="center" vertical="center"/>
    </xf>
    <xf numFmtId="0" fontId="91" fillId="33" borderId="47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horizontal="center" vertical="center"/>
    </xf>
    <xf numFmtId="0" fontId="114" fillId="33" borderId="39" xfId="0" applyFont="1" applyFill="1" applyBorder="1" applyAlignment="1">
      <alignment horizontal="center" vertical="center"/>
    </xf>
    <xf numFmtId="0" fontId="117" fillId="33" borderId="0" xfId="0" applyFont="1" applyFill="1" applyAlignment="1">
      <alignment horizontal="center"/>
    </xf>
    <xf numFmtId="0" fontId="91" fillId="33" borderId="68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vertical="top" wrapText="1"/>
    </xf>
    <xf numFmtId="0" fontId="114" fillId="33" borderId="39" xfId="0" applyFont="1" applyFill="1" applyBorder="1" applyAlignment="1">
      <alignment vertical="top" wrapText="1"/>
    </xf>
    <xf numFmtId="0" fontId="118" fillId="33" borderId="69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top" wrapText="1"/>
    </xf>
    <xf numFmtId="49" fontId="114" fillId="33" borderId="41" xfId="0" applyNumberFormat="1" applyFont="1" applyFill="1" applyBorder="1" applyAlignment="1">
      <alignment horizontal="center" vertical="top" wrapText="1"/>
    </xf>
    <xf numFmtId="0" fontId="118" fillId="33" borderId="70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top" wrapText="1"/>
    </xf>
    <xf numFmtId="0" fontId="114" fillId="33" borderId="41" xfId="0" applyFont="1" applyFill="1" applyBorder="1" applyAlignment="1">
      <alignment horizontal="center" vertical="top" wrapText="1"/>
    </xf>
    <xf numFmtId="0" fontId="119" fillId="33" borderId="71" xfId="0" applyFont="1" applyFill="1" applyBorder="1" applyAlignment="1">
      <alignment horizontal="center" vertical="top" wrapText="1"/>
    </xf>
    <xf numFmtId="0" fontId="119" fillId="33" borderId="72" xfId="0" applyFont="1" applyFill="1" applyBorder="1" applyAlignment="1">
      <alignment horizontal="center" vertical="top" wrapText="1"/>
    </xf>
    <xf numFmtId="0" fontId="114" fillId="33" borderId="0" xfId="0" applyFont="1" applyFill="1" applyAlignment="1">
      <alignment vertical="top" wrapText="1"/>
    </xf>
    <xf numFmtId="0" fontId="114" fillId="33" borderId="37" xfId="0" applyFont="1" applyFill="1" applyBorder="1" applyAlignment="1">
      <alignment vertical="top" wrapText="1"/>
    </xf>
    <xf numFmtId="0" fontId="114" fillId="33" borderId="42" xfId="0" applyFont="1" applyFill="1" applyBorder="1" applyAlignment="1">
      <alignment horizontal="center"/>
    </xf>
    <xf numFmtId="0" fontId="114" fillId="33" borderId="43" xfId="0" applyFont="1" applyFill="1" applyBorder="1" applyAlignment="1">
      <alignment vertical="top" wrapText="1"/>
    </xf>
    <xf numFmtId="0" fontId="114" fillId="33" borderId="44" xfId="0" applyFont="1" applyFill="1" applyBorder="1" applyAlignment="1">
      <alignment vertical="top" wrapText="1"/>
    </xf>
    <xf numFmtId="0" fontId="114" fillId="33" borderId="45" xfId="0" applyFont="1" applyFill="1" applyBorder="1" applyAlignment="1">
      <alignment vertical="top" wrapText="1"/>
    </xf>
    <xf numFmtId="0" fontId="119" fillId="33" borderId="28" xfId="0" applyFont="1" applyFill="1" applyBorder="1" applyAlignment="1">
      <alignment horizontal="center"/>
    </xf>
    <xf numFmtId="0" fontId="119" fillId="33" borderId="0" xfId="0" applyFont="1" applyFill="1" applyAlignment="1">
      <alignment horizontal="center"/>
    </xf>
    <xf numFmtId="0" fontId="114" fillId="33" borderId="39" xfId="0" applyFont="1" applyFill="1" applyBorder="1" applyAlignment="1">
      <alignment horizontal="center"/>
    </xf>
    <xf numFmtId="20" fontId="114" fillId="33" borderId="39" xfId="0" applyNumberFormat="1" applyFont="1" applyFill="1" applyBorder="1" applyAlignment="1">
      <alignment horizontal="center"/>
    </xf>
    <xf numFmtId="0" fontId="114" fillId="33" borderId="42" xfId="0" applyFont="1" applyFill="1" applyBorder="1" applyAlignment="1">
      <alignment horizontal="center" vertical="center" wrapText="1"/>
    </xf>
    <xf numFmtId="0" fontId="119" fillId="33" borderId="34" xfId="0" applyFont="1" applyFill="1" applyBorder="1" applyAlignment="1">
      <alignment horizontal="center"/>
    </xf>
    <xf numFmtId="0" fontId="119" fillId="33" borderId="19" xfId="0" applyFont="1" applyFill="1" applyBorder="1" applyAlignment="1">
      <alignment horizontal="center"/>
    </xf>
    <xf numFmtId="0" fontId="114" fillId="33" borderId="19" xfId="0" applyFont="1" applyFill="1" applyBorder="1" applyAlignment="1">
      <alignment horizontal="center"/>
    </xf>
    <xf numFmtId="0" fontId="114" fillId="33" borderId="46" xfId="0" applyFont="1" applyFill="1" applyBorder="1" applyAlignment="1">
      <alignment horizontal="center"/>
    </xf>
    <xf numFmtId="0" fontId="146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2" fillId="0" borderId="21" xfId="1450" applyFont="1" applyBorder="1" applyAlignment="1">
      <alignment horizontal="center" wrapText="1"/>
    </xf>
    <xf numFmtId="0" fontId="43" fillId="0" borderId="21" xfId="1450" applyFont="1" applyBorder="1" applyAlignment="1">
      <alignment horizontal="center" vertical="center" wrapText="1"/>
    </xf>
    <xf numFmtId="3" fontId="43" fillId="0" borderId="21" xfId="1451" applyNumberFormat="1" applyFont="1" applyBorder="1" applyAlignment="1">
      <alignment horizontal="center" vertical="center" wrapText="1"/>
    </xf>
    <xf numFmtId="165" fontId="43" fillId="0" borderId="21" xfId="1450" applyNumberFormat="1" applyFont="1" applyBorder="1" applyAlignment="1">
      <alignment horizontal="center" vertical="center" wrapText="1"/>
    </xf>
    <xf numFmtId="3" fontId="43" fillId="0" borderId="0" xfId="1451" applyNumberFormat="1" applyFont="1" applyAlignment="1">
      <alignment horizontal="center" vertical="center" wrapText="1"/>
    </xf>
    <xf numFmtId="0" fontId="20" fillId="0" borderId="0" xfId="1649"/>
    <xf numFmtId="3" fontId="135" fillId="0" borderId="21" xfId="1451" applyNumberFormat="1" applyFont="1" applyBorder="1" applyAlignment="1">
      <alignment horizontal="center" vertical="center" wrapText="1"/>
    </xf>
    <xf numFmtId="3" fontId="9" fillId="0" borderId="21" xfId="1615" applyNumberFormat="1" applyFont="1" applyBorder="1" applyAlignment="1">
      <alignment horizontal="center" vertical="center"/>
    </xf>
    <xf numFmtId="0" fontId="8" fillId="0" borderId="0" xfId="2670" applyAlignment="1">
      <alignment horizontal="center" vertical="center"/>
    </xf>
    <xf numFmtId="0" fontId="142" fillId="36" borderId="0" xfId="2670" applyFont="1" applyFill="1" applyAlignment="1">
      <alignment horizontal="left" vertical="center"/>
    </xf>
    <xf numFmtId="0" fontId="142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right" vertical="center"/>
    </xf>
    <xf numFmtId="9" fontId="145" fillId="36" borderId="0" xfId="2671" applyFont="1" applyFill="1" applyBorder="1" applyAlignment="1" applyProtection="1">
      <alignment horizontal="right" vertical="center"/>
    </xf>
    <xf numFmtId="167" fontId="144" fillId="36" borderId="0" xfId="2672" applyFont="1" applyFill="1" applyBorder="1" applyAlignment="1" applyProtection="1">
      <alignment horizontal="right" vertical="center"/>
    </xf>
    <xf numFmtId="167" fontId="145" fillId="36" borderId="0" xfId="2672" applyFont="1" applyFill="1" applyBorder="1" applyAlignment="1" applyProtection="1">
      <alignment horizontal="right" vertical="center"/>
    </xf>
    <xf numFmtId="10" fontId="145" fillId="36" borderId="0" xfId="2671" applyNumberFormat="1" applyFont="1" applyFill="1" applyBorder="1" applyAlignment="1" applyProtection="1">
      <alignment horizontal="right" vertical="center"/>
    </xf>
    <xf numFmtId="169" fontId="144" fillId="36" borderId="0" xfId="2672" applyNumberFormat="1" applyFont="1" applyFill="1" applyBorder="1" applyAlignment="1" applyProtection="1">
      <alignment horizontal="right" vertical="center"/>
    </xf>
    <xf numFmtId="0" fontId="138" fillId="0" borderId="0" xfId="2670" applyFont="1" applyAlignment="1">
      <alignment horizontal="left" vertical="center"/>
    </xf>
    <xf numFmtId="0" fontId="141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1" fillId="0" borderId="0" xfId="1538"/>
    <xf numFmtId="167" fontId="111" fillId="0" borderId="0" xfId="1538" applyNumberFormat="1"/>
    <xf numFmtId="0" fontId="60" fillId="0" borderId="0" xfId="1538" applyFont="1"/>
    <xf numFmtId="0" fontId="127" fillId="0" borderId="0" xfId="1538" applyFont="1"/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0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167" fontId="0" fillId="0" borderId="3" xfId="1026" applyFont="1" applyFill="1" applyBorder="1" applyProtection="1"/>
    <xf numFmtId="167" fontId="111" fillId="0" borderId="3" xfId="1538" applyNumberFormat="1" applyBorder="1"/>
    <xf numFmtId="167" fontId="139" fillId="0" borderId="3" xfId="1026" applyFont="1" applyBorder="1" applyProtection="1"/>
    <xf numFmtId="167" fontId="0" fillId="0" borderId="3" xfId="1026" applyFont="1" applyBorder="1" applyProtection="1"/>
    <xf numFmtId="167" fontId="127" fillId="0" borderId="3" xfId="1538" applyNumberFormat="1" applyFont="1" applyBorder="1"/>
    <xf numFmtId="0" fontId="60" fillId="0" borderId="3" xfId="1538" applyFont="1" applyBorder="1"/>
    <xf numFmtId="165" fontId="111" fillId="0" borderId="3" xfId="1538" applyNumberFormat="1" applyBorder="1"/>
    <xf numFmtId="167" fontId="103" fillId="0" borderId="3" xfId="1026" applyFont="1" applyFill="1" applyBorder="1" applyProtection="1"/>
    <xf numFmtId="0" fontId="48" fillId="0" borderId="0" xfId="1538" applyFont="1"/>
    <xf numFmtId="0" fontId="48" fillId="0" borderId="3" xfId="1538" applyFont="1" applyBorder="1" applyAlignment="1">
      <alignment horizontal="center"/>
    </xf>
    <xf numFmtId="167" fontId="48" fillId="0" borderId="3" xfId="1538" applyNumberFormat="1" applyFont="1" applyBorder="1"/>
    <xf numFmtId="0" fontId="111" fillId="29" borderId="0" xfId="1538" applyFill="1"/>
    <xf numFmtId="0" fontId="48" fillId="0" borderId="0" xfId="1538" applyFont="1" applyAlignment="1">
      <alignment horizontal="center"/>
    </xf>
    <xf numFmtId="167" fontId="48" fillId="0" borderId="0" xfId="1538" applyNumberFormat="1" applyFont="1"/>
    <xf numFmtId="0" fontId="111" fillId="29" borderId="3" xfId="1538" applyFill="1" applyBorder="1"/>
    <xf numFmtId="169" fontId="111" fillId="29" borderId="3" xfId="1538" applyNumberFormat="1" applyFill="1" applyBorder="1" applyAlignment="1">
      <alignment horizontal="right"/>
    </xf>
    <xf numFmtId="43" fontId="111" fillId="0" borderId="0" xfId="1538" applyNumberFormat="1"/>
    <xf numFmtId="167" fontId="111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48" fillId="0" borderId="0" xfId="1614" applyFont="1" applyAlignment="1">
      <alignment horizontal="center"/>
    </xf>
    <xf numFmtId="0" fontId="149" fillId="0" borderId="0" xfId="1614" applyFont="1" applyAlignment="1">
      <alignment horizontal="center" vertical="center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3" fontId="149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9" fillId="0" borderId="0" xfId="1614" applyFont="1" applyAlignment="1">
      <alignment horizontal="center"/>
    </xf>
    <xf numFmtId="3" fontId="148" fillId="0" borderId="0" xfId="1614" applyNumberFormat="1" applyFont="1" applyAlignment="1">
      <alignment horizontal="center"/>
    </xf>
    <xf numFmtId="0" fontId="153" fillId="0" borderId="0" xfId="1614" applyFont="1"/>
    <xf numFmtId="167" fontId="153" fillId="0" borderId="0" xfId="1652" applyNumberFormat="1" applyFont="1"/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left" vertical="center"/>
    </xf>
    <xf numFmtId="0" fontId="153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0" fontId="153" fillId="0" borderId="0" xfId="1614" applyFont="1" applyAlignment="1">
      <alignment horizontal="center" vertical="center" wrapText="1"/>
    </xf>
    <xf numFmtId="0" fontId="150" fillId="0" borderId="0" xfId="1614" applyFont="1" applyAlignment="1">
      <alignment horizontal="center" vertical="center" wrapText="1"/>
    </xf>
    <xf numFmtId="3" fontId="149" fillId="0" borderId="0" xfId="1614" applyNumberFormat="1" applyFont="1" applyAlignment="1">
      <alignment vertical="center"/>
    </xf>
    <xf numFmtId="0" fontId="150" fillId="0" borderId="20" xfId="1615" applyFont="1" applyBorder="1" applyAlignment="1">
      <alignment horizontal="center" vertical="center"/>
    </xf>
    <xf numFmtId="0" fontId="150" fillId="0" borderId="21" xfId="1615" applyFont="1" applyBorder="1" applyAlignment="1">
      <alignment horizontal="left" vertical="center" wrapText="1"/>
    </xf>
    <xf numFmtId="0" fontId="149" fillId="0" borderId="21" xfId="1614" applyFont="1" applyBorder="1" applyAlignment="1">
      <alignment horizontal="center" vertical="center" wrapText="1"/>
    </xf>
    <xf numFmtId="0" fontId="156" fillId="0" borderId="21" xfId="1614" applyFont="1" applyBorder="1" applyAlignment="1">
      <alignment horizontal="center" vertical="center"/>
    </xf>
    <xf numFmtId="3" fontId="156" fillId="0" borderId="21" xfId="1614" applyNumberFormat="1" applyFont="1" applyBorder="1" applyAlignment="1">
      <alignment horizontal="center" vertical="center"/>
    </xf>
    <xf numFmtId="3" fontId="149" fillId="0" borderId="21" xfId="1614" applyNumberFormat="1" applyFont="1" applyBorder="1" applyAlignment="1">
      <alignment horizontal="center" vertical="center"/>
    </xf>
    <xf numFmtId="3" fontId="149" fillId="0" borderId="22" xfId="1614" applyNumberFormat="1" applyFont="1" applyBorder="1" applyAlignment="1">
      <alignment horizontal="center" vertical="center"/>
    </xf>
    <xf numFmtId="3" fontId="149" fillId="0" borderId="0" xfId="1614" applyNumberFormat="1" applyFont="1" applyAlignment="1">
      <alignment horizontal="center"/>
    </xf>
    <xf numFmtId="3" fontId="148" fillId="0" borderId="0" xfId="1614" applyNumberFormat="1" applyFont="1" applyAlignment="1">
      <alignment horizontal="center" vertical="center"/>
    </xf>
    <xf numFmtId="0" fontId="156" fillId="0" borderId="0" xfId="1614" applyFont="1" applyAlignment="1">
      <alignment horizontal="center"/>
    </xf>
    <xf numFmtId="0" fontId="150" fillId="0" borderId="20" xfId="1653" applyFont="1" applyBorder="1" applyAlignment="1">
      <alignment horizontal="center" vertical="center"/>
    </xf>
    <xf numFmtId="0" fontId="150" fillId="0" borderId="21" xfId="1451" applyFont="1" applyBorder="1" applyAlignment="1">
      <alignment horizontal="left" vertical="center" wrapText="1"/>
    </xf>
    <xf numFmtId="0" fontId="151" fillId="0" borderId="21" xfId="1653" applyFont="1" applyBorder="1" applyAlignment="1">
      <alignment horizontal="center" vertical="center"/>
    </xf>
    <xf numFmtId="3" fontId="152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5" fillId="0" borderId="20" xfId="1653" applyFont="1" applyBorder="1" applyAlignment="1">
      <alignment horizontal="center" vertical="center"/>
    </xf>
    <xf numFmtId="0" fontId="155" fillId="0" borderId="21" xfId="1653" applyFont="1" applyBorder="1" applyAlignment="1">
      <alignment vertical="center" wrapText="1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49" fillId="0" borderId="20" xfId="1652" applyFont="1" applyBorder="1" applyAlignment="1">
      <alignment horizontal="center" vertical="center"/>
    </xf>
    <xf numFmtId="0" fontId="153" fillId="0" borderId="20" xfId="1652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56" fillId="0" borderId="21" xfId="1652" applyFont="1" applyBorder="1" applyAlignment="1">
      <alignment horizontal="center" vertical="center"/>
    </xf>
    <xf numFmtId="0" fontId="156" fillId="0" borderId="49" xfId="1652" applyFont="1" applyBorder="1" applyAlignment="1">
      <alignment horizontal="center" vertical="center"/>
    </xf>
    <xf numFmtId="0" fontId="156" fillId="0" borderId="3" xfId="1652" applyFont="1" applyBorder="1" applyAlignment="1">
      <alignment vertical="center" wrapText="1"/>
    </xf>
    <xf numFmtId="0" fontId="149" fillId="0" borderId="3" xfId="1614" applyFont="1" applyBorder="1" applyAlignment="1">
      <alignment horizontal="center" vertical="center" wrapText="1"/>
    </xf>
    <xf numFmtId="0" fontId="156" fillId="0" borderId="3" xfId="1614" applyFont="1" applyBorder="1" applyAlignment="1">
      <alignment horizontal="center" vertical="center"/>
    </xf>
    <xf numFmtId="0" fontId="156" fillId="0" borderId="3" xfId="1652" applyFont="1" applyBorder="1" applyAlignment="1">
      <alignment horizontal="center" vertical="center"/>
    </xf>
    <xf numFmtId="207" fontId="156" fillId="0" borderId="3" xfId="1614" applyNumberFormat="1" applyFont="1" applyBorder="1" applyAlignment="1">
      <alignment horizontal="center" vertical="center"/>
    </xf>
    <xf numFmtId="3" fontId="149" fillId="0" borderId="3" xfId="1614" applyNumberFormat="1" applyFont="1" applyBorder="1" applyAlignment="1">
      <alignment horizontal="center" vertical="center"/>
    </xf>
    <xf numFmtId="3" fontId="149" fillId="0" borderId="39" xfId="1614" applyNumberFormat="1" applyFont="1" applyBorder="1" applyAlignment="1">
      <alignment horizontal="center" vertical="center"/>
    </xf>
    <xf numFmtId="0" fontId="156" fillId="0" borderId="20" xfId="1652" applyFont="1" applyBorder="1" applyAlignment="1">
      <alignment horizontal="center" vertical="center"/>
    </xf>
    <xf numFmtId="0" fontId="156" fillId="0" borderId="21" xfId="1652" applyFont="1" applyBorder="1" applyAlignment="1">
      <alignment vertical="center" wrapText="1"/>
    </xf>
    <xf numFmtId="0" fontId="149" fillId="0" borderId="23" xfId="1614" applyFont="1" applyBorder="1" applyAlignment="1">
      <alignment horizontal="center" vertical="center"/>
    </xf>
    <xf numFmtId="0" fontId="149" fillId="0" borderId="24" xfId="1614" applyFont="1" applyBorder="1" applyAlignment="1">
      <alignment horizontal="left" vertical="center"/>
    </xf>
    <xf numFmtId="0" fontId="149" fillId="0" borderId="24" xfId="1614" applyFont="1" applyBorder="1" applyAlignment="1">
      <alignment vertical="center"/>
    </xf>
    <xf numFmtId="0" fontId="156" fillId="0" borderId="24" xfId="1614" applyFont="1" applyBorder="1" applyAlignment="1">
      <alignment horizontal="center" vertical="center"/>
    </xf>
    <xf numFmtId="3" fontId="149" fillId="0" borderId="24" xfId="1614" applyNumberFormat="1" applyFont="1" applyBorder="1" applyAlignment="1">
      <alignment horizontal="center" vertical="center"/>
    </xf>
    <xf numFmtId="3" fontId="149" fillId="0" borderId="25" xfId="1614" applyNumberFormat="1" applyFont="1" applyBorder="1" applyAlignment="1">
      <alignment horizontal="center" vertical="center"/>
    </xf>
    <xf numFmtId="0" fontId="151" fillId="0" borderId="26" xfId="1614" applyFont="1" applyBorder="1" applyAlignment="1">
      <alignment horizontal="center" vertical="center"/>
    </xf>
    <xf numFmtId="37" fontId="153" fillId="0" borderId="27" xfId="1614" applyNumberFormat="1" applyFont="1" applyBorder="1" applyAlignment="1">
      <alignment horizontal="center"/>
    </xf>
    <xf numFmtId="37" fontId="151" fillId="0" borderId="27" xfId="1614" applyNumberFormat="1" applyFont="1" applyBorder="1" applyAlignment="1">
      <alignment horizontal="center"/>
    </xf>
    <xf numFmtId="37" fontId="149" fillId="0" borderId="0" xfId="1614" applyNumberFormat="1" applyFont="1" applyAlignment="1">
      <alignment horizontal="center"/>
    </xf>
    <xf numFmtId="37" fontId="151" fillId="0" borderId="0" xfId="1614" applyNumberFormat="1" applyFont="1" applyAlignment="1">
      <alignment horizontal="center"/>
    </xf>
    <xf numFmtId="0" fontId="151" fillId="0" borderId="28" xfId="1614" applyFont="1" applyBorder="1" applyAlignment="1">
      <alignment horizontal="center" vertical="center"/>
    </xf>
    <xf numFmtId="37" fontId="153" fillId="0" borderId="29" xfId="1614" applyNumberFormat="1" applyFont="1" applyBorder="1" applyAlignment="1">
      <alignment horizontal="center"/>
    </xf>
    <xf numFmtId="37" fontId="151" fillId="0" borderId="29" xfId="1614" applyNumberFormat="1" applyFont="1" applyBorder="1" applyAlignment="1">
      <alignment horizontal="center"/>
    </xf>
    <xf numFmtId="37" fontId="157" fillId="0" borderId="0" xfId="1614" applyNumberFormat="1" applyFont="1" applyAlignment="1">
      <alignment horizontal="center"/>
    </xf>
    <xf numFmtId="37" fontId="157" fillId="0" borderId="30" xfId="1614" applyNumberFormat="1" applyFont="1" applyBorder="1" applyAlignment="1">
      <alignment horizontal="center"/>
    </xf>
    <xf numFmtId="37" fontId="157" fillId="0" borderId="32" xfId="1614" applyNumberFormat="1" applyFont="1" applyBorder="1" applyAlignment="1">
      <alignment horizontal="center"/>
    </xf>
    <xf numFmtId="0" fontId="148" fillId="0" borderId="0" xfId="1614" applyFont="1" applyAlignment="1">
      <alignment horizontal="center" vertical="center"/>
    </xf>
    <xf numFmtId="0" fontId="157" fillId="0" borderId="34" xfId="1614" applyFont="1" applyBorder="1" applyAlignment="1">
      <alignment vertical="center"/>
    </xf>
    <xf numFmtId="0" fontId="151" fillId="0" borderId="19" xfId="1614" applyFont="1" applyBorder="1"/>
    <xf numFmtId="0" fontId="151" fillId="0" borderId="19" xfId="1614" applyFont="1" applyBorder="1" applyAlignment="1">
      <alignment horizontal="center"/>
    </xf>
    <xf numFmtId="0" fontId="151" fillId="0" borderId="19" xfId="1614" applyFont="1" applyBorder="1" applyAlignment="1">
      <alignment horizontal="right"/>
    </xf>
    <xf numFmtId="0" fontId="151" fillId="0" borderId="31" xfId="1614" applyFont="1" applyBorder="1" applyAlignment="1">
      <alignment horizontal="right"/>
    </xf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vertical="center"/>
    </xf>
    <xf numFmtId="0" fontId="156" fillId="0" borderId="0" xfId="1614" applyFont="1" applyAlignment="1">
      <alignment horizontal="center" vertical="center"/>
    </xf>
    <xf numFmtId="165" fontId="156" fillId="0" borderId="0" xfId="1652" applyNumberFormat="1" applyFont="1" applyAlignment="1">
      <alignment vertical="center"/>
    </xf>
    <xf numFmtId="0" fontId="151" fillId="0" borderId="0" xfId="1652" applyFont="1" applyAlignment="1">
      <alignment horizontal="right"/>
    </xf>
    <xf numFmtId="0" fontId="158" fillId="0" borderId="0" xfId="1644" applyFont="1" applyAlignment="1">
      <alignment horizontal="center" vertical="center"/>
    </xf>
    <xf numFmtId="0" fontId="156" fillId="0" borderId="0" xfId="1652" applyFont="1" applyAlignment="1">
      <alignment vertical="center"/>
    </xf>
    <xf numFmtId="0" fontId="159" fillId="39" borderId="83" xfId="2670" applyFont="1" applyFill="1" applyBorder="1" applyAlignment="1">
      <alignment horizontal="left" vertical="center"/>
    </xf>
    <xf numFmtId="0" fontId="159" fillId="39" borderId="84" xfId="2670" applyFont="1" applyFill="1" applyBorder="1" applyAlignment="1">
      <alignment horizontal="center" vertical="center"/>
    </xf>
    <xf numFmtId="0" fontId="159" fillId="39" borderId="86" xfId="2670" applyFont="1" applyFill="1" applyBorder="1" applyAlignment="1">
      <alignment horizontal="left" vertical="center"/>
    </xf>
    <xf numFmtId="0" fontId="159" fillId="39" borderId="82" xfId="2670" applyFont="1" applyFill="1" applyBorder="1" applyAlignment="1">
      <alignment horizontal="center" vertical="center"/>
    </xf>
    <xf numFmtId="0" fontId="159" fillId="39" borderId="88" xfId="2670" applyFont="1" applyFill="1" applyBorder="1" applyAlignment="1">
      <alignment horizontal="left" vertical="center"/>
    </xf>
    <xf numFmtId="0" fontId="159" fillId="39" borderId="89" xfId="2670" applyFont="1" applyFill="1" applyBorder="1" applyAlignment="1">
      <alignment horizontal="center" vertical="center"/>
    </xf>
    <xf numFmtId="167" fontId="140" fillId="40" borderId="85" xfId="2672" applyFont="1" applyFill="1" applyBorder="1" applyAlignment="1" applyProtection="1">
      <alignment horizontal="right" vertical="center" wrapText="1"/>
      <protection locked="0"/>
    </xf>
    <xf numFmtId="167" fontId="140" fillId="40" borderId="87" xfId="2672" applyFont="1" applyFill="1" applyBorder="1" applyAlignment="1" applyProtection="1">
      <alignment horizontal="right" vertical="center"/>
      <protection locked="0"/>
    </xf>
    <xf numFmtId="169" fontId="140" fillId="40" borderId="87" xfId="2672" applyNumberFormat="1" applyFont="1" applyFill="1" applyBorder="1" applyAlignment="1" applyProtection="1">
      <alignment horizontal="right" vertical="center"/>
      <protection locked="0"/>
    </xf>
    <xf numFmtId="169" fontId="140" fillId="40" borderId="90" xfId="2672" applyNumberFormat="1" applyFont="1" applyFill="1" applyBorder="1" applyAlignment="1" applyProtection="1">
      <alignment horizontal="right" vertical="center"/>
      <protection locked="0"/>
    </xf>
    <xf numFmtId="0" fontId="120" fillId="0" borderId="0" xfId="1451" applyFont="1"/>
    <xf numFmtId="0" fontId="121" fillId="0" borderId="0" xfId="1451" applyFont="1" applyAlignment="1">
      <alignment vertical="center"/>
    </xf>
    <xf numFmtId="0" fontId="147" fillId="0" borderId="0" xfId="1451" applyFont="1"/>
    <xf numFmtId="0" fontId="122" fillId="0" borderId="0" xfId="1451" applyFont="1" applyAlignment="1">
      <alignment vertical="center"/>
    </xf>
    <xf numFmtId="0" fontId="123" fillId="0" borderId="0" xfId="1451" applyFont="1" applyAlignment="1">
      <alignment horizontal="center" vertical="center"/>
    </xf>
    <xf numFmtId="0" fontId="124" fillId="0" borderId="0" xfId="1451" applyFont="1"/>
    <xf numFmtId="0" fontId="125" fillId="0" borderId="0" xfId="1451" applyFont="1"/>
    <xf numFmtId="0" fontId="115" fillId="0" borderId="0" xfId="1451" applyFont="1" applyAlignment="1">
      <alignment vertical="center"/>
    </xf>
    <xf numFmtId="0" fontId="115" fillId="0" borderId="0" xfId="1451" applyFont="1" applyAlignment="1">
      <alignment horizontal="center" vertical="center"/>
    </xf>
    <xf numFmtId="0" fontId="120" fillId="0" borderId="0" xfId="1451" applyFont="1" applyAlignment="1">
      <alignment horizontal="center" vertical="center"/>
    </xf>
    <xf numFmtId="0" fontId="120" fillId="0" borderId="0" xfId="1451" applyFont="1" applyAlignment="1">
      <alignment horizontal="center"/>
    </xf>
    <xf numFmtId="0" fontId="122" fillId="35" borderId="0" xfId="1451" applyFont="1" applyFill="1" applyAlignment="1">
      <alignment vertical="center"/>
    </xf>
    <xf numFmtId="0" fontId="125" fillId="0" borderId="19" xfId="1451" applyFont="1" applyBorder="1" applyAlignment="1">
      <alignment horizontal="center"/>
    </xf>
    <xf numFmtId="0" fontId="125" fillId="0" borderId="19" xfId="1451" applyFont="1" applyBorder="1"/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62" xfId="2673" applyFont="1" applyBorder="1" applyAlignment="1">
      <alignment horizontal="center" vertical="center" wrapText="1"/>
    </xf>
    <xf numFmtId="0" fontId="163" fillId="0" borderId="0" xfId="2673" applyFont="1" applyAlignment="1">
      <alignment horizontal="center" vertical="center" wrapText="1"/>
    </xf>
    <xf numFmtId="0" fontId="164" fillId="0" borderId="0" xfId="2673" applyFont="1" applyAlignment="1">
      <alignment vertical="center" wrapText="1"/>
    </xf>
    <xf numFmtId="0" fontId="165" fillId="0" borderId="0" xfId="2673" applyFont="1" applyAlignment="1">
      <alignment vertical="center" wrapText="1"/>
    </xf>
    <xf numFmtId="0" fontId="146" fillId="35" borderId="94" xfId="2673" applyFont="1" applyFill="1" applyBorder="1" applyAlignment="1">
      <alignment vertical="center" wrapText="1"/>
    </xf>
    <xf numFmtId="0" fontId="146" fillId="43" borderId="94" xfId="2673" applyFont="1" applyFill="1" applyBorder="1" applyAlignment="1">
      <alignment vertical="center" wrapText="1"/>
    </xf>
    <xf numFmtId="0" fontId="162" fillId="0" borderId="0" xfId="2673" applyFont="1" applyAlignment="1">
      <alignment vertical="center" wrapText="1"/>
    </xf>
    <xf numFmtId="0" fontId="168" fillId="0" borderId="0" xfId="2673" applyFont="1" applyAlignment="1">
      <alignment horizontal="center" vertical="center" wrapText="1"/>
    </xf>
    <xf numFmtId="1" fontId="169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4" fillId="35" borderId="32" xfId="2673" applyFont="1" applyFill="1" applyBorder="1" applyAlignment="1">
      <alignment vertical="center" wrapText="1"/>
    </xf>
    <xf numFmtId="0" fontId="134" fillId="43" borderId="32" xfId="2673" applyFont="1" applyFill="1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2" fontId="134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46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7" fillId="0" borderId="0" xfId="2673" applyNumberFormat="1" applyAlignment="1">
      <alignment vertical="center" wrapText="1"/>
    </xf>
    <xf numFmtId="1" fontId="7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4" fillId="0" borderId="0" xfId="2675" applyFont="1" applyFill="1" applyBorder="1" applyAlignment="1">
      <alignment horizontal="center" vertical="center" wrapText="1"/>
    </xf>
    <xf numFmtId="1" fontId="134" fillId="0" borderId="50" xfId="2673" applyNumberFormat="1" applyFont="1" applyBorder="1" applyAlignment="1">
      <alignment vertical="center" wrapText="1"/>
    </xf>
    <xf numFmtId="0" fontId="170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2" fontId="170" fillId="0" borderId="0" xfId="2673" applyNumberFormat="1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71" fillId="0" borderId="0" xfId="2673" applyFont="1" applyAlignment="1">
      <alignment vertical="center" wrapText="1"/>
    </xf>
    <xf numFmtId="0" fontId="146" fillId="35" borderId="51" xfId="2673" applyFont="1" applyFill="1" applyBorder="1" applyAlignment="1">
      <alignment vertical="center" wrapText="1"/>
    </xf>
    <xf numFmtId="0" fontId="146" fillId="0" borderId="53" xfId="2673" applyFont="1" applyBorder="1" applyAlignment="1">
      <alignment horizontal="center" vertical="center" wrapText="1"/>
    </xf>
    <xf numFmtId="0" fontId="146" fillId="35" borderId="49" xfId="2673" applyFont="1" applyFill="1" applyBorder="1" applyAlignment="1">
      <alignment vertical="center" wrapText="1"/>
    </xf>
    <xf numFmtId="1" fontId="134" fillId="0" borderId="58" xfId="2673" applyNumberFormat="1" applyFont="1" applyBorder="1" applyAlignment="1">
      <alignment vertical="center" wrapText="1"/>
    </xf>
    <xf numFmtId="0" fontId="134" fillId="35" borderId="49" xfId="2673" applyFont="1" applyFill="1" applyBorder="1" applyAlignment="1">
      <alignment vertical="center" wrapText="1"/>
    </xf>
    <xf numFmtId="0" fontId="134" fillId="35" borderId="98" xfId="2673" applyFont="1" applyFill="1" applyBorder="1" applyAlignment="1">
      <alignment vertical="center" wrapText="1"/>
    </xf>
    <xf numFmtId="0" fontId="105" fillId="0" borderId="64" xfId="2673" applyFont="1" applyBorder="1" applyAlignment="1">
      <alignment horizontal="center" vertical="center" wrapText="1"/>
    </xf>
    <xf numFmtId="0" fontId="146" fillId="0" borderId="51" xfId="2673" applyFont="1" applyBorder="1" applyAlignment="1">
      <alignment vertical="center" wrapText="1"/>
    </xf>
    <xf numFmtId="0" fontId="146" fillId="0" borderId="49" xfId="2673" applyFont="1" applyBorder="1" applyAlignment="1">
      <alignment vertical="center" wrapText="1"/>
    </xf>
    <xf numFmtId="0" fontId="134" fillId="0" borderId="49" xfId="2673" applyFont="1" applyBorder="1" applyAlignment="1">
      <alignment vertical="center" wrapText="1"/>
    </xf>
    <xf numFmtId="0" fontId="134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" fillId="0" borderId="21" xfId="1614" applyFont="1" applyBorder="1" applyAlignment="1">
      <alignment horizontal="center" vertical="center"/>
    </xf>
    <xf numFmtId="0" fontId="91" fillId="33" borderId="60" xfId="0" applyFont="1" applyFill="1" applyBorder="1" applyAlignment="1">
      <alignment horizontal="left" vertical="center"/>
    </xf>
    <xf numFmtId="0" fontId="91" fillId="33" borderId="61" xfId="0" applyFont="1" applyFill="1" applyBorder="1" applyAlignment="1">
      <alignment horizontal="left" vertical="center"/>
    </xf>
    <xf numFmtId="49" fontId="91" fillId="33" borderId="60" xfId="0" applyNumberFormat="1" applyFont="1" applyFill="1" applyBorder="1" applyAlignment="1">
      <alignment horizontal="left" vertical="center" wrapText="1"/>
    </xf>
    <xf numFmtId="49" fontId="91" fillId="33" borderId="61" xfId="0" applyNumberFormat="1" applyFont="1" applyFill="1" applyBorder="1" applyAlignment="1">
      <alignment horizontal="left" vertical="center"/>
    </xf>
    <xf numFmtId="41" fontId="152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27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7" fontId="43" fillId="0" borderId="21" xfId="2549" applyNumberFormat="1" applyFont="1" applyBorder="1" applyAlignment="1">
      <alignment horizontal="center" vertical="center" wrapText="1"/>
    </xf>
    <xf numFmtId="0" fontId="43" fillId="0" borderId="21" xfId="2677" applyFont="1" applyBorder="1" applyAlignment="1">
      <alignment horizontal="left" vertical="center" wrapText="1"/>
    </xf>
    <xf numFmtId="0" fontId="115" fillId="33" borderId="0" xfId="0" applyFont="1" applyFill="1" applyAlignment="1">
      <alignment horizontal="left"/>
    </xf>
    <xf numFmtId="169" fontId="144" fillId="47" borderId="0" xfId="2672" applyNumberFormat="1" applyFont="1" applyFill="1" applyBorder="1" applyAlignment="1" applyProtection="1">
      <alignment horizontal="right" vertical="center"/>
    </xf>
    <xf numFmtId="0" fontId="174" fillId="0" borderId="69" xfId="1450" applyFont="1" applyBorder="1" applyAlignment="1">
      <alignment horizontal="center" vertical="center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127" fillId="0" borderId="20" xfId="1652" applyFont="1" applyBorder="1" applyAlignment="1">
      <alignment horizontal="center" vertical="center"/>
    </xf>
    <xf numFmtId="0" fontId="127" fillId="0" borderId="21" xfId="1652" applyFont="1" applyBorder="1" applyAlignment="1">
      <alignment horizontal="left" vertical="center" wrapText="1"/>
    </xf>
    <xf numFmtId="0" fontId="119" fillId="0" borderId="99" xfId="1450" applyFont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175" fillId="33" borderId="0" xfId="2678" applyFill="1"/>
    <xf numFmtId="0" fontId="3" fillId="0" borderId="21" xfId="1652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43" fillId="0" borderId="21" xfId="1450" applyFont="1" applyBorder="1" applyAlignment="1">
      <alignment vertical="center" wrapText="1"/>
    </xf>
    <xf numFmtId="0" fontId="155" fillId="48" borderId="21" xfId="1652" applyFont="1" applyFill="1" applyBorder="1" applyAlignment="1">
      <alignment vertical="center" wrapText="1"/>
    </xf>
    <xf numFmtId="0" fontId="113" fillId="0" borderId="20" xfId="1652" applyFont="1" applyBorder="1" applyAlignment="1">
      <alignment horizontal="center" vertical="center"/>
    </xf>
    <xf numFmtId="0" fontId="43" fillId="0" borderId="21" xfId="0" applyFont="1" applyBorder="1" applyAlignment="1">
      <alignment horizontal="left" vertical="center" wrapText="1"/>
    </xf>
    <xf numFmtId="3" fontId="9" fillId="0" borderId="21" xfId="1599" applyNumberFormat="1" applyFont="1" applyBorder="1" applyAlignment="1">
      <alignment horizontal="center" vertical="center"/>
    </xf>
    <xf numFmtId="0" fontId="113" fillId="0" borderId="21" xfId="1652" applyFont="1" applyBorder="1" applyAlignment="1">
      <alignment vertical="center"/>
    </xf>
    <xf numFmtId="0" fontId="43" fillId="0" borderId="20" xfId="1652" applyFont="1" applyBorder="1" applyAlignment="1">
      <alignment horizontal="center" vertical="center"/>
    </xf>
    <xf numFmtId="0" fontId="43" fillId="0" borderId="21" xfId="1652" applyFont="1" applyBorder="1" applyAlignment="1">
      <alignment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9" fillId="0" borderId="21" xfId="1614" applyFont="1" applyBorder="1" applyAlignment="1">
      <alignment horizontal="center"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3" fontId="42" fillId="31" borderId="38" xfId="1615" applyNumberFormat="1" applyFont="1" applyFill="1" applyBorder="1" applyAlignment="1">
      <alignment horizontal="center" vertical="center"/>
    </xf>
    <xf numFmtId="3" fontId="42" fillId="31" borderId="66" xfId="1615" applyNumberFormat="1" applyFont="1" applyFill="1" applyBorder="1" applyAlignment="1">
      <alignment horizontal="center" vertical="center"/>
    </xf>
    <xf numFmtId="3" fontId="42" fillId="31" borderId="18" xfId="1615" applyNumberFormat="1" applyFont="1" applyFill="1" applyBorder="1" applyAlignment="1">
      <alignment horizontal="center" vertical="center"/>
    </xf>
    <xf numFmtId="3" fontId="42" fillId="31" borderId="42" xfId="1615" applyNumberFormat="1" applyFont="1" applyFill="1" applyBorder="1" applyAlignment="1">
      <alignment horizontal="center" vertical="center"/>
    </xf>
    <xf numFmtId="3" fontId="42" fillId="31" borderId="43" xfId="1615" applyNumberFormat="1" applyFont="1" applyFill="1" applyBorder="1" applyAlignment="1">
      <alignment horizontal="center" vertical="center"/>
    </xf>
    <xf numFmtId="3" fontId="42" fillId="31" borderId="67" xfId="1615" applyNumberFormat="1" applyFont="1" applyFill="1" applyBorder="1" applyAlignment="1">
      <alignment horizontal="center" vertical="center"/>
    </xf>
    <xf numFmtId="3" fontId="42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 wrapText="1"/>
    </xf>
    <xf numFmtId="37" fontId="61" fillId="0" borderId="19" xfId="1614" applyNumberFormat="1" applyFont="1" applyBorder="1" applyAlignment="1">
      <alignment horizontal="center"/>
    </xf>
    <xf numFmtId="0" fontId="46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61" fillId="0" borderId="26" xfId="1614" applyFont="1" applyBorder="1" applyAlignment="1">
      <alignment horizontal="left" vertical="center"/>
    </xf>
    <xf numFmtId="0" fontId="61" fillId="0" borderId="36" xfId="1614" applyFont="1" applyBorder="1" applyAlignment="1">
      <alignment horizontal="left" vertical="center"/>
    </xf>
    <xf numFmtId="0" fontId="61" fillId="0" borderId="48" xfId="1614" applyFont="1" applyBorder="1" applyAlignment="1">
      <alignment horizontal="left" vertical="center"/>
    </xf>
    <xf numFmtId="0" fontId="61" fillId="0" borderId="28" xfId="1614" applyFont="1" applyBorder="1" applyAlignment="1">
      <alignment horizontal="left" vertical="center"/>
    </xf>
    <xf numFmtId="0" fontId="61" fillId="0" borderId="0" xfId="1614" applyFont="1" applyAlignment="1">
      <alignment horizontal="left" vertical="center"/>
    </xf>
    <xf numFmtId="0" fontId="61" fillId="0" borderId="37" xfId="1614" applyFont="1" applyBorder="1" applyAlignment="1">
      <alignment horizontal="left" vertical="center"/>
    </xf>
    <xf numFmtId="0" fontId="51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0" fontId="51" fillId="0" borderId="3" xfId="1614" applyFont="1" applyBorder="1" applyAlignment="1">
      <alignment horizontal="center" vertical="center"/>
    </xf>
    <xf numFmtId="0" fontId="51" fillId="0" borderId="39" xfId="1614" applyFont="1" applyBorder="1" applyAlignment="1">
      <alignment horizontal="center" vertical="center"/>
    </xf>
    <xf numFmtId="0" fontId="51" fillId="0" borderId="35" xfId="1652" applyFont="1" applyBorder="1" applyAlignment="1">
      <alignment horizontal="center" vertical="center" wrapText="1"/>
    </xf>
    <xf numFmtId="0" fontId="51" fillId="0" borderId="33" xfId="1652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49" fillId="0" borderId="51" xfId="1614" applyFont="1" applyBorder="1" applyAlignment="1">
      <alignment horizontal="center" vertical="center"/>
    </xf>
    <xf numFmtId="0" fontId="49" fillId="0" borderId="49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/>
    </xf>
    <xf numFmtId="0" fontId="49" fillId="0" borderId="21" xfId="1614" applyFont="1" applyBorder="1" applyAlignment="1">
      <alignment horizontal="center" vertical="center"/>
    </xf>
    <xf numFmtId="0" fontId="49" fillId="0" borderId="33" xfId="1614" applyFont="1" applyBorder="1" applyAlignment="1">
      <alignment horizontal="center" vertical="center"/>
    </xf>
    <xf numFmtId="0" fontId="51" fillId="0" borderId="53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 wrapText="1"/>
    </xf>
    <xf numFmtId="0" fontId="49" fillId="0" borderId="33" xfId="1614" applyFont="1" applyBorder="1" applyAlignment="1">
      <alignment horizontal="center" vertical="center" wrapText="1"/>
    </xf>
    <xf numFmtId="0" fontId="51" fillId="0" borderId="54" xfId="1614" applyFont="1" applyBorder="1" applyAlignment="1">
      <alignment horizontal="center" vertical="center"/>
    </xf>
    <xf numFmtId="169" fontId="42" fillId="0" borderId="3" xfId="714" applyFont="1" applyFill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42" fillId="0" borderId="3" xfId="1448" applyFont="1" applyBorder="1" applyAlignment="1">
      <alignment horizontal="center" vertical="center" wrapText="1"/>
    </xf>
    <xf numFmtId="0" fontId="54" fillId="0" borderId="3" xfId="1448" applyFont="1" applyBorder="1" applyAlignment="1">
      <alignment horizontal="center" vertical="center" wrapText="1"/>
    </xf>
    <xf numFmtId="0" fontId="7" fillId="0" borderId="96" xfId="2673" applyBorder="1" applyAlignment="1">
      <alignment horizontal="center" vertical="center" wrapText="1"/>
    </xf>
    <xf numFmtId="0" fontId="7" fillId="0" borderId="6" xfId="2673" applyBorder="1" applyAlignment="1">
      <alignment horizontal="center" vertical="center" wrapText="1"/>
    </xf>
    <xf numFmtId="0" fontId="7" fillId="0" borderId="97" xfId="2673" applyBorder="1" applyAlignment="1">
      <alignment horizontal="center" vertical="center" wrapText="1"/>
    </xf>
    <xf numFmtId="9" fontId="170" fillId="0" borderId="0" xfId="2675" applyFont="1" applyFill="1" applyBorder="1" applyAlignment="1">
      <alignment horizontal="center" vertical="center" wrapText="1"/>
    </xf>
    <xf numFmtId="0" fontId="167" fillId="37" borderId="0" xfId="2673" applyFont="1" applyFill="1" applyAlignment="1">
      <alignment horizontal="left" vertical="center" wrapText="1"/>
    </xf>
    <xf numFmtId="43" fontId="146" fillId="35" borderId="7" xfId="2673" applyNumberFormat="1" applyFont="1" applyFill="1" applyBorder="1" applyAlignment="1">
      <alignment horizontal="center" vertical="center" wrapText="1"/>
    </xf>
    <xf numFmtId="0" fontId="146" fillId="35" borderId="58" xfId="2673" applyFont="1" applyFill="1" applyBorder="1" applyAlignment="1">
      <alignment horizontal="center" vertical="center" wrapText="1"/>
    </xf>
    <xf numFmtId="2" fontId="134" fillId="35" borderId="62" xfId="2673" applyNumberFormat="1" applyFont="1" applyFill="1" applyBorder="1" applyAlignment="1">
      <alignment horizontal="center" vertical="center" wrapText="1"/>
    </xf>
    <xf numFmtId="2" fontId="134" fillId="35" borderId="95" xfId="2673" applyNumberFormat="1" applyFont="1" applyFill="1" applyBorder="1" applyAlignment="1">
      <alignment horizontal="center" vertical="center" wrapText="1"/>
    </xf>
    <xf numFmtId="0" fontId="163" fillId="41" borderId="91" xfId="2673" applyFont="1" applyFill="1" applyBorder="1" applyAlignment="1">
      <alignment horizontal="center" vertical="center" wrapText="1"/>
    </xf>
    <xf numFmtId="0" fontId="163" fillId="41" borderId="92" xfId="2673" applyFont="1" applyFill="1" applyBorder="1" applyAlignment="1">
      <alignment horizontal="center" vertical="center" wrapText="1"/>
    </xf>
    <xf numFmtId="0" fontId="163" fillId="41" borderId="93" xfId="2673" applyFont="1" applyFill="1" applyBorder="1" applyAlignment="1">
      <alignment horizontal="center" vertical="center" wrapText="1"/>
    </xf>
    <xf numFmtId="0" fontId="134" fillId="35" borderId="7" xfId="2673" applyFont="1" applyFill="1" applyBorder="1" applyAlignment="1">
      <alignment horizontal="center" vertical="center" wrapText="1"/>
    </xf>
    <xf numFmtId="0" fontId="134" fillId="35" borderId="58" xfId="2673" applyFont="1" applyFill="1" applyBorder="1" applyAlignment="1">
      <alignment horizontal="center" vertical="center" wrapText="1"/>
    </xf>
    <xf numFmtId="1" fontId="146" fillId="35" borderId="7" xfId="2673" applyNumberFormat="1" applyFont="1" applyFill="1" applyBorder="1" applyAlignment="1">
      <alignment horizontal="center" vertical="center" wrapText="1"/>
    </xf>
    <xf numFmtId="1" fontId="146" fillId="35" borderId="58" xfId="2673" applyNumberFormat="1" applyFont="1" applyFill="1" applyBorder="1" applyAlignment="1">
      <alignment horizontal="center" vertical="center" wrapText="1"/>
    </xf>
    <xf numFmtId="43" fontId="146" fillId="0" borderId="53" xfId="2673" applyNumberFormat="1" applyFont="1" applyBorder="1" applyAlignment="1">
      <alignment horizontal="center" vertical="center" wrapText="1"/>
    </xf>
    <xf numFmtId="0" fontId="146" fillId="0" borderId="54" xfId="2673" applyFont="1" applyBorder="1" applyAlignment="1">
      <alignment horizontal="center" vertical="center" wrapText="1"/>
    </xf>
    <xf numFmtId="9" fontId="134" fillId="0" borderId="64" xfId="2675" applyFont="1" applyFill="1" applyBorder="1" applyAlignment="1">
      <alignment horizontal="center" vertical="center" wrapText="1"/>
    </xf>
    <xf numFmtId="9" fontId="134" fillId="0" borderId="65" xfId="2675" applyFont="1" applyFill="1" applyBorder="1" applyAlignment="1">
      <alignment horizontal="center" vertical="center" wrapText="1"/>
    </xf>
    <xf numFmtId="1" fontId="146" fillId="0" borderId="3" xfId="2673" applyNumberFormat="1" applyFont="1" applyBorder="1" applyAlignment="1">
      <alignment horizontal="center" vertical="center" wrapText="1"/>
    </xf>
    <xf numFmtId="1" fontId="146" fillId="0" borderId="39" xfId="2673" applyNumberFormat="1" applyFont="1" applyBorder="1" applyAlignment="1">
      <alignment horizontal="center" vertical="center" wrapText="1"/>
    </xf>
    <xf numFmtId="2" fontId="134" fillId="0" borderId="3" xfId="2673" applyNumberFormat="1" applyFont="1" applyBorder="1" applyAlignment="1">
      <alignment horizontal="center" vertical="center" wrapText="1"/>
    </xf>
    <xf numFmtId="2" fontId="134" fillId="0" borderId="39" xfId="2673" applyNumberFormat="1" applyFont="1" applyBorder="1" applyAlignment="1">
      <alignment horizontal="center" vertical="center" wrapText="1"/>
    </xf>
    <xf numFmtId="9" fontId="134" fillId="35" borderId="64" xfId="2675" applyFont="1" applyFill="1" applyBorder="1" applyAlignment="1">
      <alignment horizontal="center" vertical="center" wrapText="1"/>
    </xf>
    <xf numFmtId="9" fontId="134" fillId="35" borderId="65" xfId="2675" applyFont="1" applyFill="1" applyBorder="1" applyAlignment="1">
      <alignment horizontal="center" vertical="center" wrapText="1"/>
    </xf>
    <xf numFmtId="2" fontId="134" fillId="35" borderId="3" xfId="2673" applyNumberFormat="1" applyFont="1" applyFill="1" applyBorder="1" applyAlignment="1">
      <alignment horizontal="center" vertical="center" wrapText="1"/>
    </xf>
    <xf numFmtId="2" fontId="134" fillId="35" borderId="39" xfId="2673" applyNumberFormat="1" applyFont="1" applyFill="1" applyBorder="1" applyAlignment="1">
      <alignment horizontal="center" vertical="center" wrapText="1"/>
    </xf>
    <xf numFmtId="0" fontId="166" fillId="0" borderId="50" xfId="2673" applyFont="1" applyBorder="1" applyAlignment="1">
      <alignment horizontal="center" vertical="center" wrapText="1"/>
    </xf>
    <xf numFmtId="0" fontId="166" fillId="0" borderId="58" xfId="2673" applyFont="1" applyBorder="1" applyAlignment="1">
      <alignment horizontal="center" vertical="center" wrapText="1"/>
    </xf>
    <xf numFmtId="0" fontId="166" fillId="44" borderId="3" xfId="2673" applyFont="1" applyFill="1" applyBorder="1" applyAlignment="1">
      <alignment horizontal="center" vertical="center" wrapText="1"/>
    </xf>
    <xf numFmtId="0" fontId="166" fillId="44" borderId="39" xfId="2673" applyFont="1" applyFill="1" applyBorder="1" applyAlignment="1">
      <alignment horizontal="center" vertical="center" wrapText="1"/>
    </xf>
    <xf numFmtId="1" fontId="134" fillId="0" borderId="3" xfId="2673" applyNumberFormat="1" applyFont="1" applyBorder="1" applyAlignment="1">
      <alignment horizontal="center" vertical="center" wrapText="1"/>
    </xf>
    <xf numFmtId="1" fontId="134" fillId="0" borderId="39" xfId="2673" applyNumberFormat="1" applyFont="1" applyBorder="1" applyAlignment="1">
      <alignment horizontal="center" vertical="center" wrapText="1"/>
    </xf>
    <xf numFmtId="2" fontId="134" fillId="45" borderId="3" xfId="2673" applyNumberFormat="1" applyFont="1" applyFill="1" applyBorder="1" applyAlignment="1">
      <alignment horizontal="center" vertical="center" wrapText="1"/>
    </xf>
    <xf numFmtId="2" fontId="134" fillId="45" borderId="39" xfId="2673" applyNumberFormat="1" applyFont="1" applyFill="1" applyBorder="1" applyAlignment="1">
      <alignment horizontal="center" vertical="center" wrapText="1"/>
    </xf>
    <xf numFmtId="0" fontId="163" fillId="42" borderId="91" xfId="2673" applyFont="1" applyFill="1" applyBorder="1" applyAlignment="1">
      <alignment horizontal="center" vertical="center" wrapText="1"/>
    </xf>
    <xf numFmtId="0" fontId="163" fillId="42" borderId="92" xfId="2673" applyFont="1" applyFill="1" applyBorder="1" applyAlignment="1">
      <alignment horizontal="center" vertical="center" wrapText="1"/>
    </xf>
    <xf numFmtId="0" fontId="163" fillId="42" borderId="93" xfId="2673" applyFont="1" applyFill="1" applyBorder="1" applyAlignment="1">
      <alignment horizontal="center" vertical="center" wrapText="1"/>
    </xf>
    <xf numFmtId="43" fontId="146" fillId="43" borderId="7" xfId="2673" applyNumberFormat="1" applyFont="1" applyFill="1" applyBorder="1" applyAlignment="1">
      <alignment horizontal="center" vertical="center" wrapText="1"/>
    </xf>
    <xf numFmtId="0" fontId="146" fillId="43" borderId="58" xfId="2673" applyFont="1" applyFill="1" applyBorder="1" applyAlignment="1">
      <alignment horizontal="center" vertical="center" wrapText="1"/>
    </xf>
    <xf numFmtId="1" fontId="134" fillId="43" borderId="7" xfId="2673" applyNumberFormat="1" applyFont="1" applyFill="1" applyBorder="1" applyAlignment="1">
      <alignment horizontal="center" vertical="center" wrapText="1"/>
    </xf>
    <xf numFmtId="1" fontId="134" fillId="43" borderId="58" xfId="2673" applyNumberFormat="1" applyFont="1" applyFill="1" applyBorder="1" applyAlignment="1">
      <alignment horizontal="center" vertical="center" wrapText="1"/>
    </xf>
    <xf numFmtId="0" fontId="134" fillId="43" borderId="7" xfId="2673" applyFont="1" applyFill="1" applyBorder="1" applyAlignment="1">
      <alignment horizontal="center" vertical="center" wrapText="1"/>
    </xf>
    <xf numFmtId="0" fontId="134" fillId="43" borderId="58" xfId="2673" applyFont="1" applyFill="1" applyBorder="1" applyAlignment="1">
      <alignment horizontal="center" vertical="center" wrapText="1"/>
    </xf>
    <xf numFmtId="2" fontId="134" fillId="43" borderId="62" xfId="2673" applyNumberFormat="1" applyFont="1" applyFill="1" applyBorder="1" applyAlignment="1">
      <alignment horizontal="center" vertical="center" wrapText="1"/>
    </xf>
    <xf numFmtId="2" fontId="134" fillId="43" borderId="95" xfId="2673" applyNumberFormat="1" applyFont="1" applyFill="1" applyBorder="1" applyAlignment="1">
      <alignment horizontal="center" vertical="center" wrapText="1"/>
    </xf>
    <xf numFmtId="0" fontId="8" fillId="34" borderId="77" xfId="2670" applyFill="1" applyBorder="1" applyAlignment="1">
      <alignment horizontal="center" vertical="center"/>
    </xf>
    <xf numFmtId="0" fontId="138" fillId="0" borderId="78" xfId="2670" applyFont="1" applyBorder="1" applyAlignment="1">
      <alignment horizontal="left" vertical="center"/>
    </xf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horizontal="center" vertical="center"/>
    </xf>
    <xf numFmtId="0" fontId="111" fillId="38" borderId="3" xfId="1538" applyFill="1" applyBorder="1" applyAlignment="1">
      <alignment horizontal="center" vertical="center" wrapText="1"/>
    </xf>
    <xf numFmtId="0" fontId="102" fillId="38" borderId="3" xfId="1538" applyFont="1" applyFill="1" applyBorder="1" applyAlignment="1">
      <alignment horizontal="center" vertical="center" wrapText="1"/>
    </xf>
    <xf numFmtId="0" fontId="48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53" fillId="30" borderId="3" xfId="1614" applyFont="1" applyFill="1" applyBorder="1" applyAlignment="1">
      <alignment horizontal="center" vertical="center"/>
    </xf>
    <xf numFmtId="0" fontId="154" fillId="0" borderId="0" xfId="1652" applyFont="1" applyAlignment="1">
      <alignment horizontal="center" vertical="center"/>
    </xf>
    <xf numFmtId="37" fontId="151" fillId="0" borderId="36" xfId="1614" applyNumberFormat="1" applyFont="1" applyBorder="1" applyAlignment="1">
      <alignment horizontal="center"/>
    </xf>
    <xf numFmtId="0" fontId="155" fillId="35" borderId="51" xfId="1614" applyFont="1" applyFill="1" applyBorder="1" applyAlignment="1">
      <alignment horizontal="center" vertical="center"/>
    </xf>
    <xf numFmtId="0" fontId="155" fillId="35" borderId="49" xfId="1614" applyFont="1" applyFill="1" applyBorder="1" applyAlignment="1">
      <alignment horizontal="center" vertical="center"/>
    </xf>
    <xf numFmtId="0" fontId="155" fillId="35" borderId="52" xfId="1614" applyFont="1" applyFill="1" applyBorder="1" applyAlignment="1">
      <alignment horizontal="center" vertical="center"/>
    </xf>
    <xf numFmtId="0" fontId="155" fillId="35" borderId="21" xfId="1614" applyFont="1" applyFill="1" applyBorder="1" applyAlignment="1">
      <alignment horizontal="center" vertical="center"/>
    </xf>
    <xf numFmtId="0" fontId="155" fillId="35" borderId="33" xfId="1614" applyFont="1" applyFill="1" applyBorder="1" applyAlignment="1">
      <alignment horizontal="center" vertical="center"/>
    </xf>
    <xf numFmtId="0" fontId="155" fillId="35" borderId="53" xfId="1614" applyFont="1" applyFill="1" applyBorder="1" applyAlignment="1">
      <alignment horizontal="center" vertical="center"/>
    </xf>
    <xf numFmtId="0" fontId="155" fillId="35" borderId="3" xfId="1614" applyFont="1" applyFill="1" applyBorder="1" applyAlignment="1">
      <alignment horizontal="center" vertical="center"/>
    </xf>
    <xf numFmtId="0" fontId="155" fillId="35" borderId="52" xfId="1614" applyFont="1" applyFill="1" applyBorder="1" applyAlignment="1">
      <alignment horizontal="center" vertical="center" wrapText="1"/>
    </xf>
    <xf numFmtId="0" fontId="155" fillId="35" borderId="21" xfId="1614" applyFont="1" applyFill="1" applyBorder="1" applyAlignment="1">
      <alignment horizontal="center" vertical="center" wrapText="1"/>
    </xf>
    <xf numFmtId="0" fontId="155" fillId="35" borderId="33" xfId="1614" applyFont="1" applyFill="1" applyBorder="1" applyAlignment="1">
      <alignment horizontal="center" vertical="center" wrapText="1"/>
    </xf>
    <xf numFmtId="0" fontId="155" fillId="35" borderId="35" xfId="1652" applyFont="1" applyFill="1" applyBorder="1" applyAlignment="1">
      <alignment horizontal="center" vertical="center" wrapText="1"/>
    </xf>
    <xf numFmtId="0" fontId="155" fillId="35" borderId="33" xfId="1652" applyFont="1" applyFill="1" applyBorder="1" applyAlignment="1">
      <alignment horizontal="center" vertical="center" wrapText="1"/>
    </xf>
    <xf numFmtId="0" fontId="150" fillId="0" borderId="0" xfId="1644" applyFont="1" applyAlignment="1">
      <alignment horizontal="center" vertical="center"/>
    </xf>
    <xf numFmtId="37" fontId="157" fillId="0" borderId="19" xfId="1614" applyNumberFormat="1" applyFont="1" applyBorder="1" applyAlignment="1">
      <alignment horizontal="center"/>
    </xf>
    <xf numFmtId="0" fontId="153" fillId="0" borderId="0" xfId="1614" applyFont="1" applyAlignment="1">
      <alignment horizontal="left" vertical="top" wrapText="1"/>
    </xf>
    <xf numFmtId="37" fontId="151" fillId="0" borderId="0" xfId="1614" applyNumberFormat="1" applyFont="1" applyAlignment="1">
      <alignment horizontal="center"/>
    </xf>
    <xf numFmtId="0" fontId="172" fillId="0" borderId="26" xfId="1614" applyFont="1" applyBorder="1" applyAlignment="1">
      <alignment horizontal="left" vertical="center" wrapText="1"/>
    </xf>
    <xf numFmtId="0" fontId="172" fillId="0" borderId="36" xfId="1614" applyFont="1" applyBorder="1" applyAlignment="1">
      <alignment horizontal="left" vertical="center" wrapText="1"/>
    </xf>
    <xf numFmtId="0" fontId="172" fillId="0" borderId="48" xfId="1614" applyFont="1" applyBorder="1" applyAlignment="1">
      <alignment horizontal="left" vertical="center" wrapText="1"/>
    </xf>
    <xf numFmtId="0" fontId="172" fillId="0" borderId="28" xfId="1614" applyFont="1" applyBorder="1" applyAlignment="1">
      <alignment horizontal="left" vertical="center" wrapText="1"/>
    </xf>
    <xf numFmtId="0" fontId="172" fillId="0" borderId="0" xfId="1614" applyFont="1" applyAlignment="1">
      <alignment horizontal="left" vertical="center" wrapText="1"/>
    </xf>
    <xf numFmtId="0" fontId="172" fillId="0" borderId="37" xfId="1614" applyFont="1" applyBorder="1" applyAlignment="1">
      <alignment horizontal="left" vertical="center" wrapText="1"/>
    </xf>
    <xf numFmtId="0" fontId="156" fillId="0" borderId="0" xfId="1652" applyFont="1" applyAlignment="1">
      <alignment horizontal="center" vertical="center"/>
    </xf>
    <xf numFmtId="0" fontId="151" fillId="0" borderId="0" xfId="1652" applyFont="1" applyAlignment="1">
      <alignment horizontal="center" vertical="center"/>
    </xf>
    <xf numFmtId="0" fontId="155" fillId="35" borderId="54" xfId="1614" applyFont="1" applyFill="1" applyBorder="1" applyAlignment="1">
      <alignment horizontal="center" vertical="center"/>
    </xf>
    <xf numFmtId="0" fontId="155" fillId="35" borderId="39" xfId="1614" applyFont="1" applyFill="1" applyBorder="1" applyAlignment="1">
      <alignment horizontal="center" vertical="center"/>
    </xf>
    <xf numFmtId="0" fontId="130" fillId="35" borderId="55" xfId="0" applyFont="1" applyFill="1" applyBorder="1" applyAlignment="1">
      <alignment horizontal="center" vertical="center"/>
    </xf>
    <xf numFmtId="0" fontId="130" fillId="35" borderId="36" xfId="0" applyFont="1" applyFill="1" applyBorder="1" applyAlignment="1">
      <alignment horizontal="center" vertical="center"/>
    </xf>
    <xf numFmtId="0" fontId="130" fillId="35" borderId="48" xfId="0" applyFont="1" applyFill="1" applyBorder="1" applyAlignment="1">
      <alignment horizontal="center" vertical="center"/>
    </xf>
    <xf numFmtId="0" fontId="130" fillId="35" borderId="43" xfId="0" applyFont="1" applyFill="1" applyBorder="1" applyAlignment="1">
      <alignment horizontal="center" vertical="center"/>
    </xf>
    <xf numFmtId="0" fontId="130" fillId="35" borderId="44" xfId="0" applyFont="1" applyFill="1" applyBorder="1" applyAlignment="1">
      <alignment horizontal="center" vertical="center"/>
    </xf>
    <xf numFmtId="0" fontId="130" fillId="35" borderId="45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horizontal="center"/>
    </xf>
    <xf numFmtId="0" fontId="114" fillId="33" borderId="39" xfId="0" applyFont="1" applyFill="1" applyBorder="1" applyAlignment="1">
      <alignment horizontal="center"/>
    </xf>
    <xf numFmtId="0" fontId="115" fillId="33" borderId="18" xfId="0" applyFont="1" applyFill="1" applyBorder="1" applyAlignment="1">
      <alignment horizontal="left"/>
    </xf>
    <xf numFmtId="0" fontId="115" fillId="33" borderId="0" xfId="0" applyFont="1" applyFill="1" applyAlignment="1">
      <alignment horizontal="left"/>
    </xf>
    <xf numFmtId="0" fontId="115" fillId="33" borderId="37" xfId="0" applyFont="1" applyFill="1" applyBorder="1" applyAlignment="1">
      <alignment horizontal="left"/>
    </xf>
    <xf numFmtId="0" fontId="131" fillId="33" borderId="50" xfId="0" applyFont="1" applyFill="1" applyBorder="1" applyAlignment="1">
      <alignment horizontal="center" vertical="center"/>
    </xf>
    <xf numFmtId="0" fontId="131" fillId="33" borderId="7" xfId="0" applyFont="1" applyFill="1" applyBorder="1" applyAlignment="1">
      <alignment horizontal="center" vertical="center"/>
    </xf>
    <xf numFmtId="0" fontId="131" fillId="33" borderId="41" xfId="0" applyFont="1" applyFill="1" applyBorder="1" applyAlignment="1">
      <alignment horizontal="center" vertical="center"/>
    </xf>
    <xf numFmtId="0" fontId="115" fillId="33" borderId="5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center"/>
    </xf>
    <xf numFmtId="0" fontId="115" fillId="33" borderId="58" xfId="0" applyFont="1" applyFill="1" applyBorder="1" applyAlignment="1">
      <alignment horizontal="center" vertical="center"/>
    </xf>
    <xf numFmtId="208" fontId="119" fillId="0" borderId="73" xfId="1450" applyNumberFormat="1" applyFont="1" applyBorder="1" applyAlignment="1">
      <alignment horizontal="left" vertical="center"/>
    </xf>
    <xf numFmtId="208" fontId="174" fillId="0" borderId="74" xfId="1450" applyNumberFormat="1" applyFont="1" applyBorder="1" applyAlignment="1">
      <alignment horizontal="left" vertical="center"/>
    </xf>
    <xf numFmtId="49" fontId="132" fillId="33" borderId="59" xfId="0" applyNumberFormat="1" applyFont="1" applyFill="1" applyBorder="1" applyAlignment="1">
      <alignment horizontal="left" vertical="center"/>
    </xf>
    <xf numFmtId="49" fontId="132" fillId="33" borderId="40" xfId="0" applyNumberFormat="1" applyFont="1" applyFill="1" applyBorder="1" applyAlignment="1">
      <alignment horizontal="left" vertical="center"/>
    </xf>
    <xf numFmtId="49" fontId="114" fillId="33" borderId="50" xfId="0" applyNumberFormat="1" applyFont="1" applyFill="1" applyBorder="1" applyAlignment="1">
      <alignment horizontal="left" vertical="center"/>
    </xf>
    <xf numFmtId="49" fontId="114" fillId="33" borderId="41" xfId="0" applyNumberFormat="1" applyFont="1" applyFill="1" applyBorder="1" applyAlignment="1">
      <alignment horizontal="left" vertical="center"/>
    </xf>
    <xf numFmtId="0" fontId="114" fillId="33" borderId="56" xfId="0" applyFont="1" applyFill="1" applyBorder="1" applyAlignment="1">
      <alignment horizontal="center"/>
    </xf>
    <xf numFmtId="0" fontId="114" fillId="33" borderId="57" xfId="0" applyFont="1" applyFill="1" applyBorder="1" applyAlignment="1">
      <alignment horizontal="center"/>
    </xf>
    <xf numFmtId="49" fontId="114" fillId="33" borderId="50" xfId="0" applyNumberFormat="1" applyFont="1" applyFill="1" applyBorder="1" applyAlignment="1">
      <alignment horizontal="center" vertical="center"/>
    </xf>
    <xf numFmtId="49" fontId="114" fillId="33" borderId="41" xfId="0" applyNumberFormat="1" applyFont="1" applyFill="1" applyBorder="1" applyAlignment="1">
      <alignment horizontal="center" vertical="center"/>
    </xf>
    <xf numFmtId="0" fontId="91" fillId="33" borderId="60" xfId="0" applyFont="1" applyFill="1" applyBorder="1" applyAlignment="1">
      <alignment horizontal="left" vertical="center"/>
    </xf>
    <xf numFmtId="0" fontId="91" fillId="33" borderId="79" xfId="0" applyFont="1" applyFill="1" applyBorder="1" applyAlignment="1">
      <alignment horizontal="left" vertical="center"/>
    </xf>
    <xf numFmtId="0" fontId="132" fillId="33" borderId="60" xfId="0" applyFont="1" applyFill="1" applyBorder="1" applyAlignment="1">
      <alignment horizontal="left" vertical="center"/>
    </xf>
    <xf numFmtId="0" fontId="132" fillId="33" borderId="61" xfId="0" applyFont="1" applyFill="1" applyBorder="1" applyAlignment="1">
      <alignment horizontal="left" vertical="center"/>
    </xf>
    <xf numFmtId="0" fontId="91" fillId="33" borderId="80" xfId="0" applyFont="1" applyFill="1" applyBorder="1" applyAlignment="1">
      <alignment horizontal="center" vertical="center"/>
    </xf>
    <xf numFmtId="0" fontId="91" fillId="33" borderId="81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center"/>
    </xf>
    <xf numFmtId="0" fontId="118" fillId="33" borderId="73" xfId="0" applyFont="1" applyFill="1" applyBorder="1" applyAlignment="1">
      <alignment horizontal="center" vertical="center"/>
    </xf>
    <xf numFmtId="0" fontId="118" fillId="33" borderId="74" xfId="0" applyFont="1" applyFill="1" applyBorder="1" applyAlignment="1">
      <alignment horizontal="center" vertical="center"/>
    </xf>
    <xf numFmtId="49" fontId="114" fillId="33" borderId="7" xfId="0" applyNumberFormat="1" applyFont="1" applyFill="1" applyBorder="1" applyAlignment="1">
      <alignment horizontal="center" vertical="top" wrapText="1"/>
    </xf>
    <xf numFmtId="49" fontId="114" fillId="33" borderId="41" xfId="0" applyNumberFormat="1" applyFont="1" applyFill="1" applyBorder="1" applyAlignment="1">
      <alignment horizontal="center" vertical="top" wrapText="1"/>
    </xf>
    <xf numFmtId="0" fontId="114" fillId="33" borderId="7" xfId="0" applyFont="1" applyFill="1" applyBorder="1" applyAlignment="1">
      <alignment horizontal="center" vertical="top" wrapText="1"/>
    </xf>
    <xf numFmtId="0" fontId="114" fillId="33" borderId="41" xfId="0" applyFont="1" applyFill="1" applyBorder="1" applyAlignment="1">
      <alignment horizontal="center" vertical="top" wrapText="1"/>
    </xf>
    <xf numFmtId="0" fontId="91" fillId="33" borderId="61" xfId="0" applyFont="1" applyFill="1" applyBorder="1" applyAlignment="1">
      <alignment horizontal="left" vertical="center"/>
    </xf>
    <xf numFmtId="0" fontId="114" fillId="33" borderId="7" xfId="0" applyFont="1" applyFill="1" applyBorder="1" applyAlignment="1">
      <alignment horizontal="center"/>
    </xf>
    <xf numFmtId="0" fontId="114" fillId="33" borderId="41" xfId="0" applyFont="1" applyFill="1" applyBorder="1" applyAlignment="1">
      <alignment horizontal="center"/>
    </xf>
    <xf numFmtId="15" fontId="114" fillId="33" borderId="3" xfId="0" applyNumberFormat="1" applyFont="1" applyFill="1" applyBorder="1" applyAlignment="1">
      <alignment horizontal="center"/>
    </xf>
    <xf numFmtId="0" fontId="91" fillId="33" borderId="59" xfId="0" applyFont="1" applyFill="1" applyBorder="1" applyAlignment="1">
      <alignment horizontal="center" vertical="center"/>
    </xf>
    <xf numFmtId="0" fontId="91" fillId="33" borderId="40" xfId="0" applyFont="1" applyFill="1" applyBorder="1" applyAlignment="1">
      <alignment horizontal="center" vertical="center"/>
    </xf>
    <xf numFmtId="0" fontId="119" fillId="33" borderId="75" xfId="0" applyFont="1" applyFill="1" applyBorder="1" applyAlignment="1">
      <alignment horizontal="center" vertical="center" wrapText="1"/>
    </xf>
    <xf numFmtId="0" fontId="119" fillId="33" borderId="76" xfId="0" applyFont="1" applyFill="1" applyBorder="1" applyAlignment="1">
      <alignment horizontal="center" vertical="center" wrapText="1"/>
    </xf>
    <xf numFmtId="0" fontId="115" fillId="33" borderId="18" xfId="0" applyFont="1" applyFill="1" applyBorder="1" applyAlignment="1">
      <alignment horizontal="left" vertical="top" wrapText="1"/>
    </xf>
    <xf numFmtId="0" fontId="115" fillId="33" borderId="0" xfId="0" applyFont="1" applyFill="1" applyAlignment="1">
      <alignment horizontal="left" vertical="top" wrapText="1"/>
    </xf>
    <xf numFmtId="0" fontId="114" fillId="33" borderId="64" xfId="0" applyFont="1" applyFill="1" applyBorder="1" applyAlignment="1">
      <alignment horizontal="center"/>
    </xf>
    <xf numFmtId="0" fontId="114" fillId="33" borderId="62" xfId="0" applyFont="1" applyFill="1" applyBorder="1" applyAlignment="1">
      <alignment horizontal="center"/>
    </xf>
    <xf numFmtId="0" fontId="114" fillId="33" borderId="63" xfId="0" applyFont="1" applyFill="1" applyBorder="1" applyAlignment="1">
      <alignment horizontal="center"/>
    </xf>
    <xf numFmtId="0" fontId="114" fillId="33" borderId="65" xfId="0" applyFont="1" applyFill="1" applyBorder="1" applyAlignment="1">
      <alignment horizontal="center"/>
    </xf>
    <xf numFmtId="0" fontId="114" fillId="33" borderId="56" xfId="0" applyFont="1" applyFill="1" applyBorder="1" applyAlignment="1">
      <alignment horizontal="center" vertical="center"/>
    </xf>
    <xf numFmtId="0" fontId="114" fillId="33" borderId="57" xfId="0" applyFont="1" applyFill="1" applyBorder="1" applyAlignment="1">
      <alignment horizontal="center" vertical="center"/>
    </xf>
    <xf numFmtId="0" fontId="114" fillId="33" borderId="0" xfId="0" applyFont="1" applyFill="1" applyAlignment="1">
      <alignment horizontal="center" vertical="center" wrapText="1"/>
    </xf>
    <xf numFmtId="0" fontId="114" fillId="33" borderId="37" xfId="0" applyFont="1" applyFill="1" applyBorder="1" applyAlignment="1">
      <alignment horizontal="center" vertical="center" wrapText="1"/>
    </xf>
    <xf numFmtId="0" fontId="114" fillId="33" borderId="44" xfId="0" applyFont="1" applyFill="1" applyBorder="1" applyAlignment="1">
      <alignment horizontal="center" vertical="center" wrapText="1"/>
    </xf>
    <xf numFmtId="0" fontId="114" fillId="33" borderId="45" xfId="0" applyFont="1" applyFill="1" applyBorder="1" applyAlignment="1">
      <alignment horizontal="center" vertical="center" wrapText="1"/>
    </xf>
    <xf numFmtId="0" fontId="122" fillId="35" borderId="26" xfId="1451" applyFont="1" applyFill="1" applyBorder="1" applyAlignment="1">
      <alignment horizontal="center" vertical="center"/>
    </xf>
    <xf numFmtId="0" fontId="122" fillId="35" borderId="36" xfId="1451" applyFont="1" applyFill="1" applyBorder="1" applyAlignment="1">
      <alignment horizontal="center" vertical="center"/>
    </xf>
    <xf numFmtId="0" fontId="122" fillId="35" borderId="48" xfId="1451" applyFont="1" applyFill="1" applyBorder="1" applyAlignment="1">
      <alignment horizontal="center" vertical="center"/>
    </xf>
    <xf numFmtId="0" fontId="122" fillId="35" borderId="28" xfId="1451" applyFont="1" applyFill="1" applyBorder="1" applyAlignment="1">
      <alignment horizontal="center" vertical="center"/>
    </xf>
    <xf numFmtId="0" fontId="122" fillId="35" borderId="0" xfId="1451" applyFont="1" applyFill="1" applyAlignment="1">
      <alignment horizontal="center" vertical="center"/>
    </xf>
    <xf numFmtId="0" fontId="122" fillId="35" borderId="37" xfId="1451" applyFont="1" applyFill="1" applyBorder="1" applyAlignment="1">
      <alignment horizontal="center" vertical="center"/>
    </xf>
    <xf numFmtId="0" fontId="122" fillId="35" borderId="34" xfId="1451" applyFont="1" applyFill="1" applyBorder="1" applyAlignment="1">
      <alignment horizontal="center" vertical="center"/>
    </xf>
    <xf numFmtId="0" fontId="122" fillId="35" borderId="19" xfId="1451" applyFont="1" applyFill="1" applyBorder="1" applyAlignment="1">
      <alignment horizontal="center" vertical="center"/>
    </xf>
    <xf numFmtId="0" fontId="122" fillId="35" borderId="31" xfId="1451" applyFont="1" applyFill="1" applyBorder="1" applyAlignment="1">
      <alignment horizontal="center" vertical="center"/>
    </xf>
    <xf numFmtId="0" fontId="160" fillId="0" borderId="0" xfId="1451" applyFont="1" applyAlignment="1">
      <alignment horizontal="left"/>
    </xf>
  </cellXfs>
  <cellStyles count="267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" xfId="2678" builtinId="8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158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theme" Target="theme/theme1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tyles" Target="style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sharedStrings" Target="sharedStrings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0.65999999999999992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0.92145102962664283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eg"/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0991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25</xdr:row>
          <xdr:rowOff>1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0992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5144875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22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13737</xdr:colOff>
      <xdr:row>17</xdr:row>
      <xdr:rowOff>108093</xdr:rowOff>
    </xdr:from>
    <xdr:to>
      <xdr:col>17</xdr:col>
      <xdr:colOff>102577</xdr:colOff>
      <xdr:row>17</xdr:row>
      <xdr:rowOff>124559</xdr:rowOff>
    </xdr:to>
    <xdr:cxnSp macro="">
      <xdr:nvCxnSpPr>
        <xdr:cNvPr id="133" name="Straight Connector 132">
          <a:extLst>
            <a:ext uri="{FF2B5EF4-FFF2-40B4-BE49-F238E27FC236}">
              <a16:creationId xmlns:a16="http://schemas.microsoft.com/office/drawing/2014/main" id="{555D9D6D-68E2-4A12-A85C-40B6B58D2B1A}"/>
            </a:ext>
          </a:extLst>
        </xdr:cNvPr>
        <xdr:cNvCxnSpPr/>
      </xdr:nvCxnSpPr>
      <xdr:spPr>
        <a:xfrm>
          <a:off x="2607468" y="2745785"/>
          <a:ext cx="3517840" cy="1646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293077</xdr:colOff>
      <xdr:row>16</xdr:row>
      <xdr:rowOff>102578</xdr:rowOff>
    </xdr:from>
    <xdr:to>
      <xdr:col>18</xdr:col>
      <xdr:colOff>131884</xdr:colOff>
      <xdr:row>16</xdr:row>
      <xdr:rowOff>124558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486DB722-BC83-47DA-9E49-3A41FB442D90}"/>
            </a:ext>
          </a:extLst>
        </xdr:cNvPr>
        <xdr:cNvCxnSpPr/>
      </xdr:nvCxnSpPr>
      <xdr:spPr>
        <a:xfrm flipH="1" flipV="1">
          <a:off x="1743808" y="2586405"/>
          <a:ext cx="4791807" cy="21980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10849</xdr:colOff>
      <xdr:row>1</xdr:row>
      <xdr:rowOff>54428</xdr:rowOff>
    </xdr:from>
    <xdr:to>
      <xdr:col>21</xdr:col>
      <xdr:colOff>107148</xdr:colOff>
      <xdr:row>6</xdr:row>
      <xdr:rowOff>81879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78D461F8-B1C8-4FA1-B8EF-3501ADDBDE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87206" y="217714"/>
          <a:ext cx="858299" cy="789451"/>
        </a:xfrm>
        <a:prstGeom prst="rect">
          <a:avLst/>
        </a:prstGeom>
      </xdr:spPr>
    </xdr:pic>
    <xdr:clientData/>
  </xdr:twoCellAnchor>
  <xdr:twoCellAnchor>
    <xdr:from>
      <xdr:col>26</xdr:col>
      <xdr:colOff>65006</xdr:colOff>
      <xdr:row>5</xdr:row>
      <xdr:rowOff>40289</xdr:rowOff>
    </xdr:from>
    <xdr:to>
      <xdr:col>29</xdr:col>
      <xdr:colOff>354335</xdr:colOff>
      <xdr:row>17</xdr:row>
      <xdr:rowOff>35534</xdr:rowOff>
    </xdr:to>
    <xdr:grpSp>
      <xdr:nvGrpSpPr>
        <xdr:cNvPr id="121" name="Group 120">
          <a:extLst>
            <a:ext uri="{FF2B5EF4-FFF2-40B4-BE49-F238E27FC236}">
              <a16:creationId xmlns:a16="http://schemas.microsoft.com/office/drawing/2014/main" id="{05115714-B700-464A-A407-0E81AE03C8E4}"/>
            </a:ext>
          </a:extLst>
        </xdr:cNvPr>
        <xdr:cNvGrpSpPr/>
      </xdr:nvGrpSpPr>
      <xdr:grpSpPr>
        <a:xfrm>
          <a:off x="9556388" y="824701"/>
          <a:ext cx="1488359" cy="1877833"/>
          <a:chOff x="9713886" y="808452"/>
          <a:chExt cx="1342558" cy="1766630"/>
        </a:xfrm>
      </xdr:grpSpPr>
      <xdr:grpSp>
        <xdr:nvGrpSpPr>
          <xdr:cNvPr id="122" name="Group 13">
            <a:extLst>
              <a:ext uri="{FF2B5EF4-FFF2-40B4-BE49-F238E27FC236}">
                <a16:creationId xmlns:a16="http://schemas.microsoft.com/office/drawing/2014/main" id="{322D9EED-0037-49FB-9725-68E4205BE03A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294" name="Oval 1">
              <a:extLst>
                <a:ext uri="{FF2B5EF4-FFF2-40B4-BE49-F238E27FC236}">
                  <a16:creationId xmlns:a16="http://schemas.microsoft.com/office/drawing/2014/main" id="{4C7E8E0D-0112-41C7-9492-5761FB99658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95" name="Straight Connector 3">
              <a:extLst>
                <a:ext uri="{FF2B5EF4-FFF2-40B4-BE49-F238E27FC236}">
                  <a16:creationId xmlns:a16="http://schemas.microsoft.com/office/drawing/2014/main" id="{BEFFAADE-B334-48EC-B107-B60989DB8F47}"/>
                </a:ext>
              </a:extLst>
            </xdr:cNvPr>
            <xdr:cNvCxnSpPr>
              <a:stCxn id="251" idx="1"/>
              <a:endCxn id="251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6" name="Straight Connector 7">
              <a:extLst>
                <a:ext uri="{FF2B5EF4-FFF2-40B4-BE49-F238E27FC236}">
                  <a16:creationId xmlns:a16="http://schemas.microsoft.com/office/drawing/2014/main" id="{1C691B42-4D67-4F97-851E-58DD76A23346}"/>
                </a:ext>
              </a:extLst>
            </xdr:cNvPr>
            <xdr:cNvCxnSpPr>
              <a:stCxn id="251" idx="3"/>
              <a:endCxn id="251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23" name="Oval 122">
            <a:extLst>
              <a:ext uri="{FF2B5EF4-FFF2-40B4-BE49-F238E27FC236}">
                <a16:creationId xmlns:a16="http://schemas.microsoft.com/office/drawing/2014/main" id="{8221F988-6436-45FB-A959-1AD9EBFE2337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24" name="Group 123">
            <a:extLst>
              <a:ext uri="{FF2B5EF4-FFF2-40B4-BE49-F238E27FC236}">
                <a16:creationId xmlns:a16="http://schemas.microsoft.com/office/drawing/2014/main" id="{631092A4-9D8B-472B-BFC6-565ABBCB9A7A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291" name="Oval 290">
              <a:extLst>
                <a:ext uri="{FF2B5EF4-FFF2-40B4-BE49-F238E27FC236}">
                  <a16:creationId xmlns:a16="http://schemas.microsoft.com/office/drawing/2014/main" id="{7031EA64-C986-4E93-9C9E-20D68B2455B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292" name="Straight Connector 291">
              <a:extLst>
                <a:ext uri="{FF2B5EF4-FFF2-40B4-BE49-F238E27FC236}">
                  <a16:creationId xmlns:a16="http://schemas.microsoft.com/office/drawing/2014/main" id="{93ADC1E5-FF80-451B-BF66-6E7A0BD43F1D}"/>
                </a:ext>
              </a:extLst>
            </xdr:cNvPr>
            <xdr:cNvCxnSpPr>
              <a:stCxn id="291" idx="1"/>
              <a:endCxn id="291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3" name="Straight Connector 292">
              <a:extLst>
                <a:ext uri="{FF2B5EF4-FFF2-40B4-BE49-F238E27FC236}">
                  <a16:creationId xmlns:a16="http://schemas.microsoft.com/office/drawing/2014/main" id="{EA6C8A38-A05B-467B-BA8B-7391B1582950}"/>
                </a:ext>
              </a:extLst>
            </xdr:cNvPr>
            <xdr:cNvCxnSpPr>
              <a:stCxn id="291" idx="3"/>
              <a:endCxn id="291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25" name="Oval 124">
            <a:extLst>
              <a:ext uri="{FF2B5EF4-FFF2-40B4-BE49-F238E27FC236}">
                <a16:creationId xmlns:a16="http://schemas.microsoft.com/office/drawing/2014/main" id="{0B78F020-B547-4273-9B71-87FC0C1F49C1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64B8EF6B-8869-4DC3-A94D-B05124330D75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BA124CCE-062E-4515-A623-E78CCF244AA9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25187F7D-B3C9-40B5-86AD-F2D1B83E8CCC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2BFD10CB-1E66-4D8A-ADD5-96ED88CD46F5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Straight Connector 196">
            <a:extLst>
              <a:ext uri="{FF2B5EF4-FFF2-40B4-BE49-F238E27FC236}">
                <a16:creationId xmlns:a16="http://schemas.microsoft.com/office/drawing/2014/main" id="{3EAFC62F-44E1-4865-BBA6-BD763D1EF007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Straight Connector 197">
            <a:extLst>
              <a:ext uri="{FF2B5EF4-FFF2-40B4-BE49-F238E27FC236}">
                <a16:creationId xmlns:a16="http://schemas.microsoft.com/office/drawing/2014/main" id="{4E715725-1010-4D18-B0AA-2DD0CB79ABCB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5" name="Straight Connector 204">
            <a:extLst>
              <a:ext uri="{FF2B5EF4-FFF2-40B4-BE49-F238E27FC236}">
                <a16:creationId xmlns:a16="http://schemas.microsoft.com/office/drawing/2014/main" id="{F5D616DA-DF4F-4BA4-AD94-6EB92BACC3D2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3" name="Straight Connector 232">
            <a:extLst>
              <a:ext uri="{FF2B5EF4-FFF2-40B4-BE49-F238E27FC236}">
                <a16:creationId xmlns:a16="http://schemas.microsoft.com/office/drawing/2014/main" id="{96705679-BB9A-49C3-B8D2-96990801374E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4" name="Straight Connector 233">
            <a:extLst>
              <a:ext uri="{FF2B5EF4-FFF2-40B4-BE49-F238E27FC236}">
                <a16:creationId xmlns:a16="http://schemas.microsoft.com/office/drawing/2014/main" id="{B5523762-7EDF-41DD-A1B2-2F17063E548D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5" name="Straight Connector 234">
            <a:extLst>
              <a:ext uri="{FF2B5EF4-FFF2-40B4-BE49-F238E27FC236}">
                <a16:creationId xmlns:a16="http://schemas.microsoft.com/office/drawing/2014/main" id="{C46FB4A5-9165-4FBD-9A66-138278FD5325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9" name="Straight Connector 248">
            <a:extLst>
              <a:ext uri="{FF2B5EF4-FFF2-40B4-BE49-F238E27FC236}">
                <a16:creationId xmlns:a16="http://schemas.microsoft.com/office/drawing/2014/main" id="{013A5078-27F3-4423-B473-D9A9B58C4119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" name="Straight Connector 249">
            <a:extLst>
              <a:ext uri="{FF2B5EF4-FFF2-40B4-BE49-F238E27FC236}">
                <a16:creationId xmlns:a16="http://schemas.microsoft.com/office/drawing/2014/main" id="{8F1502A1-2DA7-43AB-9160-4D59D90DCC14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1" name="Straight Connector 50">
            <a:extLst>
              <a:ext uri="{FF2B5EF4-FFF2-40B4-BE49-F238E27FC236}">
                <a16:creationId xmlns:a16="http://schemas.microsoft.com/office/drawing/2014/main" id="{B89F7CB2-F58C-4BC0-985D-93842D3FE2A9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Straight Connector 251">
            <a:extLst>
              <a:ext uri="{FF2B5EF4-FFF2-40B4-BE49-F238E27FC236}">
                <a16:creationId xmlns:a16="http://schemas.microsoft.com/office/drawing/2014/main" id="{FA4D5BE8-FDCD-4D9F-8BCE-E0C001222976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3" name="Straight Connector 52">
            <a:extLst>
              <a:ext uri="{FF2B5EF4-FFF2-40B4-BE49-F238E27FC236}">
                <a16:creationId xmlns:a16="http://schemas.microsoft.com/office/drawing/2014/main" id="{FF53BE85-913B-4707-A9C0-831E4C4318FD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4" name="Straight Connector 253">
            <a:extLst>
              <a:ext uri="{FF2B5EF4-FFF2-40B4-BE49-F238E27FC236}">
                <a16:creationId xmlns:a16="http://schemas.microsoft.com/office/drawing/2014/main" id="{9E3BF716-FBB1-4919-8EBF-61BED2317A99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5" name="Straight Connector 254">
            <a:extLst>
              <a:ext uri="{FF2B5EF4-FFF2-40B4-BE49-F238E27FC236}">
                <a16:creationId xmlns:a16="http://schemas.microsoft.com/office/drawing/2014/main" id="{B98BD33D-2E38-4EF4-981C-3E6D4C725071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" name="Straight Connector 255">
            <a:extLst>
              <a:ext uri="{FF2B5EF4-FFF2-40B4-BE49-F238E27FC236}">
                <a16:creationId xmlns:a16="http://schemas.microsoft.com/office/drawing/2014/main" id="{3E218835-804C-4CEF-A7C2-7D89375FB210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7" name="Straight Connector 256">
            <a:extLst>
              <a:ext uri="{FF2B5EF4-FFF2-40B4-BE49-F238E27FC236}">
                <a16:creationId xmlns:a16="http://schemas.microsoft.com/office/drawing/2014/main" id="{8C6D5ADD-30A2-450E-A6D0-F7FC0348D576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8" name="Straight Connector 257">
            <a:extLst>
              <a:ext uri="{FF2B5EF4-FFF2-40B4-BE49-F238E27FC236}">
                <a16:creationId xmlns:a16="http://schemas.microsoft.com/office/drawing/2014/main" id="{3E0969FF-23A2-4034-B297-5FEA6ACEFCF9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9" name="Straight Connector 258">
            <a:extLst>
              <a:ext uri="{FF2B5EF4-FFF2-40B4-BE49-F238E27FC236}">
                <a16:creationId xmlns:a16="http://schemas.microsoft.com/office/drawing/2014/main" id="{A86B9EB8-785C-41AC-B135-D66CDCCAE8D8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0" name="Straight Connector 259">
            <a:extLst>
              <a:ext uri="{FF2B5EF4-FFF2-40B4-BE49-F238E27FC236}">
                <a16:creationId xmlns:a16="http://schemas.microsoft.com/office/drawing/2014/main" id="{4CAAF39F-51D9-4A48-AA83-D0B21F34DE65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1" name="Isosceles Triangle 260">
            <a:extLst>
              <a:ext uri="{FF2B5EF4-FFF2-40B4-BE49-F238E27FC236}">
                <a16:creationId xmlns:a16="http://schemas.microsoft.com/office/drawing/2014/main" id="{D993CF49-4A99-4FBA-ABF3-92AA2478A100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62" name="Isosceles Triangle 261">
            <a:extLst>
              <a:ext uri="{FF2B5EF4-FFF2-40B4-BE49-F238E27FC236}">
                <a16:creationId xmlns:a16="http://schemas.microsoft.com/office/drawing/2014/main" id="{11FAD728-1FC9-4A18-A1D3-E61EB2D51555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63" name="Group 73">
            <a:extLst>
              <a:ext uri="{FF2B5EF4-FFF2-40B4-BE49-F238E27FC236}">
                <a16:creationId xmlns:a16="http://schemas.microsoft.com/office/drawing/2014/main" id="{8F3FE792-8157-4292-A6B4-847E2EE8C350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289" name="TextBox 288">
              <a:extLst>
                <a:ext uri="{FF2B5EF4-FFF2-40B4-BE49-F238E27FC236}">
                  <a16:creationId xmlns:a16="http://schemas.microsoft.com/office/drawing/2014/main" id="{3EF49135-53FF-4926-B860-3BB22B3E60DF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290" name="Straight Connector 289">
              <a:extLst>
                <a:ext uri="{FF2B5EF4-FFF2-40B4-BE49-F238E27FC236}">
                  <a16:creationId xmlns:a16="http://schemas.microsoft.com/office/drawing/2014/main" id="{7E2450D6-3D61-4C85-A169-FB242E5E60C9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4" name="Group 74">
            <a:extLst>
              <a:ext uri="{FF2B5EF4-FFF2-40B4-BE49-F238E27FC236}">
                <a16:creationId xmlns:a16="http://schemas.microsoft.com/office/drawing/2014/main" id="{D67E7275-C1C8-43A2-80D1-33FD16845181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287" name="TextBox 286">
              <a:extLst>
                <a:ext uri="{FF2B5EF4-FFF2-40B4-BE49-F238E27FC236}">
                  <a16:creationId xmlns:a16="http://schemas.microsoft.com/office/drawing/2014/main" id="{26E14622-662E-4469-B9A9-D5295A06DC2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288" name="Straight Connector 287">
              <a:extLst>
                <a:ext uri="{FF2B5EF4-FFF2-40B4-BE49-F238E27FC236}">
                  <a16:creationId xmlns:a16="http://schemas.microsoft.com/office/drawing/2014/main" id="{5213537B-459B-4287-82F0-B67C094467A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5" name="Group 89">
            <a:extLst>
              <a:ext uri="{FF2B5EF4-FFF2-40B4-BE49-F238E27FC236}">
                <a16:creationId xmlns:a16="http://schemas.microsoft.com/office/drawing/2014/main" id="{37AAF8B1-9866-4AD4-B0C8-5C9B0D042298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283" name="Straight Connector 282">
              <a:extLst>
                <a:ext uri="{FF2B5EF4-FFF2-40B4-BE49-F238E27FC236}">
                  <a16:creationId xmlns:a16="http://schemas.microsoft.com/office/drawing/2014/main" id="{D6197572-D248-4710-80E2-83370235AEAC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4" name="Straight Connector 79">
              <a:extLst>
                <a:ext uri="{FF2B5EF4-FFF2-40B4-BE49-F238E27FC236}">
                  <a16:creationId xmlns:a16="http://schemas.microsoft.com/office/drawing/2014/main" id="{2049E36F-1E40-4B48-AF5E-75793A3D545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5" name="Straight Connector 80">
              <a:extLst>
                <a:ext uri="{FF2B5EF4-FFF2-40B4-BE49-F238E27FC236}">
                  <a16:creationId xmlns:a16="http://schemas.microsoft.com/office/drawing/2014/main" id="{ED19E9FF-C357-4ABA-8750-2044C5699732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6" name="Straight Connector 88">
              <a:extLst>
                <a:ext uri="{FF2B5EF4-FFF2-40B4-BE49-F238E27FC236}">
                  <a16:creationId xmlns:a16="http://schemas.microsoft.com/office/drawing/2014/main" id="{FCCC9C45-8FBC-4363-B895-303EB27C8F7B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6" name="Group 90">
            <a:extLst>
              <a:ext uri="{FF2B5EF4-FFF2-40B4-BE49-F238E27FC236}">
                <a16:creationId xmlns:a16="http://schemas.microsoft.com/office/drawing/2014/main" id="{5D66F161-992A-47F3-AD7B-5625CAFB84EE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279" name="Straight Connector 278">
              <a:extLst>
                <a:ext uri="{FF2B5EF4-FFF2-40B4-BE49-F238E27FC236}">
                  <a16:creationId xmlns:a16="http://schemas.microsoft.com/office/drawing/2014/main" id="{AB979314-FB79-4AEB-B09D-5A3E8FA1D39B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0" name="Straight Connector 279">
              <a:extLst>
                <a:ext uri="{FF2B5EF4-FFF2-40B4-BE49-F238E27FC236}">
                  <a16:creationId xmlns:a16="http://schemas.microsoft.com/office/drawing/2014/main" id="{4BD98B72-2416-438C-8212-7BA286D388AE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1" name="Straight Connector 280">
              <a:extLst>
                <a:ext uri="{FF2B5EF4-FFF2-40B4-BE49-F238E27FC236}">
                  <a16:creationId xmlns:a16="http://schemas.microsoft.com/office/drawing/2014/main" id="{A542C0A3-9694-4905-B2A0-C01FC058FCB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82" name="Straight Connector 281">
              <a:extLst>
                <a:ext uri="{FF2B5EF4-FFF2-40B4-BE49-F238E27FC236}">
                  <a16:creationId xmlns:a16="http://schemas.microsoft.com/office/drawing/2014/main" id="{7AE4D199-69DF-4E4E-81C8-25BEE2B20E1B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67" name="Straight Connector 266">
            <a:extLst>
              <a:ext uri="{FF2B5EF4-FFF2-40B4-BE49-F238E27FC236}">
                <a16:creationId xmlns:a16="http://schemas.microsoft.com/office/drawing/2014/main" id="{3B6C73D9-C9E9-4561-B2A0-7E5E5F403A09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8" name="Straight Connector 267">
            <a:extLst>
              <a:ext uri="{FF2B5EF4-FFF2-40B4-BE49-F238E27FC236}">
                <a16:creationId xmlns:a16="http://schemas.microsoft.com/office/drawing/2014/main" id="{BB3A20F0-DD59-4638-8E0A-BAF8224B61B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9" name="Straight Arrow Connector 268">
            <a:extLst>
              <a:ext uri="{FF2B5EF4-FFF2-40B4-BE49-F238E27FC236}">
                <a16:creationId xmlns:a16="http://schemas.microsoft.com/office/drawing/2014/main" id="{87ABA211-5A30-4AE9-ABA6-4B57EEEE8AE7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0" name="Straight Arrow Connector 269">
            <a:extLst>
              <a:ext uri="{FF2B5EF4-FFF2-40B4-BE49-F238E27FC236}">
                <a16:creationId xmlns:a16="http://schemas.microsoft.com/office/drawing/2014/main" id="{908C0AB8-2D9E-45E0-834E-0409EB3D8E59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71" name="Group 155">
            <a:extLst>
              <a:ext uri="{FF2B5EF4-FFF2-40B4-BE49-F238E27FC236}">
                <a16:creationId xmlns:a16="http://schemas.microsoft.com/office/drawing/2014/main" id="{FD0D0E27-BB2A-4018-B4E8-C067D67FAD61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276" name="Isosceles Triangle 275">
              <a:extLst>
                <a:ext uri="{FF2B5EF4-FFF2-40B4-BE49-F238E27FC236}">
                  <a16:creationId xmlns:a16="http://schemas.microsoft.com/office/drawing/2014/main" id="{CDCF7C7D-D7C3-449E-A0CF-5FA1FF65BBC5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7" name="Isosceles Triangle 276">
              <a:extLst>
                <a:ext uri="{FF2B5EF4-FFF2-40B4-BE49-F238E27FC236}">
                  <a16:creationId xmlns:a16="http://schemas.microsoft.com/office/drawing/2014/main" id="{6D846C6F-CF7A-4981-ABC4-9672C7617FFC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8" name="Isosceles Triangle 277">
              <a:extLst>
                <a:ext uri="{FF2B5EF4-FFF2-40B4-BE49-F238E27FC236}">
                  <a16:creationId xmlns:a16="http://schemas.microsoft.com/office/drawing/2014/main" id="{A389252E-9C22-4CD3-8F48-D6D3745B7574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272" name="Group 134">
            <a:extLst>
              <a:ext uri="{FF2B5EF4-FFF2-40B4-BE49-F238E27FC236}">
                <a16:creationId xmlns:a16="http://schemas.microsoft.com/office/drawing/2014/main" id="{D51EBE46-A9DD-4D69-9C90-180B511C5F93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273" name="Isosceles Triangle 272">
              <a:extLst>
                <a:ext uri="{FF2B5EF4-FFF2-40B4-BE49-F238E27FC236}">
                  <a16:creationId xmlns:a16="http://schemas.microsoft.com/office/drawing/2014/main" id="{4818A71E-3A2B-4A45-B33B-274A37C25F81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4" name="Isosceles Triangle 273">
              <a:extLst>
                <a:ext uri="{FF2B5EF4-FFF2-40B4-BE49-F238E27FC236}">
                  <a16:creationId xmlns:a16="http://schemas.microsoft.com/office/drawing/2014/main" id="{45E22B30-6C7B-4349-A0E6-C4A4576887C7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275" name="Isosceles Triangle 274">
              <a:extLst>
                <a:ext uri="{FF2B5EF4-FFF2-40B4-BE49-F238E27FC236}">
                  <a16:creationId xmlns:a16="http://schemas.microsoft.com/office/drawing/2014/main" id="{30F7F71B-D06A-461F-A2E5-AD833F51C711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13</xdr:col>
      <xdr:colOff>210669</xdr:colOff>
      <xdr:row>18</xdr:row>
      <xdr:rowOff>127503</xdr:rowOff>
    </xdr:from>
    <xdr:to>
      <xdr:col>13</xdr:col>
      <xdr:colOff>220566</xdr:colOff>
      <xdr:row>27</xdr:row>
      <xdr:rowOff>92880</xdr:rowOff>
    </xdr:to>
    <xdr:cxnSp macro="">
      <xdr:nvCxnSpPr>
        <xdr:cNvPr id="297" name="Straight Connector 296">
          <a:extLst>
            <a:ext uri="{FF2B5EF4-FFF2-40B4-BE49-F238E27FC236}">
              <a16:creationId xmlns:a16="http://schemas.microsoft.com/office/drawing/2014/main" id="{381CBE35-14FD-4BAD-8C1D-62B480DB0460}"/>
            </a:ext>
          </a:extLst>
        </xdr:cNvPr>
        <xdr:cNvCxnSpPr>
          <a:cxnSpLocks/>
          <a:stCxn id="320" idx="6"/>
          <a:endCxn id="102" idx="7"/>
        </xdr:cNvCxnSpPr>
      </xdr:nvCxnSpPr>
      <xdr:spPr>
        <a:xfrm>
          <a:off x="4709400" y="2919061"/>
          <a:ext cx="9897" cy="135016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98851</xdr:colOff>
      <xdr:row>17</xdr:row>
      <xdr:rowOff>85476</xdr:rowOff>
    </xdr:from>
    <xdr:to>
      <xdr:col>13</xdr:col>
      <xdr:colOff>209369</xdr:colOff>
      <xdr:row>18</xdr:row>
      <xdr:rowOff>49665</xdr:rowOff>
    </xdr:to>
    <xdr:grpSp>
      <xdr:nvGrpSpPr>
        <xdr:cNvPr id="305" name="Group 304">
          <a:extLst>
            <a:ext uri="{FF2B5EF4-FFF2-40B4-BE49-F238E27FC236}">
              <a16:creationId xmlns:a16="http://schemas.microsoft.com/office/drawing/2014/main" id="{D2526469-0C69-4570-9794-A4386CF74ED3}"/>
            </a:ext>
          </a:extLst>
        </xdr:cNvPr>
        <xdr:cNvGrpSpPr/>
      </xdr:nvGrpSpPr>
      <xdr:grpSpPr>
        <a:xfrm>
          <a:off x="4603616" y="2752476"/>
          <a:ext cx="110518" cy="12107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06" name="Oval 305">
            <a:extLst>
              <a:ext uri="{FF2B5EF4-FFF2-40B4-BE49-F238E27FC236}">
                <a16:creationId xmlns:a16="http://schemas.microsoft.com/office/drawing/2014/main" id="{A5B88D9C-0E71-4BED-99DA-FD5638E66CC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07" name="Straight Connector 306">
            <a:extLst>
              <a:ext uri="{FF2B5EF4-FFF2-40B4-BE49-F238E27FC236}">
                <a16:creationId xmlns:a16="http://schemas.microsoft.com/office/drawing/2014/main" id="{809ED240-3D15-4528-A87F-BF493DE55305}"/>
              </a:ext>
            </a:extLst>
          </xdr:cNvPr>
          <xdr:cNvCxnSpPr>
            <a:stCxn id="306" idx="1"/>
            <a:endCxn id="30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8" name="Straight Connector 307">
            <a:extLst>
              <a:ext uri="{FF2B5EF4-FFF2-40B4-BE49-F238E27FC236}">
                <a16:creationId xmlns:a16="http://schemas.microsoft.com/office/drawing/2014/main" id="{F8BFCC3C-BCDF-479C-ADCE-9CD35341AC58}"/>
              </a:ext>
            </a:extLst>
          </xdr:cNvPr>
          <xdr:cNvCxnSpPr>
            <a:stCxn id="306" idx="3"/>
            <a:endCxn id="30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307731</xdr:colOff>
      <xdr:row>18</xdr:row>
      <xdr:rowOff>33495</xdr:rowOff>
    </xdr:from>
    <xdr:to>
      <xdr:col>13</xdr:col>
      <xdr:colOff>59794</xdr:colOff>
      <xdr:row>19</xdr:row>
      <xdr:rowOff>65942</xdr:rowOff>
    </xdr:to>
    <xdr:sp macro="" textlink="">
      <xdr:nvSpPr>
        <xdr:cNvPr id="313" name="Isosceles Triangle 312">
          <a:extLst>
            <a:ext uri="{FF2B5EF4-FFF2-40B4-BE49-F238E27FC236}">
              <a16:creationId xmlns:a16="http://schemas.microsoft.com/office/drawing/2014/main" id="{C5E653B7-DF5D-4AF2-A3C8-B00E86DD96D7}"/>
            </a:ext>
          </a:extLst>
        </xdr:cNvPr>
        <xdr:cNvSpPr/>
      </xdr:nvSpPr>
      <xdr:spPr>
        <a:xfrm>
          <a:off x="4425462" y="2825053"/>
          <a:ext cx="133063" cy="186312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244711</xdr:colOff>
      <xdr:row>30</xdr:row>
      <xdr:rowOff>33317</xdr:rowOff>
    </xdr:from>
    <xdr:to>
      <xdr:col>13</xdr:col>
      <xdr:colOff>293077</xdr:colOff>
      <xdr:row>35</xdr:row>
      <xdr:rowOff>51287</xdr:rowOff>
    </xdr:to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064509B9-B843-42C0-ADDF-987659CA7856}"/>
            </a:ext>
          </a:extLst>
        </xdr:cNvPr>
        <xdr:cNvSpPr txBox="1"/>
      </xdr:nvSpPr>
      <xdr:spPr>
        <a:xfrm>
          <a:off x="3981442" y="4663932"/>
          <a:ext cx="810366" cy="787297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6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AGR HJ.KUSTIANAH</a:t>
          </a:r>
        </a:p>
      </xdr:txBody>
    </xdr:sp>
    <xdr:clientData/>
  </xdr:twoCellAnchor>
  <xdr:twoCellAnchor>
    <xdr:from>
      <xdr:col>13</xdr:col>
      <xdr:colOff>106682</xdr:colOff>
      <xdr:row>18</xdr:row>
      <xdr:rowOff>68475</xdr:rowOff>
    </xdr:from>
    <xdr:to>
      <xdr:col>13</xdr:col>
      <xdr:colOff>210669</xdr:colOff>
      <xdr:row>19</xdr:row>
      <xdr:rowOff>32666</xdr:rowOff>
    </xdr:to>
    <xdr:grpSp>
      <xdr:nvGrpSpPr>
        <xdr:cNvPr id="319" name="Group 318">
          <a:extLst>
            <a:ext uri="{FF2B5EF4-FFF2-40B4-BE49-F238E27FC236}">
              <a16:creationId xmlns:a16="http://schemas.microsoft.com/office/drawing/2014/main" id="{1FC1E7F7-20AE-49A6-8E2C-A58130108776}"/>
            </a:ext>
          </a:extLst>
        </xdr:cNvPr>
        <xdr:cNvGrpSpPr/>
      </xdr:nvGrpSpPr>
      <xdr:grpSpPr>
        <a:xfrm>
          <a:off x="4611447" y="2892357"/>
          <a:ext cx="103987" cy="12107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20" name="Oval 319">
            <a:extLst>
              <a:ext uri="{FF2B5EF4-FFF2-40B4-BE49-F238E27FC236}">
                <a16:creationId xmlns:a16="http://schemas.microsoft.com/office/drawing/2014/main" id="{B6F36E56-F8E9-4205-8983-07368969BBF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21" name="Straight Connector 320">
            <a:extLst>
              <a:ext uri="{FF2B5EF4-FFF2-40B4-BE49-F238E27FC236}">
                <a16:creationId xmlns:a16="http://schemas.microsoft.com/office/drawing/2014/main" id="{DE7FB05A-9D4B-4AC8-B612-9329C471E870}"/>
              </a:ext>
            </a:extLst>
          </xdr:cNvPr>
          <xdr:cNvCxnSpPr>
            <a:stCxn id="320" idx="1"/>
            <a:endCxn id="32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2" name="Straight Connector 321">
            <a:extLst>
              <a:ext uri="{FF2B5EF4-FFF2-40B4-BE49-F238E27FC236}">
                <a16:creationId xmlns:a16="http://schemas.microsoft.com/office/drawing/2014/main" id="{AF3EC902-4C97-4351-A9B4-F643DF094203}"/>
              </a:ext>
            </a:extLst>
          </xdr:cNvPr>
          <xdr:cNvCxnSpPr>
            <a:stCxn id="320" idx="3"/>
            <a:endCxn id="32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181492</xdr:colOff>
      <xdr:row>28</xdr:row>
      <xdr:rowOff>37459</xdr:rowOff>
    </xdr:from>
    <xdr:to>
      <xdr:col>13</xdr:col>
      <xdr:colOff>183173</xdr:colOff>
      <xdr:row>29</xdr:row>
      <xdr:rowOff>87923</xdr:rowOff>
    </xdr:to>
    <xdr:cxnSp macro="">
      <xdr:nvCxnSpPr>
        <xdr:cNvPr id="329" name="Straight Arrow Connector 328">
          <a:extLst>
            <a:ext uri="{FF2B5EF4-FFF2-40B4-BE49-F238E27FC236}">
              <a16:creationId xmlns:a16="http://schemas.microsoft.com/office/drawing/2014/main" id="{759D0889-B960-4CD4-BC6B-35D774EF0743}"/>
            </a:ext>
          </a:extLst>
        </xdr:cNvPr>
        <xdr:cNvCxnSpPr>
          <a:stCxn id="102" idx="4"/>
        </xdr:cNvCxnSpPr>
      </xdr:nvCxnSpPr>
      <xdr:spPr>
        <a:xfrm>
          <a:off x="4680223" y="4367671"/>
          <a:ext cx="1681" cy="204329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346144</xdr:colOff>
      <xdr:row>26</xdr:row>
      <xdr:rowOff>124314</xdr:rowOff>
    </xdr:from>
    <xdr:to>
      <xdr:col>15</xdr:col>
      <xdr:colOff>101833</xdr:colOff>
      <xdr:row>30</xdr:row>
      <xdr:rowOff>36636</xdr:rowOff>
    </xdr:to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43328382-2638-43EB-BCAC-B98C1BA1F35A}"/>
            </a:ext>
          </a:extLst>
        </xdr:cNvPr>
        <xdr:cNvSpPr txBox="1"/>
      </xdr:nvSpPr>
      <xdr:spPr>
        <a:xfrm>
          <a:off x="4844875" y="4146795"/>
          <a:ext cx="517689" cy="52045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13</xdr:col>
      <xdr:colOff>324479</xdr:colOff>
      <xdr:row>12</xdr:row>
      <xdr:rowOff>83625</xdr:rowOff>
    </xdr:from>
    <xdr:to>
      <xdr:col>15</xdr:col>
      <xdr:colOff>158544</xdr:colOff>
      <xdr:row>20</xdr:row>
      <xdr:rowOff>109904</xdr:rowOff>
    </xdr:to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5404367A-AF58-4FCF-A371-B4C05797ED57}"/>
            </a:ext>
          </a:extLst>
        </xdr:cNvPr>
        <xdr:cNvSpPr txBox="1"/>
      </xdr:nvSpPr>
      <xdr:spPr>
        <a:xfrm>
          <a:off x="4823210" y="1944663"/>
          <a:ext cx="596065" cy="126452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K3-67</a:t>
          </a:r>
        </a:p>
        <a:p>
          <a:pPr algn="l"/>
          <a:endParaRPr lang="en-US" sz="6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</a:t>
          </a: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P12C-2</a:t>
          </a: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DC-C1-H</a:t>
          </a: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CG-105</a:t>
          </a:r>
        </a:p>
        <a:p>
          <a:pPr algn="l"/>
          <a:r>
            <a:rPr lang="en-US" sz="600" b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6 GJ6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CG313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13</xdr:col>
      <xdr:colOff>126233</xdr:colOff>
      <xdr:row>27</xdr:row>
      <xdr:rowOff>75990</xdr:rowOff>
    </xdr:from>
    <xdr:to>
      <xdr:col>13</xdr:col>
      <xdr:colOff>236751</xdr:colOff>
      <xdr:row>28</xdr:row>
      <xdr:rowOff>37459</xdr:rowOff>
    </xdr:to>
    <xdr:grpSp>
      <xdr:nvGrpSpPr>
        <xdr:cNvPr id="101" name="Group 100">
          <a:extLst>
            <a:ext uri="{FF2B5EF4-FFF2-40B4-BE49-F238E27FC236}">
              <a16:creationId xmlns:a16="http://schemas.microsoft.com/office/drawing/2014/main" id="{7B9EEAE3-FAFD-4CDD-A938-40F6229CBDBB}"/>
            </a:ext>
          </a:extLst>
        </xdr:cNvPr>
        <xdr:cNvGrpSpPr/>
      </xdr:nvGrpSpPr>
      <xdr:grpSpPr>
        <a:xfrm>
          <a:off x="4630998" y="4311814"/>
          <a:ext cx="110518" cy="11835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02" name="Oval 101">
            <a:extLst>
              <a:ext uri="{FF2B5EF4-FFF2-40B4-BE49-F238E27FC236}">
                <a16:creationId xmlns:a16="http://schemas.microsoft.com/office/drawing/2014/main" id="{D18D6BB3-574A-4220-8F77-D4A2C1A86A1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6C95F5D1-1459-4117-8C57-56215A86226B}"/>
              </a:ext>
            </a:extLst>
          </xdr:cNvPr>
          <xdr:cNvCxnSpPr>
            <a:stCxn id="102" idx="1"/>
            <a:endCxn id="10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CBDABDB1-E53C-403E-81FA-6937CD3131D1}"/>
              </a:ext>
            </a:extLst>
          </xdr:cNvPr>
          <xdr:cNvCxnSpPr>
            <a:stCxn id="102" idx="3"/>
            <a:endCxn id="10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293077</xdr:colOff>
      <xdr:row>17</xdr:row>
      <xdr:rowOff>109904</xdr:rowOff>
    </xdr:from>
    <xdr:to>
      <xdr:col>11</xdr:col>
      <xdr:colOff>22595</xdr:colOff>
      <xdr:row>18</xdr:row>
      <xdr:rowOff>74093</xdr:rowOff>
    </xdr:to>
    <xdr:grpSp>
      <xdr:nvGrpSpPr>
        <xdr:cNvPr id="114" name="Group 113">
          <a:extLst>
            <a:ext uri="{FF2B5EF4-FFF2-40B4-BE49-F238E27FC236}">
              <a16:creationId xmlns:a16="http://schemas.microsoft.com/office/drawing/2014/main" id="{17D1F059-E419-4C48-8075-2CF2383960E5}"/>
            </a:ext>
          </a:extLst>
        </xdr:cNvPr>
        <xdr:cNvGrpSpPr/>
      </xdr:nvGrpSpPr>
      <xdr:grpSpPr>
        <a:xfrm>
          <a:off x="3654842" y="2776904"/>
          <a:ext cx="110518" cy="12107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15" name="Oval 114">
            <a:extLst>
              <a:ext uri="{FF2B5EF4-FFF2-40B4-BE49-F238E27FC236}">
                <a16:creationId xmlns:a16="http://schemas.microsoft.com/office/drawing/2014/main" id="{ADA8078E-B28F-4048-B681-FF1AECCE48C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96726D84-3430-4AC1-AC2B-8B9385A4677D}"/>
              </a:ext>
            </a:extLst>
          </xdr:cNvPr>
          <xdr:cNvCxnSpPr>
            <a:stCxn id="115" idx="1"/>
            <a:endCxn id="11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4192BE38-3480-4048-9F4C-71533D72D33D}"/>
              </a:ext>
            </a:extLst>
          </xdr:cNvPr>
          <xdr:cNvCxnSpPr>
            <a:stCxn id="115" idx="3"/>
            <a:endCxn id="11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121911</xdr:colOff>
      <xdr:row>19</xdr:row>
      <xdr:rowOff>15377</xdr:rowOff>
    </xdr:from>
    <xdr:to>
      <xdr:col>13</xdr:col>
      <xdr:colOff>132035</xdr:colOff>
      <xdr:row>23</xdr:row>
      <xdr:rowOff>64721</xdr:rowOff>
    </xdr:to>
    <xdr:cxnSp macro="">
      <xdr:nvCxnSpPr>
        <xdr:cNvPr id="132" name="Straight Connector 131">
          <a:extLst>
            <a:ext uri="{FF2B5EF4-FFF2-40B4-BE49-F238E27FC236}">
              <a16:creationId xmlns:a16="http://schemas.microsoft.com/office/drawing/2014/main" id="{C697E2E5-9C2E-4975-B680-A6A290F216EA}"/>
            </a:ext>
          </a:extLst>
        </xdr:cNvPr>
        <xdr:cNvCxnSpPr>
          <a:stCxn id="320" idx="3"/>
          <a:endCxn id="310" idx="1"/>
        </xdr:cNvCxnSpPr>
      </xdr:nvCxnSpPr>
      <xdr:spPr>
        <a:xfrm>
          <a:off x="4620642" y="2960800"/>
          <a:ext cx="10124" cy="66480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373674</xdr:colOff>
      <xdr:row>16</xdr:row>
      <xdr:rowOff>65941</xdr:rowOff>
    </xdr:from>
    <xdr:to>
      <xdr:col>13</xdr:col>
      <xdr:colOff>139212</xdr:colOff>
      <xdr:row>17</xdr:row>
      <xdr:rowOff>65941</xdr:rowOff>
    </xdr:to>
    <xdr:sp macro="" textlink="">
      <xdr:nvSpPr>
        <xdr:cNvPr id="134" name="Isosceles Triangle 133">
          <a:extLst>
            <a:ext uri="{FF2B5EF4-FFF2-40B4-BE49-F238E27FC236}">
              <a16:creationId xmlns:a16="http://schemas.microsoft.com/office/drawing/2014/main" id="{A7635716-187B-4AF0-893F-2BD6B0F1E970}"/>
            </a:ext>
          </a:extLst>
        </xdr:cNvPr>
        <xdr:cNvSpPr/>
      </xdr:nvSpPr>
      <xdr:spPr>
        <a:xfrm>
          <a:off x="4491405" y="2549768"/>
          <a:ext cx="146538" cy="15386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249115</xdr:colOff>
      <xdr:row>16</xdr:row>
      <xdr:rowOff>21980</xdr:rowOff>
    </xdr:from>
    <xdr:to>
      <xdr:col>11</xdr:col>
      <xdr:colOff>14653</xdr:colOff>
      <xdr:row>17</xdr:row>
      <xdr:rowOff>21980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229B740-108E-4618-8B6F-DCBCC3C7BD1F}"/>
            </a:ext>
          </a:extLst>
        </xdr:cNvPr>
        <xdr:cNvSpPr/>
      </xdr:nvSpPr>
      <xdr:spPr>
        <a:xfrm>
          <a:off x="3604846" y="2505807"/>
          <a:ext cx="146538" cy="15386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278423</xdr:colOff>
      <xdr:row>17</xdr:row>
      <xdr:rowOff>109904</xdr:rowOff>
    </xdr:from>
    <xdr:to>
      <xdr:col>16</xdr:col>
      <xdr:colOff>7941</xdr:colOff>
      <xdr:row>18</xdr:row>
      <xdr:rowOff>74093</xdr:rowOff>
    </xdr:to>
    <xdr:grpSp>
      <xdr:nvGrpSpPr>
        <xdr:cNvPr id="141" name="Group 140">
          <a:extLst>
            <a:ext uri="{FF2B5EF4-FFF2-40B4-BE49-F238E27FC236}">
              <a16:creationId xmlns:a16="http://schemas.microsoft.com/office/drawing/2014/main" id="{E2E525CE-9AF4-4E07-AC49-177B39843E86}"/>
            </a:ext>
          </a:extLst>
        </xdr:cNvPr>
        <xdr:cNvGrpSpPr/>
      </xdr:nvGrpSpPr>
      <xdr:grpSpPr>
        <a:xfrm>
          <a:off x="5545188" y="2776904"/>
          <a:ext cx="110518" cy="12107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42" name="Oval 141">
            <a:extLst>
              <a:ext uri="{FF2B5EF4-FFF2-40B4-BE49-F238E27FC236}">
                <a16:creationId xmlns:a16="http://schemas.microsoft.com/office/drawing/2014/main" id="{C2918EB0-A659-42E5-9B32-614658DC4FC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3" name="Straight Connector 142">
            <a:extLst>
              <a:ext uri="{FF2B5EF4-FFF2-40B4-BE49-F238E27FC236}">
                <a16:creationId xmlns:a16="http://schemas.microsoft.com/office/drawing/2014/main" id="{65FE0AF6-2D62-47E5-9F2F-0336AC927E5F}"/>
              </a:ext>
            </a:extLst>
          </xdr:cNvPr>
          <xdr:cNvCxnSpPr>
            <a:stCxn id="142" idx="1"/>
            <a:endCxn id="14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97B9B20A-8812-4EF0-9AF0-67C955982B3D}"/>
              </a:ext>
            </a:extLst>
          </xdr:cNvPr>
          <xdr:cNvCxnSpPr>
            <a:stCxn id="142" idx="3"/>
            <a:endCxn id="14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115850</xdr:colOff>
      <xdr:row>23</xdr:row>
      <xdr:rowOff>47432</xdr:rowOff>
    </xdr:from>
    <xdr:to>
      <xdr:col>13</xdr:col>
      <xdr:colOff>226368</xdr:colOff>
      <xdr:row>24</xdr:row>
      <xdr:rowOff>11622</xdr:rowOff>
    </xdr:to>
    <xdr:grpSp>
      <xdr:nvGrpSpPr>
        <xdr:cNvPr id="309" name="Group 308">
          <a:extLst>
            <a:ext uri="{FF2B5EF4-FFF2-40B4-BE49-F238E27FC236}">
              <a16:creationId xmlns:a16="http://schemas.microsoft.com/office/drawing/2014/main" id="{782BC621-98EB-4062-B930-C1F19EBE9DB4}"/>
            </a:ext>
          </a:extLst>
        </xdr:cNvPr>
        <xdr:cNvGrpSpPr/>
      </xdr:nvGrpSpPr>
      <xdr:grpSpPr>
        <a:xfrm>
          <a:off x="4620615" y="3655726"/>
          <a:ext cx="110518" cy="12107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10" name="Oval 309">
            <a:extLst>
              <a:ext uri="{FF2B5EF4-FFF2-40B4-BE49-F238E27FC236}">
                <a16:creationId xmlns:a16="http://schemas.microsoft.com/office/drawing/2014/main" id="{2B667B68-A2DA-4DC8-8D2E-5C526B800C0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11" name="Straight Connector 310">
            <a:extLst>
              <a:ext uri="{FF2B5EF4-FFF2-40B4-BE49-F238E27FC236}">
                <a16:creationId xmlns:a16="http://schemas.microsoft.com/office/drawing/2014/main" id="{374A6145-8F62-45BE-B4E3-2A53CC2BC0DB}"/>
              </a:ext>
            </a:extLst>
          </xdr:cNvPr>
          <xdr:cNvCxnSpPr>
            <a:stCxn id="310" idx="1"/>
            <a:endCxn id="31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2" name="Straight Connector 311">
            <a:extLst>
              <a:ext uri="{FF2B5EF4-FFF2-40B4-BE49-F238E27FC236}">
                <a16:creationId xmlns:a16="http://schemas.microsoft.com/office/drawing/2014/main" id="{B634D74A-7375-42CC-AF8E-D2BB49CDCA35}"/>
              </a:ext>
            </a:extLst>
          </xdr:cNvPr>
          <xdr:cNvCxnSpPr>
            <a:stCxn id="310" idx="3"/>
            <a:endCxn id="31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359020</xdr:colOff>
      <xdr:row>22</xdr:row>
      <xdr:rowOff>58616</xdr:rowOff>
    </xdr:from>
    <xdr:to>
      <xdr:col>15</xdr:col>
      <xdr:colOff>114709</xdr:colOff>
      <xdr:row>26</xdr:row>
      <xdr:rowOff>36634</xdr:rowOff>
    </xdr:to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BDD884A1-9C38-4EEB-A8A7-7AF24CB6A414}"/>
            </a:ext>
          </a:extLst>
        </xdr:cNvPr>
        <xdr:cNvSpPr txBox="1"/>
      </xdr:nvSpPr>
      <xdr:spPr>
        <a:xfrm>
          <a:off x="4857751" y="3465635"/>
          <a:ext cx="517689" cy="59348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endParaRPr lang="en-US" sz="6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CJ6</a:t>
          </a:r>
        </a:p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13</xdr:col>
      <xdr:colOff>95249</xdr:colOff>
      <xdr:row>24</xdr:row>
      <xdr:rowOff>139212</xdr:rowOff>
    </xdr:from>
    <xdr:to>
      <xdr:col>13</xdr:col>
      <xdr:colOff>307730</xdr:colOff>
      <xdr:row>27</xdr:row>
      <xdr:rowOff>7327</xdr:rowOff>
    </xdr:to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EEDC5CD5-3C02-4EEA-9F41-D80916EC0010}"/>
            </a:ext>
          </a:extLst>
        </xdr:cNvPr>
        <xdr:cNvSpPr txBox="1"/>
      </xdr:nvSpPr>
      <xdr:spPr>
        <a:xfrm rot="5400000">
          <a:off x="4535365" y="3912577"/>
          <a:ext cx="329711" cy="2124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13</xdr:col>
      <xdr:colOff>101111</xdr:colOff>
      <xdr:row>20</xdr:row>
      <xdr:rowOff>64479</xdr:rowOff>
    </xdr:from>
    <xdr:to>
      <xdr:col>13</xdr:col>
      <xdr:colOff>313592</xdr:colOff>
      <xdr:row>22</xdr:row>
      <xdr:rowOff>86459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E5B077A1-811B-4F3C-94F0-35AEBA7E7D0D}"/>
            </a:ext>
          </a:extLst>
        </xdr:cNvPr>
        <xdr:cNvSpPr txBox="1"/>
      </xdr:nvSpPr>
      <xdr:spPr>
        <a:xfrm rot="5559909">
          <a:off x="4541227" y="3222382"/>
          <a:ext cx="329711" cy="2124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6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13</xdr:col>
      <xdr:colOff>7327</xdr:colOff>
      <xdr:row>20</xdr:row>
      <xdr:rowOff>21981</xdr:rowOff>
    </xdr:from>
    <xdr:to>
      <xdr:col>13</xdr:col>
      <xdr:colOff>219808</xdr:colOff>
      <xdr:row>22</xdr:row>
      <xdr:rowOff>43961</xdr:rowOff>
    </xdr:to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71949657-F966-4D5A-8D46-81BF093FCDE3}"/>
            </a:ext>
          </a:extLst>
        </xdr:cNvPr>
        <xdr:cNvSpPr txBox="1"/>
      </xdr:nvSpPr>
      <xdr:spPr>
        <a:xfrm rot="5400000">
          <a:off x="4447443" y="3179884"/>
          <a:ext cx="329711" cy="2124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6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///</a:t>
          </a:r>
        </a:p>
      </xdr:txBody>
    </xdr:sp>
    <xdr:clientData/>
  </xdr:twoCellAnchor>
  <xdr:twoCellAnchor editAs="oneCell">
    <xdr:from>
      <xdr:col>2</xdr:col>
      <xdr:colOff>319384</xdr:colOff>
      <xdr:row>41</xdr:row>
      <xdr:rowOff>117232</xdr:rowOff>
    </xdr:from>
    <xdr:to>
      <xdr:col>10</xdr:col>
      <xdr:colOff>47652</xdr:colOff>
      <xdr:row>53</xdr:row>
      <xdr:rowOff>138000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15FC03A-B7B3-4674-B5DC-1227FC5A5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9884" y="6455020"/>
          <a:ext cx="2893499" cy="196973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346363</xdr:colOff>
      <xdr:row>12</xdr:row>
      <xdr:rowOff>17318</xdr:rowOff>
    </xdr:from>
    <xdr:to>
      <xdr:col>26</xdr:col>
      <xdr:colOff>138546</xdr:colOff>
      <xdr:row>57</xdr:row>
      <xdr:rowOff>126128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8748FD-60D4-4E15-B054-369B12CF9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4727" y="1853045"/>
          <a:ext cx="13092546" cy="7122674"/>
        </a:xfrm>
        <a:prstGeom prst="rect">
          <a:avLst/>
        </a:prstGeom>
      </xdr:spPr>
    </xdr:pic>
    <xdr:clientData/>
  </xdr:twoCellAnchor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10</xdr:col>
      <xdr:colOff>588818</xdr:colOff>
      <xdr:row>38</xdr:row>
      <xdr:rowOff>17318</xdr:rowOff>
    </xdr:from>
    <xdr:to>
      <xdr:col>10</xdr:col>
      <xdr:colOff>597477</xdr:colOff>
      <xdr:row>41</xdr:row>
      <xdr:rowOff>69273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310BF23B-5BF1-4263-A5D1-8AC48D3ED913}"/>
            </a:ext>
          </a:extLst>
        </xdr:cNvPr>
        <xdr:cNvCxnSpPr/>
      </xdr:nvCxnSpPr>
      <xdr:spPr>
        <a:xfrm flipH="1">
          <a:off x="5334000" y="5905500"/>
          <a:ext cx="8659" cy="519546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484909</xdr:colOff>
      <xdr:row>40</xdr:row>
      <xdr:rowOff>103909</xdr:rowOff>
    </xdr:from>
    <xdr:to>
      <xdr:col>11</xdr:col>
      <xdr:colOff>138545</xdr:colOff>
      <xdr:row>42</xdr:row>
      <xdr:rowOff>34636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A93F13B1-D208-4CE5-9F60-E3C259270B39}"/>
            </a:ext>
          </a:extLst>
        </xdr:cNvPr>
        <xdr:cNvSpPr/>
      </xdr:nvSpPr>
      <xdr:spPr>
        <a:xfrm>
          <a:off x="5230091" y="6303818"/>
          <a:ext cx="259772" cy="242454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erbilang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REKAP KONSTRUKSI"/>
      <sheetName val="Sheet2"/>
      <sheetName val="Sheet3"/>
      <sheetName val="Sheet4"/>
      <sheetName val="www.Kelasexcel.web.id"/>
      <sheetName val="DETAIL USULAN"/>
      <sheetName val="NO. PRK"/>
      <sheetName val="DB"/>
      <sheetName val="LOKASI"/>
      <sheetName val="HARGA SATUAN"/>
      <sheetName val="PROGRAM"/>
      <sheetName val="RAB"/>
      <sheetName val="SAMPUL"/>
      <sheetName val="PENGESAHAN"/>
      <sheetName val="DATA"/>
      <sheetName val="KKO"/>
      <sheetName val="KKF"/>
      <sheetName val="KR"/>
      <sheetName val="REKAP USULAN"/>
      <sheetName val="DATA MATERIAL"/>
      <sheetName val="REKAP MDU"/>
      <sheetName val="REKAP TIANG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AVING KWH SUSUT"/>
    </sheetNames>
    <definedNames>
      <definedName name="terbilang"/>
    </definedNames>
    <sheetDataSet>
      <sheetData sheetId="0"/>
      <sheetData sheetId="1" refreshError="1"/>
      <sheetData sheetId="2" refreshError="1"/>
      <sheetData sheetId="3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4" sqref="C24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0" t="s">
        <v>1134</v>
      </c>
      <c r="C4" s="530"/>
      <c r="D4" s="530"/>
      <c r="E4" s="530"/>
      <c r="F4" s="530"/>
      <c r="G4" s="530"/>
      <c r="H4" s="530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1" t="s">
        <v>0</v>
      </c>
      <c r="C7" s="531" t="s">
        <v>1</v>
      </c>
      <c r="D7" s="532" t="s">
        <v>42</v>
      </c>
      <c r="E7" s="532" t="s">
        <v>43</v>
      </c>
      <c r="F7" s="532" t="s">
        <v>1135</v>
      </c>
      <c r="G7" s="533" t="s">
        <v>41</v>
      </c>
      <c r="H7" s="529" t="s">
        <v>1042</v>
      </c>
      <c r="I7" s="529" t="s">
        <v>1137</v>
      </c>
      <c r="J7" s="529" t="s">
        <v>1026</v>
      </c>
      <c r="K7" s="523" t="s">
        <v>1024</v>
      </c>
      <c r="L7" s="524"/>
    </row>
    <row r="8" spans="1:12" ht="15" customHeight="1">
      <c r="B8" s="531"/>
      <c r="C8" s="531"/>
      <c r="D8" s="532"/>
      <c r="E8" s="532"/>
      <c r="F8" s="532"/>
      <c r="G8" s="533"/>
      <c r="H8" s="529"/>
      <c r="I8" s="529"/>
      <c r="J8" s="529"/>
      <c r="K8" s="525"/>
      <c r="L8" s="526"/>
    </row>
    <row r="9" spans="1:12" ht="15" customHeight="1">
      <c r="B9" s="531"/>
      <c r="C9" s="531"/>
      <c r="D9" s="532"/>
      <c r="E9" s="532"/>
      <c r="F9" s="532"/>
      <c r="G9" s="533"/>
      <c r="H9" s="529"/>
      <c r="I9" s="529"/>
      <c r="J9" s="529"/>
      <c r="K9" s="527"/>
      <c r="L9" s="528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66 kVA MCCB 100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13644300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100 kVA Yzn5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31630800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Tumpu ( Pin Post ) 20 KV Porcelein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38">
        <f t="shared" ca="1" si="2"/>
        <v>1</v>
      </c>
      <c r="G17" s="41">
        <f ca="1">IF(ISERROR(OFFSET('HARGA SATUAN'!$I$6,MATCH(C17,'HARGA SATUAN'!$C$7:$C$1492,0),0)),"",OFFSET('HARGA SATUAN'!$I$6,MATCH(C17,'HARGA SATUAN'!$C$7:$C$1492,0),0))</f>
        <v>235900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AAAC 70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9</v>
      </c>
      <c r="G18" s="41">
        <f ca="1">IF(ISERROR(OFFSET('HARGA SATUAN'!$I$6,MATCH(C18,'HARGA SATUAN'!$C$7:$C$1492,0),0)),"",OFFSET('HARGA SATUAN'!$I$6,MATCH(C18,'HARGA SATUAN'!$C$7:$C$1492,0),0))</f>
        <v>14200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NFA2X-T 2 x 70 + N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3</v>
      </c>
      <c r="G19" s="41">
        <f ca="1">IF(ISERROR(OFFSET('HARGA SATUAN'!$I$6,MATCH(C19,'HARGA SATUAN'!$C$7:$C$1492,0),0)),"",OFFSET('HARGA SATUAN'!$I$6,MATCH(C19,'HARGA SATUAN'!$C$7:$C$1492,0),0))</f>
        <v>53300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NFA2X-T 3x70+1x70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38">
        <f t="shared" ca="1" si="2"/>
        <v>120</v>
      </c>
      <c r="G20" s="41">
        <f ca="1">IF(ISERROR(OFFSET('HARGA SATUAN'!$I$6,MATCH(C20,'HARGA SATUAN'!$C$7:$C$1492,0),0)),"",OFFSET('HARGA SATUAN'!$I$6,MATCH(C20,'HARGA SATUAN'!$C$7:$C$1492,0),0))</f>
        <v>54500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Kabel NYY 4 x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38">
        <f t="shared" ca="1" si="2"/>
        <v>12</v>
      </c>
      <c r="G21" s="41">
        <f ca="1">IF(ISERROR(OFFSET('HARGA SATUAN'!$I$6,MATCH(C21,'HARGA SATUAN'!$C$7:$C$1492,0),0)),"",OFFSET('HARGA SATUAN'!$I$6,MATCH(C21,'HARGA SATUAN'!$C$7:$C$1492,0),0))</f>
        <v>421400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>
        <f t="shared" ca="1" si="0"/>
        <v>11</v>
      </c>
      <c r="C22" s="109" t="str">
        <f t="shared" ca="1" si="1"/>
        <v>Modem 3G/4G</v>
      </c>
      <c r="D22" s="101" t="str">
        <f ca="1">IF(ISERROR(OFFSET('HARGA SATUAN'!$D$6,MATCH(C22,'HARGA SATUAN'!$C$7:$C$1492,0),0)),"",OFFSET('HARGA SATUAN'!$D$6,MATCH(C22,'HARGA SATUAN'!$C$7:$C$1492,0),0))</f>
        <v>HDW</v>
      </c>
      <c r="E22" s="101" t="str">
        <f ca="1">IF(B22="+","Unit",IF(ISERROR(OFFSET('HARGA SATUAN'!$E$6,MATCH(C22,'HARGA SATUAN'!$C$7:$C$1492,0),0)),"",OFFSET('HARGA SATUAN'!$E$6,MATCH(C22,'HARGA SATUAN'!$C$7:$C$1492,0),0)))</f>
        <v>Unit</v>
      </c>
      <c r="F22" s="138">
        <f t="shared" ca="1" si="2"/>
        <v>1</v>
      </c>
      <c r="G22" s="41">
        <f ca="1">IF(ISERROR(OFFSET('HARGA SATUAN'!$I$6,MATCH(C22,'HARGA SATUAN'!$C$7:$C$1492,0),0)),"",OFFSET('HARGA SATUAN'!$I$6,MATCH(C22,'HARGA SATUAN'!$C$7:$C$1492,0),0))</f>
        <v>1113900</v>
      </c>
      <c r="H22" s="136" t="e">
        <f ca="1">IF(B22="","",#REF!)</f>
        <v>#REF!</v>
      </c>
      <c r="I22" s="136" t="e">
        <f ca="1">IF(B22="","",#REF!)</f>
        <v>#REF!</v>
      </c>
      <c r="J22" s="136" t="e">
        <f ca="1">IF(B22="","",#REF!)</f>
        <v>#REF!</v>
      </c>
      <c r="K22" s="136" t="e">
        <f ca="1">IF(B22="","",#REF!)</f>
        <v>#REF!</v>
      </c>
      <c r="L22" s="136" t="e">
        <f ca="1">IF(C22="","",#REF!)</f>
        <v>#REF!</v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SUMIFS(RAB!$F$14:$F$130,RAB!$C$14:$C$130,C714)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SUMIFS(RAB!$F$14:$F$130,RAB!$C$14:$C$130,C715)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SUMIFS(RAB!$F$14:$F$130,RAB!$C$14:$C$130,C716)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SUMIFS(RAB!$F$14:$F$130,RAB!$C$14:$C$130,C717)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SUMIFS(RAB!$F$14:$F$130,RAB!$C$14:$C$130,C718)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SUMIFS(RAB!$F$14:$F$130,RAB!$C$14:$C$130,C719)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SUMIFS(RAB!$F$14:$F$130,RAB!$C$14:$C$130,C720)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SUMIFS(RAB!$F$14:$F$130,RAB!$C$14:$C$130,C721)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SUMIFS(RAB!$F$14:$F$130,RAB!$C$14:$C$130,C722)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SUMIFS(RAB!$F$14:$F$130,RAB!$C$14:$C$130,C723)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SUMIFS(RAB!$F$14:$F$130,RAB!$C$14:$C$130,C724)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SUMIFS(RAB!$F$14:$F$130,RAB!$C$14:$C$130,C725)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SUMIFS(RAB!$F$14:$F$130,RAB!$C$14:$C$130,C726)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SUMIFS(RAB!$F$14:$F$130,RAB!$C$14:$C$130,C727)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SUMIFS(RAB!$F$14:$F$130,RAB!$C$14:$C$130,C728)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SUMIFS(RAB!$F$14:$F$130,RAB!$C$14:$C$130,C729)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SUMIFS(RAB!$F$14:$F$130,RAB!$C$14:$C$130,C730)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SUMIFS(RAB!$F$14:$F$130,RAB!$C$14:$C$130,C731)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SUMIFS(RAB!$F$14:$F$130,RAB!$C$14:$C$130,C732)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SUMIFS(RAB!$F$14:$F$130,RAB!$C$14:$C$130,C733)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SUMIFS(RAB!$F$14:$F$130,RAB!$C$14:$C$130,C734)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SUMIFS(RAB!$F$14:$F$130,RAB!$C$14:$C$130,C735)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SUMIFS(RAB!$F$14:$F$130,RAB!$C$14:$C$130,C736)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SUMIFS(RAB!$F$14:$F$130,RAB!$C$14:$C$130,C737)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SUMIFS(RAB!$F$14:$F$130,RAB!$C$14:$C$130,C738)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SUMIFS(RAB!$F$14:$F$130,RAB!$C$14:$C$130,C739)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SUMIFS(RAB!$F$14:$F$130,RAB!$C$14:$C$130,C740)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SUMIFS(RAB!$F$14:$F$130,RAB!$C$14:$C$130,C741)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SUMIFS(RAB!$F$14:$F$130,RAB!$C$14:$C$130,C742)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SUMIFS(RAB!$F$14:$F$130,RAB!$C$14:$C$130,C743)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SUMIFS(RAB!$F$14:$F$130,RAB!$C$14:$C$130,C744)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SUMIFS(RAB!$F$14:$F$130,RAB!$C$14:$C$130,C745)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SUMIFS(RAB!$F$14:$F$130,RAB!$C$14:$C$130,C746)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SUMIFS(RAB!$F$14:$F$130,RAB!$C$14:$C$130,C747)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SUMIFS(RAB!$F$14:$F$130,RAB!$C$14:$C$130,C748)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SUMIFS(RAB!$F$14:$F$130,RAB!$C$14:$C$130,C749)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SUMIFS(RAB!$F$14:$F$130,RAB!$C$14:$C$130,C750)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SUMIFS(RAB!$F$14:$F$130,RAB!$C$14:$C$130,C751)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SUMIFS(RAB!$F$14:$F$130,RAB!$C$14:$C$130,C752)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SUMIFS(RAB!$F$14:$F$130,RAB!$C$14:$C$130,C753)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SUMIFS(RAB!$F$14:$F$130,RAB!$C$14:$C$130,C754)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SUMIFS(RAB!$F$14:$F$130,RAB!$C$14:$C$130,C755)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SUMIFS(RAB!$F$14:$F$130,RAB!$C$14:$C$130,C756)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SUMIFS(RAB!$F$14:$F$130,RAB!$C$14:$C$130,C757)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SUMIFS(RAB!$F$14:$F$130,RAB!$C$14:$C$130,C758)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SUMIFS(RAB!$F$14:$F$130,RAB!$C$14:$C$130,C759)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SUMIFS(RAB!$F$14:$F$130,RAB!$C$14:$C$130,C760)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SUMIFS(RAB!$F$14:$F$130,RAB!$C$14:$C$130,C761)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SUMIFS(RAB!$F$14:$F$130,RAB!$C$14:$C$130,C762)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SUMIFS(RAB!$F$14:$F$130,RAB!$C$14:$C$130,C763)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SUMIFS(RAB!$F$14:$F$130,RAB!$C$14:$C$130,C764)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SUMIFS(RAB!$F$14:$F$130,RAB!$C$14:$C$130,C765)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SUMIFS(RAB!$F$14:$F$130,RAB!$C$14:$C$130,C766)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SUMIFS(RAB!$F$14:$F$130,RAB!$C$14:$C$130,C767)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SUMIFS(RAB!$F$14:$F$130,RAB!$C$14:$C$130,C768)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SUMIFS(RAB!$F$14:$F$130,RAB!$C$14:$C$130,C769)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SUMIFS(RAB!$F$14:$F$130,RAB!$C$14:$C$130,C770)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SUMIFS(RAB!$F$14:$F$130,RAB!$C$14:$C$130,C771)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SUMIFS(RAB!$F$14:$F$130,RAB!$C$14:$C$130,C772)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SUMIFS(RAB!$F$14:$F$130,RAB!$C$14:$C$130,C773)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SUMIFS(RAB!$F$14:$F$130,RAB!$C$14:$C$130,C774)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SUMIFS(RAB!$F$14:$F$130,RAB!$C$14:$C$130,C775)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SUMIFS(RAB!$F$14:$F$130,RAB!$C$14:$C$130,C776)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SUMIFS(RAB!$F$14:$F$130,RAB!$C$14:$C$130,C777)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SUMIFS(RAB!$F$14:$F$130,RAB!$C$14:$C$130,C778)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SUMIFS(RAB!$F$14:$F$130,RAB!$C$14:$C$130,C779)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SUMIFS(RAB!$F$14:$F$130,RAB!$C$14:$C$130,C780)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SUMIFS(RAB!$F$14:$F$130,RAB!$C$14:$C$130,C781)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SUMIFS(RAB!$F$14:$F$130,RAB!$C$14:$C$130,C782)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SUMIFS(RAB!$F$14:$F$130,RAB!$C$14:$C$130,C783)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SUMIFS(RAB!$F$14:$F$130,RAB!$C$14:$C$130,C784)</f>
        <v>1</v>
      </c>
      <c r="E784" s="26">
        <f t="shared" ca="1" si="34"/>
        <v>1</v>
      </c>
      <c r="F784" s="26">
        <f ca="1">IF(D784=0,0,SUM($E$713:E784))</f>
        <v>2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SUMIFS(RAB!$F$14:$F$130,RAB!$C$14:$C$130,C785)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SUMIFS(RAB!$F$14:$F$130,RAB!$C$14:$C$130,C786)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SUMIFS(RAB!$F$14:$F$130,RAB!$C$14:$C$130,C787)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SUMIFS(RAB!$F$14:$F$130,RAB!$C$14:$C$130,C788)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SUMIFS(RAB!$F$14:$F$130,RAB!$C$14:$C$130,C789)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SUMIFS(RAB!$F$14:$F$130,RAB!$C$14:$C$130,C790)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SUMIFS(RAB!$F$14:$F$130,RAB!$C$14:$C$130,C791)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SUMIFS(RAB!$F$14:$F$130,RAB!$C$14:$C$130,C792)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SUMIFS(RAB!$F$14:$F$130,RAB!$C$14:$C$130,C793)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SUMIFS(RAB!$F$14:$F$130,RAB!$C$14:$C$130,C794)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SUMIFS(RAB!$F$14:$F$130,RAB!$C$14:$C$130,C795)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SUMIFS(RAB!$F$14:$F$130,RAB!$C$14:$C$130,C796)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SUMIFS(RAB!$F$14:$F$130,RAB!$C$14:$C$130,C797)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SUMIFS(RAB!$F$14:$F$130,RAB!$C$14:$C$130,C798)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SUMIFS(RAB!$F$14:$F$130,RAB!$C$14:$C$130,C799)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SUMIFS(RAB!$F$14:$F$130,RAB!$C$14:$C$130,C800)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SUMIFS(RAB!$F$14:$F$130,RAB!$C$14:$C$130,C801)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SUMIFS(RAB!$F$14:$F$130,RAB!$C$14:$C$130,C802)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SUMIFS(RAB!$F$14:$F$130,RAB!$C$14:$C$130,C803)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SUMIFS(RAB!$F$14:$F$130,RAB!$C$14:$C$130,C804)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SUMIFS(RAB!$F$14:$F$130,RAB!$C$14:$C$130,C805)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SUMIFS(RAB!$F$14:$F$130,RAB!$C$14:$C$130,C806)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SUMIFS(RAB!$F$14:$F$130,RAB!$C$14:$C$130,C807)</f>
        <v>1</v>
      </c>
      <c r="E807" s="26">
        <f t="shared" ca="1" si="34"/>
        <v>1</v>
      </c>
      <c r="F807" s="26">
        <f ca="1">IF(D807=0,0,SUM($E$713:E807))</f>
        <v>3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SUMIFS(RAB!$F$14:$F$130,RAB!$C$14:$C$130,C808)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SUMIFS(RAB!$F$14:$F$130,RAB!$C$14:$C$130,C809)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SUMIFS(RAB!$F$14:$F$130,RAB!$C$14:$C$130,C810)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SUMIFS(RAB!$F$14:$F$130,RAB!$C$14:$C$130,C811)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SUMIFS(RAB!$F$14:$F$130,RAB!$C$14:$C$130,C812)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SUMIFS(RAB!$F$14:$F$130,RAB!$C$14:$C$130,C813)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SUMIFS(RAB!$F$14:$F$130,RAB!$C$14:$C$130,C814)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SUMIFS(RAB!$F$14:$F$130,RAB!$C$14:$C$130,C815)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SUMIFS(RAB!$F$14:$F$130,RAB!$C$14:$C$130,C816)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SUMIFS(RAB!$F$14:$F$130,RAB!$C$14:$C$130,C817)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SUMIFS(RAB!$F$14:$F$130,RAB!$C$14:$C$130,C818)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SUMIFS(RAB!$F$14:$F$130,RAB!$C$14:$C$130,C819)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SUMIFS(RAB!$F$14:$F$130,RAB!$C$14:$C$130,C820)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SUMIFS(RAB!$F$14:$F$130,RAB!$C$14:$C$130,C821)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SUMIFS(RAB!$F$14:$F$130,RAB!$C$14:$C$130,C822)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SUMIFS(RAB!$F$14:$F$130,RAB!$C$14:$C$130,C823)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SUMIFS(RAB!$F$14:$F$130,RAB!$C$14:$C$130,C824)</f>
        <v>1</v>
      </c>
      <c r="E824" s="26">
        <f t="shared" ca="1" si="34"/>
        <v>1</v>
      </c>
      <c r="F824" s="26">
        <f ca="1">IF(D824=0,0,SUM($E$713:E824))</f>
        <v>6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SUMIFS(RAB!$F$14:$F$130,RAB!$C$14:$C$130,C825)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SUMIFS(RAB!$F$14:$F$130,RAB!$C$14:$C$130,C826)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SUMIFS(RAB!$F$14:$F$130,RAB!$C$14:$C$130,C827)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SUMIFS(RAB!$F$14:$F$130,RAB!$C$14:$C$130,C828)</f>
        <v>9</v>
      </c>
      <c r="E828" s="26">
        <f t="shared" ca="1" si="34"/>
        <v>1</v>
      </c>
      <c r="F828" s="26">
        <f ca="1">IF(D828=0,0,SUM($E$713:E828))</f>
        <v>7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SUMIFS(RAB!$F$14:$F$130,RAB!$C$14:$C$130,C829)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SUMIFS(RAB!$F$14:$F$130,RAB!$C$14:$C$130,C830)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SUMIFS(RAB!$F$14:$F$130,RAB!$C$14:$C$130,C831)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SUMIFS(RAB!$F$14:$F$130,RAB!$C$14:$C$130,C832)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SUMIFS(RAB!$F$14:$F$130,RAB!$C$14:$C$130,C833)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SUMIFS(RAB!$F$14:$F$130,RAB!$C$14:$C$130,C834)</f>
        <v>3</v>
      </c>
      <c r="E834" s="26">
        <f t="shared" ca="1" si="34"/>
        <v>1</v>
      </c>
      <c r="F834" s="26">
        <f ca="1">IF(D834=0,0,SUM($E$713:E834))</f>
        <v>8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SUMIFS(RAB!$F$14:$F$130,RAB!$C$14:$C$130,C835)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SUMIFS(RAB!$F$14:$F$130,RAB!$C$14:$C$130,C836)</f>
        <v>120</v>
      </c>
      <c r="E836" s="26">
        <f t="shared" ca="1" si="34"/>
        <v>1</v>
      </c>
      <c r="F836" s="26">
        <f ca="1">IF(D836=0,0,SUM($E$713:E836))</f>
        <v>9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SUMIFS(RAB!$F$14:$F$130,RAB!$C$14:$C$130,C837)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SUMIFS(RAB!$F$14:$F$130,RAB!$C$14:$C$130,C838)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SUMIFS(RAB!$F$14:$F$130,RAB!$C$14:$C$130,C839)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SUMIFS(RAB!$F$14:$F$130,RAB!$C$14:$C$130,C840)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SUMIFS(RAB!$F$14:$F$130,RAB!$C$14:$C$130,C841)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SUMIFS(RAB!$F$14:$F$130,RAB!$C$14:$C$130,C842)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SUMIFS(RAB!$F$14:$F$130,RAB!$C$14:$C$130,C843)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SUMIFS(RAB!$F$14:$F$130,RAB!$C$14:$C$130,C844)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SUMIFS(RAB!$F$14:$F$130,RAB!$C$14:$C$130,C845)</f>
        <v>12</v>
      </c>
      <c r="E845" s="26">
        <f t="shared" ca="1" si="35"/>
        <v>1</v>
      </c>
      <c r="F845" s="26">
        <f ca="1">IF(D845=0,0,SUM($E$713:E845))</f>
        <v>10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SUMIFS(RAB!$F$14:$F$130,RAB!$C$14:$C$130,C846)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SUMIFS(RAB!$F$14:$F$130,RAB!$C$14:$C$130,C847)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SUMIFS(RAB!$F$14:$F$130,RAB!$C$14:$C$130,C848)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SUMIFS(RAB!$F$14:$F$130,RAB!$C$14:$C$130,C849)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SUMIFS(RAB!$F$14:$F$130,RAB!$C$14:$C$130,C850)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SUMIFS(RAB!$F$14:$F$130,RAB!$C$14:$C$130,C851)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SUMIFS(RAB!$F$14:$F$130,RAB!$C$14:$C$130,C852)</f>
        <v>1</v>
      </c>
      <c r="E852" s="26">
        <f t="shared" ca="1" si="35"/>
        <v>1</v>
      </c>
      <c r="F852" s="26">
        <f ca="1">IF(D852=0,0,SUM($E$713:E852))</f>
        <v>11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SUMIFS(RAB!$F$14:$F$130,RAB!$C$14:$C$130,C853)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SUMIFS(RAB!$F$14:$F$130,RAB!$C$14:$C$130,C854)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SUMIFS(RAB!$F$14:$F$130,RAB!$C$14:$C$130,C855)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SUMIFS(RAB!$F$14:$F$130,RAB!$C$14:$C$130,C856)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SUMIFS(RAB!$F$14:$F$130,RAB!$C$14:$C$130,C857)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SUMIFS(RAB!$F$14:$F$130,RAB!$C$14:$C$130,C858)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SUMIFS(RAB!$F$14:$F$130,RAB!$C$14:$C$130,C859)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SUMIFS(RAB!$F$14:$F$130,RAB!$C$14:$C$130,C860)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SUMIFS(RAB!$F$14:$F$130,RAB!$C$14:$C$130,C861)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SUMIFS(RAB!$F$14:$F$130,RAB!$C$14:$C$130,C862)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SUMIFS(RAB!$F$14:$F$130,RAB!$C$14:$C$130,C863)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SUMIFS(RAB!$F$14:$F$130,RAB!$C$14:$C$130,C864)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SUMIFS(RAB!$F$14:$F$130,RAB!$C$14:$C$130,C865)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SUMIFS(RAB!$F$14:$F$130,RAB!$C$14:$C$130,C866)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SUMIFS(RAB!$F$14:$F$130,RAB!$C$14:$C$130,C867)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SUMIFS(RAB!$F$14:$F$130,RAB!$C$14:$C$130,C868)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SUMIFS(RAB!$F$14:$F$130,RAB!$C$14:$C$130,C869)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SUMIFS(RAB!$F$14:$F$130,RAB!$C$14:$C$130,C870)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SUMIFS(RAB!$F$14:$F$130,RAB!$C$14:$C$130,C871)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SUMIFS(RAB!$F$14:$F$130,RAB!$C$14:$C$130,C872)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SUMIFS(RAB!$F$14:$F$130,RAB!$C$14:$C$130,C873)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SUMIFS(RAB!$F$14:$F$130,RAB!$C$14:$C$130,C874)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SUMIFS(RAB!$F$14:$F$130,RAB!$C$14:$C$130,C875)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SUMIFS(RAB!$F$14:$F$130,RAB!$C$14:$C$130,C876)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SUMIFS(RAB!$F$14:$F$130,RAB!$C$14:$C$130,C877)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SUMIFS(RAB!$F$14:$F$130,RAB!$C$14:$C$130,C878)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SUMIFS(RAB!$F$14:$F$130,RAB!$C$14:$C$130,C879)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SUMIFS(RAB!$F$14:$F$130,RAB!$C$14:$C$130,C880)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SUMIFS(RAB!$F$14:$F$130,RAB!$C$14:$C$130,C881)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SUMIFS(RAB!$F$14:$F$130,RAB!$C$14:$C$130,C882)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SUMIFS(RAB!$F$14:$F$130,RAB!$C$14:$C$130,C883)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SUMIFS(RAB!$F$14:$F$130,RAB!$C$14:$C$130,C884)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SUMIFS(RAB!$F$14:$F$130,RAB!$C$14:$C$130,C885)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SUMIFS(RAB!$F$14:$F$130,RAB!$C$14:$C$130,C886)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SUMIFS(RAB!$F$14:$F$130,RAB!$C$14:$C$130,C887)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SUMIFS(RAB!$F$14:$F$130,RAB!$C$14:$C$130,C888)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SUMIFS(RAB!$F$14:$F$130,RAB!$C$14:$C$130,C889)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SUMIFS(RAB!$F$14:$F$130,RAB!$C$14:$C$130,C890)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SUMIFS(RAB!$F$14:$F$130,RAB!$C$14:$C$130,C891)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SUMIFS(RAB!$F$14:$F$130,RAB!$C$14:$C$130,C892)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SUMIFS(RAB!$F$14:$F$130,RAB!$C$14:$C$130,C893)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SUMIFS(RAB!$F$14:$F$130,RAB!$C$14:$C$130,C894)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SUMIFS(RAB!$F$14:$F$130,RAB!$C$14:$C$130,C895)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SUMIFS(RAB!$F$14:$F$130,RAB!$C$14:$C$130,C896)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SUMIFS(RAB!$F$14:$F$130,RAB!$C$14:$C$130,C897)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SUMIFS(RAB!$F$14:$F$130,RAB!$C$14:$C$130,C898)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SUMIFS(RAB!$F$14:$F$130,RAB!$C$14:$C$130,C899)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SUMIFS(RAB!$F$14:$F$130,RAB!$C$14:$C$130,C900)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SUMIFS(RAB!$F$14:$F$130,RAB!$C$14:$C$130,C901)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SUMIFS(RAB!$F$14:$F$130,RAB!$C$14:$C$130,C902)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SUMIFS(RAB!$F$14:$F$130,RAB!$C$14:$C$130,C903)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SUMIFS(RAB!$F$14:$F$130,RAB!$C$14:$C$130,C904)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SUMIFS(RAB!$F$14:$F$130,RAB!$C$14:$C$130,C905)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SUMIFS(RAB!$F$14:$F$130,RAB!$C$14:$C$130,C906)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SUMIFS(RAB!$F$14:$F$130,RAB!$C$14:$C$130,C907)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SUMIFS(RAB!$F$14:$F$130,RAB!$C$14:$C$130,C908)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SUMIFS(RAB!$F$14:$F$130,RAB!$C$14:$C$130,C909)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SUMIFS(RAB!$F$14:$F$130,RAB!$C$14:$C$130,C910)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SUMIFS(RAB!$F$14:$F$130,RAB!$C$14:$C$130,C911)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SUMIFS(RAB!$F$14:$F$130,RAB!$C$14:$C$130,C912)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SUMIFS(RAB!$F$14:$F$130,RAB!$C$14:$C$130,C913)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SUMIFS(RAB!$F$14:$F$130,RAB!$C$14:$C$130,C914)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SUMIFS(RAB!$F$14:$F$130,RAB!$C$14:$C$130,C915)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SUMIFS(RAB!$F$14:$F$130,RAB!$C$14:$C$130,C916)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SUMIFS(RAB!$F$14:$F$130,RAB!$C$14:$C$130,C917)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SUMIFS(RAB!$F$14:$F$130,RAB!$C$14:$C$130,C918)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SUMIFS(RAB!$F$14:$F$130,RAB!$C$14:$C$130,C919)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SUMIFS(RAB!$F$14:$F$130,RAB!$C$14:$C$130,C920)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SUMIFS(RAB!$F$14:$F$130,RAB!$C$14:$C$130,C921)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SUMIFS(RAB!$F$14:$F$130,RAB!$C$14:$C$130,C922)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SUMIFS(RAB!$F$14:$F$130,RAB!$C$14:$C$130,C923)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SUMIFS(RAB!$F$14:$F$130,RAB!$C$14:$C$130,C924)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SUMIFS(RAB!$F$14:$F$130,RAB!$C$14:$C$130,C925)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SUMIFS(RAB!$F$14:$F$130,RAB!$C$14:$C$130,C926)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SUMIFS(RAB!$F$14:$F$130,RAB!$C$14:$C$130,C927)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SUMIFS(RAB!$F$14:$F$130,RAB!$C$14:$C$130,C928)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SUMIFS(RAB!$F$14:$F$130,RAB!$C$14:$C$130,C929)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SUMIFS(RAB!$F$14:$F$130,RAB!$C$14:$C$130,C930)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SUMIFS(RAB!$F$14:$F$130,RAB!$C$14:$C$130,C931)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SUMIFS(RAB!$F$14:$F$130,RAB!$C$14:$C$130,C932)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SUMIFS(RAB!$F$14:$F$130,RAB!$C$14:$C$130,C933)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SUMIFS(RAB!$F$14:$F$130,RAB!$C$14:$C$130,C934)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SUMIFS(RAB!$F$14:$F$130,RAB!$C$14:$C$130,C935)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SUMIFS(RAB!$F$14:$F$130,RAB!$C$14:$C$130,C936)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SUMIFS(RAB!$F$14:$F$130,RAB!$C$14:$C$130,C937)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SUMIFS(RAB!$F$14:$F$130,RAB!$C$14:$C$130,C938)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SUMIFS(RAB!$F$14:$F$130,RAB!$C$14:$C$130,C939)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SUMIFS(RAB!$F$14:$F$130,RAB!$C$14:$C$130,C940)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SUMIFS(RAB!$F$14:$F$130,RAB!$C$14:$C$130,C941)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SUMIFS(RAB!$F$14:$F$130,RAB!$C$14:$C$130,C942)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SUMIFS(RAB!$F$14:$F$130,RAB!$C$14:$C$130,C943)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SUMIFS(RAB!$F$14:$F$130,RAB!$C$14:$C$130,C944)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SUMIFS(RAB!$F$14:$F$130,RAB!$C$14:$C$130,C945)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SUMIFS(RAB!$F$14:$F$130,RAB!$C$14:$C$130,C946)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SUMIFS(RAB!$F$14:$F$130,RAB!$C$14:$C$130,C947)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SUMIFS(RAB!$F$14:$F$130,RAB!$C$14:$C$130,C948)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SUMIFS(RAB!$F$14:$F$130,RAB!$C$14:$C$130,C949)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SUMIFS(RAB!$F$14:$F$130,RAB!$C$14:$C$130,C950)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SUMIFS(RAB!$F$14:$F$130,RAB!$C$14:$C$130,C951)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SUMIFS(RAB!$F$14:$F$130,RAB!$C$14:$C$130,C952)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SUMIFS(RAB!$F$14:$F$130,RAB!$C$14:$C$130,C953)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SUMIFS(RAB!$F$14:$F$130,RAB!$C$14:$C$130,C954)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SUMIFS(RAB!$F$14:$F$130,RAB!$C$14:$C$130,C955)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SUMIFS(RAB!$F$14:$F$130,RAB!$C$14:$C$130,C956)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SUMIFS(RAB!$F$14:$F$130,RAB!$C$14:$C$130,C957)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SUMIFS(RAB!$F$14:$F$130,RAB!$C$14:$C$130,C958)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SUMIFS(RAB!$F$14:$F$130,RAB!$C$14:$C$130,C959)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SUMIFS(RAB!$F$14:$F$130,RAB!$C$14:$C$130,C960)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SUMIFS(RAB!$F$14:$F$130,RAB!$C$14:$C$130,C961)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SUMIFS(RAB!$F$14:$F$130,RAB!$C$14:$C$130,C962)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SUMIFS(RAB!$F$14:$F$130,RAB!$C$14:$C$130,C963)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SUMIFS(RAB!$F$14:$F$130,RAB!$C$14:$C$130,C964)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SUMIFS(RAB!$F$14:$F$130,RAB!$C$14:$C$130,C965)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SUMIFS(RAB!$F$14:$F$130,RAB!$C$14:$C$130,C966)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SUMIFS(RAB!$F$14:$F$130,RAB!$C$14:$C$130,C967)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SUMIFS(RAB!$F$14:$F$130,RAB!$C$14:$C$130,C968)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SUMIFS(RAB!$F$14:$F$130,RAB!$C$14:$C$130,C969)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SUMIFS(RAB!$F$14:$F$130,RAB!$C$14:$C$130,C970)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SUMIFS(RAB!$F$14:$F$130,RAB!$C$14:$C$130,C971)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SUMIFS(RAB!$F$14:$F$130,RAB!$C$14:$C$130,C972)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SUMIFS(RAB!$F$14:$F$130,RAB!$C$14:$C$130,C973)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SUMIFS(RAB!$F$14:$F$130,RAB!$C$14:$C$130,C974)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SUMIFS(RAB!$F$14:$F$130,RAB!$C$14:$C$130,C975)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SUMIFS(RAB!$F$14:$F$130,RAB!$C$14:$C$130,C976)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SUMIFS(RAB!$F$14:$F$130,RAB!$C$14:$C$130,C977)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SUMIFS(RAB!$F$14:$F$130,RAB!$C$14:$C$130,C978)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SUMIFS(RAB!$F$14:$F$130,RAB!$C$14:$C$130,C979)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SUMIFS(RAB!$F$14:$F$130,RAB!$C$14:$C$130,C980)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SUMIFS(RAB!$F$14:$F$130,RAB!$C$14:$C$130,C981)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SUMIFS(RAB!$F$14:$F$130,RAB!$C$14:$C$130,C982)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SUMIFS(RAB!$F$14:$F$130,RAB!$C$14:$C$130,C983)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SUMIFS(RAB!$F$14:$F$130,RAB!$C$14:$C$130,C984)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SUMIFS(RAB!$F$14:$F$130,RAB!$C$14:$C$130,C985)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SUMIFS(RAB!$F$14:$F$130,RAB!$C$14:$C$130,C986)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SUMIFS(RAB!$F$14:$F$130,RAB!$C$14:$C$130,C987)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SUMIFS(RAB!$F$14:$F$130,RAB!$C$14:$C$130,C988)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SUMIFS(RAB!$F$14:$F$130,RAB!$C$14:$C$130,C989)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SUMIFS(RAB!$F$14:$F$130,RAB!$C$14:$C$130,C990)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SUMIFS(RAB!$F$14:$F$130,RAB!$C$14:$C$130,C991)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SUMIFS(RAB!$F$14:$F$130,RAB!$C$14:$C$130,C992)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SUMIFS(RAB!$F$14:$F$130,RAB!$C$14:$C$130,C993)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SUMIFS(RAB!$F$14:$F$130,RAB!$C$14:$C$130,C994)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SUMIFS(RAB!$F$14:$F$130,RAB!$C$14:$C$130,C995)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SUMIFS(RAB!$F$14:$F$130,RAB!$C$14:$C$130,C996)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SUMIFS(RAB!$F$14:$F$130,RAB!$C$14:$C$130,C997)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SUMIFS(RAB!$F$14:$F$130,RAB!$C$14:$C$130,C998)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SUMIFS(RAB!$F$14:$F$130,RAB!$C$14:$C$130,C999)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SUMIFS(RAB!$F$14:$F$130,RAB!$C$14:$C$130,C1000)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SUMIFS(RAB!$F$14:$F$130,RAB!$C$14:$C$130,C1001)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SUMIFS(RAB!$F$14:$F$130,RAB!$C$14:$C$130,C1002)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SUMIFS(RAB!$F$14:$F$130,RAB!$C$14:$C$130,C1003)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SUMIFS(RAB!$F$14:$F$130,RAB!$C$14:$C$130,C1004)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SUMIFS(RAB!$F$14:$F$130,RAB!$C$14:$C$130,C1005)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SUMIFS(RAB!$F$14:$F$130,RAB!$C$14:$C$130,C1006)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SUMIFS(RAB!$F$14:$F$130,RAB!$C$14:$C$130,C1007)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SUMIFS(RAB!$F$14:$F$130,RAB!$C$14:$C$130,C1008)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SUMIFS(RAB!$F$14:$F$130,RAB!$C$14:$C$130,C1009)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SUMIFS(RAB!$F$14:$F$130,RAB!$C$14:$C$130,C1010)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SUMIFS(RAB!$F$14:$F$130,RAB!$C$14:$C$130,C1011)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SUMIFS(RAB!$F$14:$F$130,RAB!$C$14:$C$130,C1012)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SUMIFS(RAB!$F$14:$F$130,RAB!$C$14:$C$130,C1013)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SUMIFS(RAB!$F$14:$F$130,RAB!$C$14:$C$130,C1014)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SUMIFS(RAB!$F$14:$F$130,RAB!$C$14:$C$130,C1015)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SUMIFS(RAB!$F$14:$F$130,RAB!$C$14:$C$130,C1016)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SUMIFS(RAB!$F$14:$F$130,RAB!$C$14:$C$130,C1017)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SUMIFS(RAB!$F$14:$F$130,RAB!$C$14:$C$130,C1018)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SUMIFS(RAB!$F$14:$F$130,RAB!$C$14:$C$130,C1019)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SUMIFS(RAB!$F$14:$F$130,RAB!$C$14:$C$130,C1020)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SUMIFS(RAB!$F$14:$F$130,RAB!$C$14:$C$130,C1021)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SUMIFS(RAB!$F$14:$F$130,RAB!$C$14:$C$130,C1022)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SUMIFS(RAB!$F$14:$F$130,RAB!$C$14:$C$130,C1023)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SUMIFS(RAB!$F$14:$F$130,RAB!$C$14:$C$130,C1024)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SUMIFS(RAB!$F$14:$F$130,RAB!$C$14:$C$130,C1025)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SUMIFS(RAB!$F$14:$F$130,RAB!$C$14:$C$130,C1026)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SUMIFS(RAB!$F$14:$F$130,RAB!$C$14:$C$130,C1027)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SUMIFS(RAB!$F$14:$F$130,RAB!$C$14:$C$130,C1028)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SUMIFS(RAB!$F$14:$F$130,RAB!$C$14:$C$130,C1029)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SUMIFS(RAB!$F$14:$F$130,RAB!$C$14:$C$130,C1030)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SUMIFS(RAB!$F$14:$F$130,RAB!$C$14:$C$130,C1031)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SUMIFS(RAB!$F$14:$F$130,RAB!$C$14:$C$130,C1032)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SUMIFS(RAB!$F$14:$F$130,RAB!$C$14:$C$130,C1033)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SUMIFS(RAB!$F$14:$F$130,RAB!$C$14:$C$130,C1034)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SUMIFS(RAB!$F$14:$F$130,RAB!$C$14:$C$130,C1035)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SUMIFS(RAB!$F$14:$F$130,RAB!$C$14:$C$130,C1036)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SUMIFS(RAB!$F$14:$F$130,RAB!$C$14:$C$130,C1037)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SUMIFS(RAB!$F$14:$F$130,RAB!$C$14:$C$130,C1038)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SUMIFS(RAB!$F$14:$F$130,RAB!$C$14:$C$130,C1039)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SUMIFS(RAB!$F$14:$F$130,RAB!$C$14:$C$130,C1040)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SUMIFS(RAB!$F$14:$F$130,RAB!$C$14:$C$130,C1041)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SUMIFS(RAB!$F$14:$F$130,RAB!$C$14:$C$130,C1042)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SUMIFS(RAB!$F$14:$F$130,RAB!$C$14:$C$130,C1043)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SUMIFS(RAB!$F$14:$F$130,RAB!$C$14:$C$130,C1044)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SUMIFS(RAB!$F$14:$F$130,RAB!$C$14:$C$130,C1045)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SUMIFS(RAB!$F$14:$F$130,RAB!$C$14:$C$130,C1046)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SUMIFS(RAB!$F$14:$F$130,RAB!$C$14:$C$130,C1047)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SUMIFS(RAB!$F$14:$F$130,RAB!$C$14:$C$130,C1048)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SUMIFS(RAB!$F$14:$F$130,RAB!$C$14:$C$130,C1049)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SUMIFS(RAB!$F$14:$F$130,RAB!$C$14:$C$130,C1050)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SUMIFS(RAB!$F$14:$F$130,RAB!$C$14:$C$130,C1051)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SUMIFS(RAB!$F$14:$F$130,RAB!$C$14:$C$130,C1052)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SUMIFS(RAB!$F$14:$F$130,RAB!$C$14:$C$130,C1053)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SUMIFS(RAB!$F$14:$F$130,RAB!$C$14:$C$130,C1054)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SUMIFS(RAB!$F$14:$F$130,RAB!$C$14:$C$130,C1055)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SUMIFS(RAB!$F$14:$F$130,RAB!$C$14:$C$130,C1056)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SUMIFS(RAB!$F$14:$F$130,RAB!$C$14:$C$130,C1057)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SUMIFS(RAB!$F$14:$F$130,RAB!$C$14:$C$130,C1058)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SUMIFS(RAB!$F$14:$F$130,RAB!$C$14:$C$130,C1059)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SUMIFS(RAB!$F$14:$F$130,RAB!$C$14:$C$130,C1060)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SUMIFS(RAB!$F$14:$F$130,RAB!$C$14:$C$130,C1061)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SUMIFS(RAB!$F$14:$F$130,RAB!$C$14:$C$130,C1062)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SUMIFS(RAB!$F$14:$F$130,RAB!$C$14:$C$130,C1063)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SUMIFS(RAB!$F$14:$F$130,RAB!$C$14:$C$130,C1064)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SUMIFS(RAB!$F$14:$F$130,RAB!$C$14:$C$130,C1065)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SUMIFS(RAB!$F$14:$F$130,RAB!$C$14:$C$130,C1066)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SUMIFS(RAB!$F$14:$F$130,RAB!$C$14:$C$130,C1067)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SUMIFS(RAB!$F$14:$F$130,RAB!$C$14:$C$130,C1068)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SUMIFS(RAB!$F$14:$F$130,RAB!$C$14:$C$130,C1069)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SUMIFS(RAB!$F$14:$F$130,RAB!$C$14:$C$130,C1070)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SUMIFS(RAB!$F$14:$F$130,RAB!$C$14:$C$130,C1071)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SUMIFS(RAB!$F$14:$F$130,RAB!$C$14:$C$130,C1072)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SUMIFS(RAB!$F$14:$F$130,RAB!$C$14:$C$130,C1073)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SUMIFS(RAB!$F$14:$F$130,RAB!$C$14:$C$130,C1074)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SUMIFS(RAB!$F$14:$F$130,RAB!$C$14:$C$130,C1075)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SUMIFS(RAB!$F$14:$F$130,RAB!$C$14:$C$130,C1076)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SUMIFS(RAB!$F$14:$F$130,RAB!$C$14:$C$130,C1077)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SUMIFS(RAB!$F$14:$F$130,RAB!$C$14:$C$130,C1078)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SUMIFS(RAB!$F$14:$F$130,RAB!$C$14:$C$130,C1079)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SUMIFS(RAB!$F$14:$F$130,RAB!$C$14:$C$130,C1080)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SUMIFS(RAB!$F$14:$F$130,RAB!$C$14:$C$130,C1081)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SUMIFS(RAB!$F$14:$F$130,RAB!$C$14:$C$130,C1082)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SUMIFS(RAB!$F$14:$F$130,RAB!$C$14:$C$130,C1083)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SUMIFS(RAB!$F$14:$F$130,RAB!$C$14:$C$130,C1084)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SUMIFS(RAB!$F$14:$F$130,RAB!$C$14:$C$130,C1085)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SUMIFS(RAB!$F$14:$F$130,RAB!$C$14:$C$130,C1086)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SUMIFS(RAB!$F$14:$F$130,RAB!$C$14:$C$130,C1087)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SUMIFS(RAB!$F$14:$F$130,RAB!$C$14:$C$130,C1088)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SUMIFS(RAB!$F$14:$F$130,RAB!$C$14:$C$130,C1089)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SUMIFS(RAB!$F$14:$F$130,RAB!$C$14:$C$130,C1090)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SUMIFS(RAB!$F$14:$F$130,RAB!$C$14:$C$130,C1091)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SUMIFS(RAB!$F$14:$F$130,RAB!$C$14:$C$130,C1092)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SUMIFS(RAB!$F$14:$F$130,RAB!$C$14:$C$130,C1093)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SUMIFS(RAB!$F$14:$F$130,RAB!$C$14:$C$130,C1094)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SUMIFS(RAB!$F$14:$F$130,RAB!$C$14:$C$130,C1095)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SUMIFS(RAB!$F$14:$F$130,RAB!$C$14:$C$130,C1096)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SUMIFS(RAB!$F$14:$F$130,RAB!$C$14:$C$130,C1097)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SUMIFS(RAB!$F$14:$F$130,RAB!$C$14:$C$130,C1098)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SUMIFS(RAB!$F$14:$F$130,RAB!$C$14:$C$130,C1099)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SUMIFS(RAB!$F$14:$F$130,RAB!$C$14:$C$130,C1100)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SUMIFS(RAB!$F$14:$F$130,RAB!$C$14:$C$130,C1101)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SUMIFS(RAB!$F$14:$F$130,RAB!$C$14:$C$130,C1102)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SUMIFS(RAB!$F$14:$F$130,RAB!$C$14:$C$130,C1103)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SUMIFS(RAB!$F$14:$F$130,RAB!$C$14:$C$130,C1104)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SUMIFS(RAB!$F$14:$F$130,RAB!$C$14:$C$130,C1105)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SUMIFS(RAB!$F$14:$F$130,RAB!$C$14:$C$130,C1106)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SUMIFS(RAB!$F$14:$F$130,RAB!$C$14:$C$130,C1107)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SUMIFS(RAB!$F$14:$F$130,RAB!$C$14:$C$130,C1108)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SUMIFS(RAB!$F$14:$F$130,RAB!$C$14:$C$130,C1109)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SUMIFS(RAB!$F$14:$F$130,RAB!$C$14:$C$130,C1110)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SUMIFS(RAB!$F$14:$F$130,RAB!$C$14:$C$130,C1111)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SUMIFS(RAB!$F$14:$F$130,RAB!$C$14:$C$130,C1112)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SUMIFS(RAB!$F$14:$F$130,RAB!$C$14:$C$130,C1113)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SUMIFS(RAB!$F$14:$F$130,RAB!$C$14:$C$130,C1114)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SUMIFS(RAB!$F$14:$F$130,RAB!$C$14:$C$130,C1115)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SUMIFS(RAB!$F$14:$F$130,RAB!$C$14:$C$130,C1116)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SUMIFS(RAB!$F$14:$F$130,RAB!$C$14:$C$130,C1117)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SUMIFS(RAB!$F$14:$F$130,RAB!$C$14:$C$130,C1118)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SUMIFS(RAB!$F$14:$F$130,RAB!$C$14:$C$130,C1119)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SUMIFS(RAB!$F$14:$F$130,RAB!$C$14:$C$130,C1120)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SUMIFS(RAB!$F$14:$F$130,RAB!$C$14:$C$130,C1121)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SUMIFS(RAB!$F$14:$F$130,RAB!$C$14:$C$130,C1122)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SUMIFS(RAB!$F$14:$F$130,RAB!$C$14:$C$130,C1123)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SUMIFS(RAB!$F$14:$F$130,RAB!$C$14:$C$130,C1124)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SUMIFS(RAB!$F$14:$F$130,RAB!$C$14:$C$130,C1125)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SUMIFS(RAB!$F$14:$F$130,RAB!$C$14:$C$130,C1126)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SUMIFS(RAB!$F$14:$F$130,RAB!$C$14:$C$130,C1127)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SUMIFS(RAB!$F$14:$F$130,RAB!$C$14:$C$130,C1128)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SUMIFS(RAB!$F$14:$F$130,RAB!$C$14:$C$130,C1129)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SUMIFS(RAB!$F$14:$F$130,RAB!$C$14:$C$130,C1130)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SUMIFS(RAB!$F$14:$F$130,RAB!$C$14:$C$130,C1131)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SUMIFS(RAB!$F$14:$F$130,RAB!$C$14:$C$130,C1132)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SUMIFS(RAB!$F$14:$F$130,RAB!$C$14:$C$130,C1133)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SUMIFS(RAB!$F$14:$F$130,RAB!$C$14:$C$130,C1134)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SUMIFS(RAB!$F$14:$F$130,RAB!$C$14:$C$130,C1135)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SUMIFS(RAB!$F$14:$F$130,RAB!$C$14:$C$130,C1136)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SUMIFS(RAB!$F$14:$F$130,RAB!$C$14:$C$130,C1137)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SUMIFS(RAB!$F$14:$F$130,RAB!$C$14:$C$130,C1138)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SUMIFS(RAB!$F$14:$F$130,RAB!$C$14:$C$130,C1139)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SUMIFS(RAB!$F$14:$F$130,RAB!$C$14:$C$130,C1140)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SUMIFS(RAB!$F$14:$F$130,RAB!$C$14:$C$130,C1141)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SUMIFS(RAB!$F$14:$F$130,RAB!$C$14:$C$130,C1142)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SUMIFS(RAB!$F$14:$F$130,RAB!$C$14:$C$130,C1143)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SUMIFS(RAB!$F$14:$F$130,RAB!$C$14:$C$130,C1144)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SUMIFS(RAB!$F$14:$F$130,RAB!$C$14:$C$130,C1145)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SUMIFS(RAB!$F$14:$F$130,RAB!$C$14:$C$130,C1146)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SUMIFS(RAB!$F$14:$F$130,RAB!$C$14:$C$130,C1147)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SUMIFS(RAB!$F$14:$F$130,RAB!$C$14:$C$130,C1148)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SUMIFS(RAB!$F$14:$F$130,RAB!$C$14:$C$130,C1149)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SUMIFS(RAB!$F$14:$F$130,RAB!$C$14:$C$130,C1150)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SUMIFS(RAB!$F$14:$F$130,RAB!$C$14:$C$130,C1151)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SUMIFS(RAB!$F$14:$F$130,RAB!$C$14:$C$130,C1152)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SUMIFS(RAB!$F$14:$F$130,RAB!$C$14:$C$130,C1153)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SUMIFS(RAB!$F$14:$F$130,RAB!$C$14:$C$130,C1154)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SUMIFS(RAB!$F$14:$F$130,RAB!$C$14:$C$130,C1155)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SUMIFS(RAB!$F$14:$F$130,RAB!$C$14:$C$130,C1156)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SUMIFS(RAB!$F$14:$F$130,RAB!$C$14:$C$130,C1157)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SUMIFS(RAB!$F$14:$F$130,RAB!$C$14:$C$130,C1158)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SUMIFS(RAB!$F$14:$F$130,RAB!$C$14:$C$130,C1159)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SUMIFS(RAB!$F$14:$F$130,RAB!$C$14:$C$130,C1160)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SUMIFS(RAB!$F$14:$F$130,RAB!$C$14:$C$130,C1161)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SUMIFS(RAB!$F$14:$F$130,RAB!$C$14:$C$130,C1162)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SUMIFS(RAB!$F$14:$F$130,RAB!$C$14:$C$130,C1163)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SUMIFS(RAB!$F$14:$F$130,RAB!$C$14:$C$130,C1164)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SUMIFS(RAB!$F$14:$F$130,RAB!$C$14:$C$130,C1165)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SUMIFS(RAB!$F$14:$F$130,RAB!$C$14:$C$130,C1166)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SUMIFS(RAB!$F$14:$F$130,RAB!$C$14:$C$130,C1167)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SUMIFS(RAB!$F$14:$F$130,RAB!$C$14:$C$130,C1168)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SUMIFS(RAB!$F$14:$F$130,RAB!$C$14:$C$130,C1169)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SUMIFS(RAB!$F$14:$F$130,RAB!$C$14:$C$130,C1170)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SUMIFS(RAB!$F$14:$F$130,RAB!$C$14:$C$130,C1171)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SUMIFS(RAB!$F$14:$F$130,RAB!$C$14:$C$130,C1172)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SUMIFS(RAB!$F$14:$F$130,RAB!$C$14:$C$130,C1173)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SUMIFS(RAB!$F$14:$F$130,RAB!$C$14:$C$130,C1174)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SUMIFS(RAB!$F$14:$F$130,RAB!$C$14:$C$130,C1175)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SUMIFS(RAB!$F$14:$F$130,RAB!$C$14:$C$130,C1176)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SUMIFS(RAB!$F$14:$F$130,RAB!$C$14:$C$130,C1177)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SUMIFS(RAB!$F$14:$F$130,RAB!$C$14:$C$130,C1178)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SUMIFS(RAB!$F$14:$F$130,RAB!$C$14:$C$130,C1179)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SUMIFS(RAB!$F$14:$F$130,RAB!$C$14:$C$130,C1180)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SUMIFS(RAB!$F$14:$F$130,RAB!$C$14:$C$130,C1181)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SUMIFS(RAB!$F$14:$F$130,RAB!$C$14:$C$130,C1182)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SUMIFS(RAB!$F$14:$F$130,RAB!$C$14:$C$130,C1183)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SUMIFS(RAB!$F$14:$F$130,RAB!$C$14:$C$130,C1184)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SUMIFS(RAB!$F$14:$F$130,RAB!$C$14:$C$130,C1185)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SUMIFS(RAB!$F$14:$F$130,RAB!$C$14:$C$130,C1186)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SUMIFS(RAB!$F$14:$F$130,RAB!$C$14:$C$130,C1187)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SUMIFS(RAB!$F$14:$F$130,RAB!$C$14:$C$130,C1188)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SUMIFS(RAB!$F$14:$F$130,RAB!$C$14:$C$130,C1189)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SUMIFS(RAB!$F$14:$F$130,RAB!$C$14:$C$130,C1190)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SUMIFS(RAB!$F$14:$F$130,RAB!$C$14:$C$130,C1191)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SUMIFS(RAB!$F$14:$F$130,RAB!$C$14:$C$130,C1192)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SUMIFS(RAB!$F$14:$F$130,RAB!$C$14:$C$130,C1193)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SUMIFS(RAB!$F$14:$F$130,RAB!$C$14:$C$130,C1194)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SUMIFS(RAB!$F$14:$F$130,RAB!$C$14:$C$130,C1195)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SUMIFS(RAB!$F$14:$F$130,RAB!$C$14:$C$130,C1196)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SUMIFS(RAB!$F$14:$F$130,RAB!$C$14:$C$130,C1197)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SUMIFS(RAB!$F$14:$F$130,RAB!$C$14:$C$130,C1198)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SUMIFS(RAB!$F$14:$F$130,RAB!$C$14:$C$130,C1199)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SUMIFS(RAB!$F$14:$F$130,RAB!$C$14:$C$130,C1200)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SUMIFS(RAB!$F$14:$F$130,RAB!$C$14:$C$130,C1201)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SUMIFS(RAB!$F$14:$F$130,RAB!$C$14:$C$130,C1202)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SUMIFS(RAB!$F$14:$F$130,RAB!$C$14:$C$130,C1203)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SUMIFS(RAB!$F$14:$F$130,RAB!$C$14:$C$130,C1204)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SUMIFS(RAB!$F$14:$F$130,RAB!$C$14:$C$130,C1205)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SUMIFS(RAB!$F$14:$F$130,RAB!$C$14:$C$130,C1206)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SUMIFS(RAB!$F$14:$F$130,RAB!$C$14:$C$130,C1207)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SUMIFS(RAB!$F$14:$F$130,RAB!$C$14:$C$130,C1208)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SUMIFS(RAB!$F$14:$F$130,RAB!$C$14:$C$130,C1209)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SUMIFS(RAB!$F$14:$F$130,RAB!$C$14:$C$130,C1210)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SUMIFS(RAB!$F$14:$F$130,RAB!$C$14:$C$130,C1211)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SUMIFS(RAB!$F$14:$F$130,RAB!$C$14:$C$130,C1212)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SUMIFS(RAB!$F$14:$F$130,RAB!$C$14:$C$130,C1213)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SUMIFS(RAB!$F$14:$F$130,RAB!$C$14:$C$130,C1214)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SUMIFS(RAB!$F$14:$F$130,RAB!$C$14:$C$130,C1215)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SUMIFS(RAB!$F$14:$F$130,RAB!$C$14:$C$130,C1216)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SUMIFS(RAB!$F$14:$F$130,RAB!$C$14:$C$130,C1217)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SUMIFS(RAB!$F$14:$F$130,RAB!$C$14:$C$130,C1218)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SUMIFS(RAB!$F$14:$F$130,RAB!$C$14:$C$130,C1219)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SUMIFS(RAB!$F$14:$F$130,RAB!$C$14:$C$130,C1220)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SUMIFS(RAB!$F$14:$F$130,RAB!$C$14:$C$130,C1221)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SUMIFS(RAB!$F$14:$F$130,RAB!$C$14:$C$130,C1222)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SUMIFS(RAB!$F$14:$F$130,RAB!$C$14:$C$130,C1223)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SUMIFS(RAB!$F$14:$F$130,RAB!$C$14:$C$130,C1224)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SUMIFS(RAB!$F$14:$F$130,RAB!$C$14:$C$130,C1225)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SUMIFS(RAB!$F$14:$F$130,RAB!$C$14:$C$130,C1226)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SUMIFS(RAB!$F$14:$F$130,RAB!$C$14:$C$130,C1227)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SUMIFS(RAB!$F$14:$F$130,RAB!$C$14:$C$130,C1228)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SUMIFS(RAB!$F$14:$F$130,RAB!$C$14:$C$130,C1229)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SUMIFS(RAB!$F$14:$F$130,RAB!$C$14:$C$130,C1230)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SUMIFS(RAB!$F$14:$F$130,RAB!$C$14:$C$130,C1231)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SUMIFS(RAB!$F$14:$F$130,RAB!$C$14:$C$130,C1232)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SUMIFS(RAB!$F$14:$F$130,RAB!$C$14:$C$130,C1233)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SUMIFS(RAB!$F$14:$F$130,RAB!$C$14:$C$130,C1234)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SUMIFS(RAB!$F$14:$F$130,RAB!$C$14:$C$130,C1235)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SUMIFS(RAB!$F$14:$F$130,RAB!$C$14:$C$130,C1236)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SUMIFS(RAB!$F$14:$F$130,RAB!$C$14:$C$130,C1237)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SUMIFS(RAB!$F$14:$F$130,RAB!$C$14:$C$130,C1238)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SUMIFS(RAB!$F$14:$F$130,RAB!$C$14:$C$130,C1239)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SUMIFS(RAB!$F$14:$F$130,RAB!$C$14:$C$130,C1240)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SUMIFS(RAB!$F$14:$F$130,RAB!$C$14:$C$130,C1241)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SUMIFS(RAB!$F$14:$F$130,RAB!$C$14:$C$130,C1242)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SUMIFS(RAB!$F$14:$F$130,RAB!$C$14:$C$130,C1243)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SUMIFS(RAB!$F$14:$F$130,RAB!$C$14:$C$130,C1244)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SUMIFS(RAB!$F$14:$F$130,RAB!$C$14:$C$130,C1245)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SUMIFS(RAB!$F$14:$F$130,RAB!$C$14:$C$130,C1246)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SUMIFS(RAB!$F$14:$F$130,RAB!$C$14:$C$130,C1247)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SUMIFS(RAB!$F$14:$F$130,RAB!$C$14:$C$130,C1248)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SUMIFS(RAB!$F$14:$F$130,RAB!$C$14:$C$130,C1249)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SUMIFS(RAB!$F$14:$F$130,RAB!$C$14:$C$130,C1250)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SUMIFS(RAB!$F$14:$F$130,RAB!$C$14:$C$130,C1251)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SUMIFS(RAB!$F$14:$F$130,RAB!$C$14:$C$130,C1252)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SUMIFS(RAB!$F$14:$F$130,RAB!$C$14:$C$130,C1253)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SUMIFS(RAB!$F$14:$F$130,RAB!$C$14:$C$130,C1254)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SUMIFS(RAB!$F$14:$F$130,RAB!$C$14:$C$130,C1255)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SUMIFS(RAB!$F$14:$F$130,RAB!$C$14:$C$130,C1256)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SUMIFS(RAB!$F$14:$F$130,RAB!$C$14:$C$130,C1257)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SUMIFS(RAB!$F$14:$F$130,RAB!$C$14:$C$130,C1258)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SUMIFS(RAB!$F$14:$F$130,RAB!$C$14:$C$130,C1259)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SUMIFS(RAB!$F$14:$F$130,RAB!$C$14:$C$130,C1260)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SUMIFS(RAB!$F$14:$F$130,RAB!$C$14:$C$130,C1261)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SUMIFS(RAB!$F$14:$F$130,RAB!$C$14:$C$130,C1262)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SUMIFS(RAB!$F$14:$F$130,RAB!$C$14:$C$130,C1263)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SUMIFS(RAB!$F$14:$F$130,RAB!$C$14:$C$130,C1264)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SUMIFS(RAB!$F$14:$F$130,RAB!$C$14:$C$130,C1265)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SUMIFS(RAB!$F$14:$F$130,RAB!$C$14:$C$130,C1266)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SUMIFS(RAB!$F$14:$F$130,RAB!$C$14:$C$130,C1267)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SUMIFS(RAB!$F$14:$F$130,RAB!$C$14:$C$130,C1268)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SUMIFS(RAB!$F$14:$F$130,RAB!$C$14:$C$130,C1269)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SUMIFS(RAB!$F$14:$F$130,RAB!$C$14:$C$130,C1270)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SUMIFS(RAB!$F$14:$F$130,RAB!$C$14:$C$130,C1271)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SUMIFS(RAB!$F$14:$F$130,RAB!$C$14:$C$130,C1272)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SUMIFS(RAB!$F$14:$F$130,RAB!$C$14:$C$130,C1273)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SUMIFS(RAB!$F$14:$F$130,RAB!$C$14:$C$130,C1274)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SUMIFS(RAB!$F$14:$F$130,RAB!$C$14:$C$130,C1275)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SUMIFS(RAB!$F$14:$F$130,RAB!$C$14:$C$130,C1276)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SUMIFS(RAB!$F$14:$F$130,RAB!$C$14:$C$130,C1277)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SUMIFS(RAB!$F$14:$F$130,RAB!$C$14:$C$130,C1278)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SUMIFS(RAB!$F$14:$F$130,RAB!$C$14:$C$130,C1279)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SUMIFS(RAB!$F$14:$F$130,RAB!$C$14:$C$130,C1280)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SUMIFS(RAB!$F$14:$F$130,RAB!$C$14:$C$130,C1281)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SUMIFS(RAB!$F$14:$F$130,RAB!$C$14:$C$130,C1282)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SUMIFS(RAB!$F$14:$F$130,RAB!$C$14:$C$130,C1283)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SUMIFS(RAB!$F$14:$F$130,RAB!$C$14:$C$130,C1284)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SUMIFS(RAB!$F$14:$F$130,RAB!$C$14:$C$130,C1285)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SUMIFS(RAB!$F$14:$F$130,RAB!$C$14:$C$130,C1286)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SUMIFS(RAB!$F$14:$F$130,RAB!$C$14:$C$130,C1287)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SUMIFS(RAB!$F$14:$F$130,RAB!$C$14:$C$130,C1288)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SUMIFS(RAB!$F$14:$F$130,RAB!$C$14:$C$130,C1289)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SUMIFS(RAB!$F$14:$F$130,RAB!$C$14:$C$130,C1290)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SUMIFS(RAB!$F$14:$F$130,RAB!$C$14:$C$130,C1291)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SUMIFS(RAB!$F$14:$F$130,RAB!$C$14:$C$130,C1292)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SUMIFS(RAB!$F$14:$F$130,RAB!$C$14:$C$130,C1293)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SUMIFS(RAB!$F$14:$F$130,RAB!$C$14:$C$130,C1294)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SUMIFS(RAB!$F$14:$F$130,RAB!$C$14:$C$130,C1295)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SUMIFS(RAB!$F$14:$F$130,RAB!$C$14:$C$130,C1296)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SUMIFS(RAB!$F$14:$F$130,RAB!$C$14:$C$130,C1297)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SUMIFS(RAB!$F$14:$F$130,RAB!$C$14:$C$130,C1298)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SUMIFS(RAB!$F$14:$F$130,RAB!$C$14:$C$130,C1299)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SUMIFS(RAB!$F$14:$F$130,RAB!$C$14:$C$130,C1300)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SUMIFS(RAB!$F$14:$F$130,RAB!$C$14:$C$130,C1301)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SUMIFS(RAB!$F$14:$F$130,RAB!$C$14:$C$130,C1302)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SUMIFS(RAB!$F$14:$F$130,RAB!$C$14:$C$130,C1303)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SUMIFS(RAB!$F$14:$F$130,RAB!$C$14:$C$130,C1304)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SUMIFS(RAB!$F$14:$F$130,RAB!$C$14:$C$130,C1305)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SUMIFS(RAB!$F$14:$F$130,RAB!$C$14:$C$130,C1306)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SUMIFS(RAB!$F$14:$F$130,RAB!$C$14:$C$130,C1307)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SUMIFS(RAB!$F$14:$F$130,RAB!$C$14:$C$130,C1308)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SUMIFS(RAB!$F$14:$F$130,RAB!$C$14:$C$130,C1309)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SUMIFS(RAB!$F$14:$F$130,RAB!$C$14:$C$130,C1310)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SUMIFS(RAB!$F$14:$F$130,RAB!$C$14:$C$130,C1311)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SUMIFS(RAB!$F$14:$F$130,RAB!$C$14:$C$130,C1312)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SUMIFS(RAB!$F$14:$F$130,RAB!$C$14:$C$130,C1313)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SUMIFS(RAB!$F$14:$F$130,RAB!$C$14:$C$130,C1314)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SUMIFS(RAB!$F$14:$F$130,RAB!$C$14:$C$130,C1315)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SUMIFS(RAB!$F$14:$F$130,RAB!$C$14:$C$130,C1316)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SUMIFS(RAB!$F$14:$F$130,RAB!$C$14:$C$130,C1317)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SUMIFS(RAB!$F$14:$F$130,RAB!$C$14:$C$130,C1318)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SUMIFS(RAB!$F$14:$F$130,RAB!$C$14:$C$130,C1319)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SUMIFS(RAB!$F$14:$F$130,RAB!$C$14:$C$130,C1320)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E1:E3 E712:E713 H10:H11 H7 E1321:E65536 G712:G65536 E6:E11 G1:G11 F10:F711">
    <cfRule type="cellIs" dxfId="157" priority="69" stopIfTrue="1" operator="equal">
      <formula>0</formula>
    </cfRule>
  </conditionalFormatting>
  <conditionalFormatting sqref="A8:G9 F11:H11 A10:H10 B12 A1:J7 A712:H713 A1321:H65536 G714:H1320 M1:IV1048576 A714:D1320 F12:F711">
    <cfRule type="cellIs" dxfId="156" priority="68" operator="equal">
      <formula>0</formula>
    </cfRule>
  </conditionalFormatting>
  <conditionalFormatting sqref="A11:E11 A12:B12 A13:A711">
    <cfRule type="cellIs" dxfId="155" priority="67" operator="equal">
      <formula>0</formula>
    </cfRule>
  </conditionalFormatting>
  <conditionalFormatting sqref="H12:H711">
    <cfRule type="cellIs" dxfId="154" priority="49" operator="equal">
      <formula>0</formula>
    </cfRule>
  </conditionalFormatting>
  <conditionalFormatting sqref="C12:C711">
    <cfRule type="cellIs" dxfId="153" priority="66" stopIfTrue="1" operator="equal">
      <formula>0</formula>
    </cfRule>
  </conditionalFormatting>
  <conditionalFormatting sqref="C12:C711">
    <cfRule type="cellIs" dxfId="152" priority="65" operator="equal">
      <formula>0</formula>
    </cfRule>
  </conditionalFormatting>
  <conditionalFormatting sqref="H12:H711">
    <cfRule type="cellIs" dxfId="151" priority="50" stopIfTrue="1" operator="equal">
      <formula>0</formula>
    </cfRule>
  </conditionalFormatting>
  <conditionalFormatting sqref="B13:B711">
    <cfRule type="cellIs" dxfId="150" priority="46" operator="equal">
      <formula>0</formula>
    </cfRule>
  </conditionalFormatting>
  <conditionalFormatting sqref="D711:E711 B13:B711">
    <cfRule type="cellIs" dxfId="149" priority="45" operator="equal">
      <formula>0</formula>
    </cfRule>
  </conditionalFormatting>
  <conditionalFormatting sqref="I10:I11 I7">
    <cfRule type="cellIs" dxfId="148" priority="28" stopIfTrue="1" operator="equal">
      <formula>0</formula>
    </cfRule>
  </conditionalFormatting>
  <conditionalFormatting sqref="I712:I65536 I10:I11">
    <cfRule type="cellIs" dxfId="147" priority="27" operator="equal">
      <formula>0</formula>
    </cfRule>
  </conditionalFormatting>
  <conditionalFormatting sqref="I12:I711">
    <cfRule type="cellIs" dxfId="146" priority="25" operator="equal">
      <formula>0</formula>
    </cfRule>
  </conditionalFormatting>
  <conditionalFormatting sqref="I12:I711">
    <cfRule type="cellIs" dxfId="145" priority="26" stopIfTrue="1" operator="equal">
      <formula>0</formula>
    </cfRule>
  </conditionalFormatting>
  <conditionalFormatting sqref="J10:J11 J7">
    <cfRule type="cellIs" dxfId="144" priority="22" stopIfTrue="1" operator="equal">
      <formula>0</formula>
    </cfRule>
  </conditionalFormatting>
  <conditionalFormatting sqref="J712:J65536 J10:J11">
    <cfRule type="cellIs" dxfId="143" priority="21" operator="equal">
      <formula>0</formula>
    </cfRule>
  </conditionalFormatting>
  <conditionalFormatting sqref="J12:J711">
    <cfRule type="cellIs" dxfId="142" priority="19" operator="equal">
      <formula>0</formula>
    </cfRule>
  </conditionalFormatting>
  <conditionalFormatting sqref="J12:J711">
    <cfRule type="cellIs" dxfId="141" priority="20" stopIfTrue="1" operator="equal">
      <formula>0</formula>
    </cfRule>
  </conditionalFormatting>
  <conditionalFormatting sqref="E714:E1320">
    <cfRule type="cellIs" dxfId="140" priority="16" stopIfTrue="1" operator="equal">
      <formula>0</formula>
    </cfRule>
  </conditionalFormatting>
  <conditionalFormatting sqref="E714:F1320">
    <cfRule type="cellIs" dxfId="139" priority="15" operator="equal">
      <formula>0</formula>
    </cfRule>
  </conditionalFormatting>
  <conditionalFormatting sqref="D12:E710">
    <cfRule type="cellIs" dxfId="138" priority="14" operator="equal">
      <formula>0</formula>
    </cfRule>
  </conditionalFormatting>
  <conditionalFormatting sqref="G12:G711">
    <cfRule type="cellIs" dxfId="137" priority="12" stopIfTrue="1" operator="equal">
      <formula>0</formula>
    </cfRule>
  </conditionalFormatting>
  <conditionalFormatting sqref="G12:G711">
    <cfRule type="cellIs" dxfId="136" priority="11" operator="equal">
      <formula>0</formula>
    </cfRule>
  </conditionalFormatting>
  <conditionalFormatting sqref="L1:L6">
    <cfRule type="cellIs" dxfId="135" priority="10" operator="equal">
      <formula>0</formula>
    </cfRule>
  </conditionalFormatting>
  <conditionalFormatting sqref="L10:L11">
    <cfRule type="cellIs" dxfId="134" priority="9" stopIfTrue="1" operator="equal">
      <formula>0</formula>
    </cfRule>
  </conditionalFormatting>
  <conditionalFormatting sqref="L712:L65536 L10:L11">
    <cfRule type="cellIs" dxfId="133" priority="8" operator="equal">
      <formula>0</formula>
    </cfRule>
  </conditionalFormatting>
  <conditionalFormatting sqref="L12:L711">
    <cfRule type="cellIs" dxfId="132" priority="6" operator="equal">
      <formula>0</formula>
    </cfRule>
  </conditionalFormatting>
  <conditionalFormatting sqref="L12:L711">
    <cfRule type="cellIs" dxfId="131" priority="7" stopIfTrue="1" operator="equal">
      <formula>0</formula>
    </cfRule>
  </conditionalFormatting>
  <conditionalFormatting sqref="K1:K7">
    <cfRule type="cellIs" dxfId="130" priority="5" operator="equal">
      <formula>0</formula>
    </cfRule>
  </conditionalFormatting>
  <conditionalFormatting sqref="K10:K11 K7">
    <cfRule type="cellIs" dxfId="129" priority="4" stopIfTrue="1" operator="equal">
      <formula>0</formula>
    </cfRule>
  </conditionalFormatting>
  <conditionalFormatting sqref="K712:K65536 K10:K11">
    <cfRule type="cellIs" dxfId="128" priority="3" operator="equal">
      <formula>0</formula>
    </cfRule>
  </conditionalFormatting>
  <conditionalFormatting sqref="K12:K711">
    <cfRule type="cellIs" dxfId="127" priority="1" operator="equal">
      <formula>0</formula>
    </cfRule>
  </conditionalFormatting>
  <conditionalFormatting sqref="K12:K711">
    <cfRule type="cellIs" dxfId="126" priority="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F26" sqref="F26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0" t="s">
        <v>1127</v>
      </c>
      <c r="C4" s="550"/>
      <c r="D4" s="550"/>
      <c r="E4" s="550"/>
      <c r="F4" s="550"/>
      <c r="G4" s="550"/>
      <c r="H4" s="550"/>
      <c r="I4" s="550"/>
      <c r="J4" s="550"/>
      <c r="K4" s="55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3" t="str">
        <f>RAB!G6</f>
        <v>AGS KUSTIANAH</v>
      </c>
      <c r="H6" s="543"/>
      <c r="I6" s="543"/>
      <c r="J6" s="543"/>
      <c r="K6" s="543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CANGKRING KEC. KARANGANYAR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51" t="s">
        <v>0</v>
      </c>
      <c r="C11" s="553" t="s">
        <v>1</v>
      </c>
      <c r="D11" s="556" t="s">
        <v>42</v>
      </c>
      <c r="E11" s="556" t="s">
        <v>43</v>
      </c>
      <c r="F11" s="556" t="s">
        <v>2</v>
      </c>
      <c r="G11" s="557" t="s">
        <v>41</v>
      </c>
      <c r="H11" s="556" t="s">
        <v>3</v>
      </c>
      <c r="I11" s="556"/>
      <c r="J11" s="556"/>
      <c r="K11" s="560"/>
      <c r="M11" s="33"/>
      <c r="N11" s="33"/>
      <c r="O11" s="33"/>
      <c r="P11" s="33"/>
      <c r="R11" s="34"/>
      <c r="S11" s="74"/>
      <c r="T11" s="74"/>
    </row>
    <row r="12" spans="1:21" ht="15" customHeight="1">
      <c r="B12" s="552"/>
      <c r="C12" s="554"/>
      <c r="D12" s="546"/>
      <c r="E12" s="546"/>
      <c r="F12" s="546"/>
      <c r="G12" s="558"/>
      <c r="H12" s="548" t="s">
        <v>46</v>
      </c>
      <c r="I12" s="548" t="s">
        <v>5</v>
      </c>
      <c r="J12" s="546" t="s">
        <v>47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2"/>
      <c r="C13" s="555"/>
      <c r="D13" s="546"/>
      <c r="E13" s="546"/>
      <c r="F13" s="546"/>
      <c r="G13" s="559"/>
      <c r="H13" s="549"/>
      <c r="I13" s="549"/>
      <c r="J13" s="546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3382600</v>
      </c>
      <c r="J16" s="42">
        <f t="shared" ca="1" si="3"/>
        <v>0</v>
      </c>
      <c r="K16" s="43">
        <f t="shared" ca="1" si="0"/>
        <v>3382600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12M-350 daN+E</v>
      </c>
      <c r="D17" s="101" t="str">
        <f ca="1">IF(ISERROR(OFFSET('HARGA SATUAN'!$D$6,MATCH(C17,'HARGA SATUAN'!$C$7:$C$1492,0),0)),"",OFFSET('HARGA SATUAN'!$D$6,MATCH(C17,'HARGA SATUAN'!$C$7:$C$1492,0),0))</f>
        <v>HDW</v>
      </c>
      <c r="E17" s="101" t="str">
        <f ca="1">IF(B17="+","Unit",IF(ISERROR(OFFSET('HARGA SATUAN'!$E$6,MATCH(C17,'HARGA SATUAN'!$C$7:$C$1492,0),0)),"",OFFSET('HARGA SATUAN'!$E$6,MATCH(C17,'HARGA SATUAN'!$C$7:$C$1492,0),0)))</f>
        <v>Btg</v>
      </c>
      <c r="F17" s="101">
        <f t="shared" ca="1" si="5"/>
        <v>1</v>
      </c>
      <c r="G17" s="41">
        <f ca="1">IF(ISERROR(OFFSET('HARGA SATUAN'!$I$6,MATCH(C17,'HARGA SATUAN'!$C$7:$C$1492,0),0)),"",OFFSET('HARGA SATUAN'!$I$6,MATCH(C17,'HARGA SATUAN'!$C$7:$C$1492,0),0))</f>
        <v>6074400</v>
      </c>
      <c r="H17" s="42">
        <f t="shared" ca="1" si="1"/>
        <v>0</v>
      </c>
      <c r="I17" s="42">
        <f t="shared" ca="1" si="2"/>
        <v>6074400</v>
      </c>
      <c r="J17" s="42">
        <f t="shared" ca="1" si="3"/>
        <v>0</v>
      </c>
      <c r="K17" s="43">
        <f t="shared" ca="1" si="0"/>
        <v>6074400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4" t="s">
        <v>1008</v>
      </c>
      <c r="D38" s="544"/>
      <c r="E38" s="544"/>
      <c r="F38" s="544"/>
      <c r="G38" s="77" t="s">
        <v>9</v>
      </c>
      <c r="H38" s="55">
        <f ca="1">SUM(H14:H37)</f>
        <v>0</v>
      </c>
      <c r="I38" s="55">
        <f ca="1">SUM(I14:I37)</f>
        <v>9457000</v>
      </c>
      <c r="J38" s="55">
        <f ca="1">SUM(J14:J37)</f>
        <v>0</v>
      </c>
      <c r="K38" s="55">
        <f ca="1">SUM(K14:K37)</f>
        <v>9457000</v>
      </c>
      <c r="L38" s="44"/>
      <c r="R38" s="99"/>
      <c r="S38" s="99"/>
      <c r="T38" s="99"/>
    </row>
    <row r="39" spans="1:20" s="36" customFormat="1">
      <c r="A39" s="30"/>
      <c r="B39" s="56"/>
      <c r="C39" s="545" t="s">
        <v>462</v>
      </c>
      <c r="D39" s="545"/>
      <c r="E39" s="545"/>
      <c r="F39" s="545"/>
      <c r="G39" s="59" t="s">
        <v>9</v>
      </c>
      <c r="H39" s="60">
        <f ca="1">H38*0.1</f>
        <v>0</v>
      </c>
      <c r="I39" s="60">
        <f ca="1">I38*0.1</f>
        <v>945700</v>
      </c>
      <c r="J39" s="60">
        <f ca="1">J38*0.1</f>
        <v>0</v>
      </c>
      <c r="K39" s="60">
        <f ca="1">K38*0.1</f>
        <v>945700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4" t="s">
        <v>463</v>
      </c>
      <c r="D40" s="534"/>
      <c r="E40" s="534"/>
      <c r="F40" s="534"/>
      <c r="G40" s="61" t="s">
        <v>9</v>
      </c>
      <c r="H40" s="78">
        <f ca="1">SUM(H38:H39)</f>
        <v>0</v>
      </c>
      <c r="I40" s="78">
        <f ca="1">SUM(I38:I39)</f>
        <v>10402700</v>
      </c>
      <c r="J40" s="61">
        <f ca="1">SUM(J38:J39)</f>
        <v>0</v>
      </c>
      <c r="K40" s="61">
        <f ca="1">SUM(K38:K39)</f>
        <v>10402700</v>
      </c>
      <c r="L40" s="44"/>
      <c r="R40" s="99"/>
      <c r="S40" s="99"/>
      <c r="T40" s="99"/>
    </row>
    <row r="41" spans="1:20" s="36" customFormat="1">
      <c r="A41" s="30"/>
      <c r="B41" s="537" t="e">
        <f ca="1">"Terbilang : ( "&amp;L42&amp;" Rupiah )"</f>
        <v>#NAME?</v>
      </c>
      <c r="C41" s="538"/>
      <c r="D41" s="538"/>
      <c r="E41" s="538"/>
      <c r="F41" s="538"/>
      <c r="G41" s="538"/>
      <c r="H41" s="538"/>
      <c r="I41" s="538"/>
      <c r="J41" s="538"/>
      <c r="K41" s="539"/>
      <c r="L41" s="44"/>
      <c r="R41" s="58"/>
      <c r="S41" s="58"/>
      <c r="T41" s="58"/>
    </row>
    <row r="42" spans="1:20" s="36" customFormat="1">
      <c r="A42" s="30"/>
      <c r="B42" s="540"/>
      <c r="C42" s="541"/>
      <c r="D42" s="541"/>
      <c r="E42" s="541"/>
      <c r="F42" s="541"/>
      <c r="G42" s="541"/>
      <c r="H42" s="541"/>
      <c r="I42" s="541"/>
      <c r="J42" s="541"/>
      <c r="K42" s="542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5"/>
      <c r="I45" s="535"/>
      <c r="J45" s="536"/>
      <c r="K45" s="536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5"/>
      <c r="I46" s="535"/>
      <c r="J46" s="536"/>
      <c r="K46" s="536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5"/>
      <c r="I47" s="535"/>
      <c r="J47" s="536"/>
      <c r="K47" s="536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5"/>
      <c r="I52" s="535"/>
      <c r="J52" s="536"/>
      <c r="K52" s="536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SUMIFS(RAB!$F$14:$F$130,RAB!$C$14:$C$130,'REKAP TIANG'!C57)</f>
        <v>1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SUMIFS(RAB!$F$14:$F$130,RAB!$C$14:$C$130,'REKAP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SUMIFS(RAB!$F$14:$F$130,RAB!$C$14:$C$130,'REKAP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SUMIFS(RAB!$F$14:$F$130,RAB!$C$14:$C$130,'REKAP TIANG'!C60)</f>
        <v>1</v>
      </c>
      <c r="E60" s="24">
        <f t="shared" ca="1" si="12"/>
        <v>1</v>
      </c>
      <c r="F60" s="24">
        <f ca="1">IF(D60=0,0,SUM($E$56:E60))</f>
        <v>2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SUMIFS(RAB!$F$14:$F$130,RAB!$C$14:$C$130,'REKAP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SUMIFS(RAB!$F$14:$F$130,RAB!$C$14:$C$130,'REKAP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SUMIFS(RAB!$F$14:$F$130,RAB!$C$14:$C$130,'REKAP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SUMIFS(RAB!$F$14:$F$130,RAB!$C$14:$C$130,'REKAP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SUMIFS(RAB!$F$14:$F$130,RAB!$C$14:$C$130,'REKAP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SUMIFS(RAB!$F$14:$F$130,RAB!$C$14:$C$130,'REKAP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SUMIFS(RAB!$F$14:$F$130,RAB!$C$14:$C$130,'REKAP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SUMIFS(RAB!$F$14:$F$130,RAB!$C$14:$C$130,'REKAP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SUMIFS(RAB!$F$14:$F$130,RAB!$C$14:$C$130,'REKAP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SUMIFS(RAB!$F$14:$F$130,RAB!$C$14:$C$130,'REKAP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SUMIFS(RAB!$F$14:$F$130,RAB!$C$14:$C$130,'REKAP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SUMIFS(RAB!$F$14:$F$130,RAB!$C$14:$C$130,'REKAP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SUMIFS(RAB!$F$14:$F$130,RAB!$C$14:$C$130,'REKAP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SUMIFS(RAB!$F$14:$F$130,RAB!$C$14:$C$130,'REKAP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SUMIFS(RAB!$F$14:$F$130,RAB!$C$14:$C$130,'REKAP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SUMIFS(RAB!$F$14:$F$130,RAB!$C$14:$C$130,'REKAP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E37:F37 H37:K37 F36:K36 N13 H12:I12 F14:F15 E1:E3 F17:F35 H14:K35 C16:C35 R14:T36 G37:G65536 E41:E65536 G1:G35 E6:E15">
    <cfRule type="cellIs" dxfId="125" priority="4" stopIfTrue="1" operator="equal">
      <formula>0</formula>
    </cfRule>
  </conditionalFormatting>
  <conditionalFormatting sqref="G7:IV9 G6 L6:IV6 A10:XFD65536 A6:E9 A1:XFD5">
    <cfRule type="cellIs" dxfId="124" priority="2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50" t="s">
        <v>1034</v>
      </c>
      <c r="C4" s="550"/>
      <c r="D4" s="550"/>
      <c r="E4" s="550"/>
      <c r="F4" s="550"/>
      <c r="G4" s="550"/>
      <c r="H4" s="550"/>
      <c r="I4" s="550"/>
      <c r="J4" s="550"/>
      <c r="K4" s="55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3" t="str">
        <f>RAB!G6</f>
        <v>AGS KUSTIANAH</v>
      </c>
      <c r="H6" s="543"/>
      <c r="I6" s="543"/>
      <c r="J6" s="543"/>
      <c r="K6" s="543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CANGKRING KEC. KARANGANYAR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51" t="s">
        <v>0</v>
      </c>
      <c r="C11" s="553" t="s">
        <v>1</v>
      </c>
      <c r="D11" s="556" t="s">
        <v>42</v>
      </c>
      <c r="E11" s="556" t="s">
        <v>43</v>
      </c>
      <c r="F11" s="556" t="s">
        <v>2</v>
      </c>
      <c r="G11" s="557" t="s">
        <v>41</v>
      </c>
      <c r="H11" s="556" t="s">
        <v>3</v>
      </c>
      <c r="I11" s="556"/>
      <c r="J11" s="556"/>
      <c r="K11" s="560"/>
      <c r="M11" s="33"/>
      <c r="N11" s="33"/>
      <c r="O11" s="33"/>
      <c r="P11" s="33"/>
      <c r="R11" s="34"/>
      <c r="S11" s="74"/>
      <c r="T11" s="74"/>
    </row>
    <row r="12" spans="1:21" ht="15" customHeight="1">
      <c r="B12" s="552"/>
      <c r="C12" s="554"/>
      <c r="D12" s="546"/>
      <c r="E12" s="546"/>
      <c r="F12" s="546"/>
      <c r="G12" s="558"/>
      <c r="H12" s="548" t="s">
        <v>46</v>
      </c>
      <c r="I12" s="548" t="s">
        <v>5</v>
      </c>
      <c r="J12" s="546" t="s">
        <v>47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52"/>
      <c r="C13" s="555"/>
      <c r="D13" s="546"/>
      <c r="E13" s="546"/>
      <c r="F13" s="546"/>
      <c r="G13" s="559"/>
      <c r="H13" s="549"/>
      <c r="I13" s="549"/>
      <c r="J13" s="546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66 kVA MCCB 100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13644300</v>
      </c>
      <c r="H17" s="42">
        <f t="shared" ca="1" si="1"/>
        <v>13644300</v>
      </c>
      <c r="I17" s="42">
        <f t="shared" ca="1" si="2"/>
        <v>0</v>
      </c>
      <c r="J17" s="42">
        <f t="shared" ca="1" si="3"/>
        <v>0</v>
      </c>
      <c r="K17" s="43">
        <f t="shared" ca="1" si="0"/>
        <v>13644300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100 kVA Yzn5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31630800</v>
      </c>
      <c r="H18" s="42">
        <f t="shared" ca="1" si="1"/>
        <v>31630800</v>
      </c>
      <c r="I18" s="42">
        <f t="shared" ca="1" si="2"/>
        <v>0</v>
      </c>
      <c r="J18" s="42">
        <f t="shared" ca="1" si="3"/>
        <v>0</v>
      </c>
      <c r="K18" s="43">
        <f t="shared" ca="1" si="0"/>
        <v>31630800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Tumpu ( Pin Post ) 20 KV Porcelein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Bh</v>
      </c>
      <c r="F21" s="101">
        <f t="shared" ca="1" si="6"/>
        <v>1</v>
      </c>
      <c r="G21" s="41">
        <f ca="1">IF(ISERROR(OFFSET('HARGA SATUAN'!$I$6,MATCH(C21,'HARGA SATUAN'!$C$7:$C$1492,0),0)),"",OFFSET('HARGA SATUAN'!$I$6,MATCH(C21,'HARGA SATUAN'!$C$7:$C$1492,0),0))</f>
        <v>235900</v>
      </c>
      <c r="H21" s="42">
        <f t="shared" ca="1" si="1"/>
        <v>235900</v>
      </c>
      <c r="I21" s="42">
        <f t="shared" ca="1" si="2"/>
        <v>0</v>
      </c>
      <c r="J21" s="42">
        <f t="shared" ca="1" si="3"/>
        <v>0</v>
      </c>
      <c r="K21" s="43">
        <f t="shared" ca="1" si="0"/>
        <v>235900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AAAC 70 mm²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9</v>
      </c>
      <c r="G22" s="41">
        <f ca="1">IF(ISERROR(OFFSET('HARGA SATUAN'!$I$6,MATCH(C22,'HARGA SATUAN'!$C$7:$C$1492,0),0)),"",OFFSET('HARGA SATUAN'!$I$6,MATCH(C22,'HARGA SATUAN'!$C$7:$C$1492,0),0))</f>
        <v>14200</v>
      </c>
      <c r="H22" s="42">
        <f t="shared" ca="1" si="1"/>
        <v>127800</v>
      </c>
      <c r="I22" s="42">
        <f t="shared" ca="1" si="2"/>
        <v>0</v>
      </c>
      <c r="J22" s="42">
        <f t="shared" ca="1" si="3"/>
        <v>0</v>
      </c>
      <c r="K22" s="43">
        <f t="shared" ca="1" si="0"/>
        <v>127800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NFA2X-T 2 x 70 + N 70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3</v>
      </c>
      <c r="G23" s="41">
        <f ca="1">IF(ISERROR(OFFSET('HARGA SATUAN'!$I$6,MATCH(C23,'HARGA SATUAN'!$C$7:$C$1492,0),0)),"",OFFSET('HARGA SATUAN'!$I$6,MATCH(C23,'HARGA SATUAN'!$C$7:$C$1492,0),0))</f>
        <v>53300</v>
      </c>
      <c r="H23" s="42">
        <f t="shared" ca="1" si="1"/>
        <v>159900</v>
      </c>
      <c r="I23" s="42">
        <f t="shared" ca="1" si="2"/>
        <v>0</v>
      </c>
      <c r="J23" s="42">
        <f t="shared" ca="1" si="3"/>
        <v>0</v>
      </c>
      <c r="K23" s="43">
        <f t="shared" ca="1" si="0"/>
        <v>159900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NFA2X-T 3x70+1x70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01">
        <f t="shared" ca="1" si="6"/>
        <v>120</v>
      </c>
      <c r="G24" s="41">
        <f ca="1">IF(ISERROR(OFFSET('HARGA SATUAN'!$I$6,MATCH(C24,'HARGA SATUAN'!$C$7:$C$1492,0),0)),"",OFFSET('HARGA SATUAN'!$I$6,MATCH(C24,'HARGA SATUAN'!$C$7:$C$1492,0),0))</f>
        <v>54500</v>
      </c>
      <c r="H24" s="42">
        <f t="shared" ca="1" si="1"/>
        <v>6540000</v>
      </c>
      <c r="I24" s="42">
        <f t="shared" ca="1" si="2"/>
        <v>0</v>
      </c>
      <c r="J24" s="42">
        <f t="shared" ca="1" si="3"/>
        <v>0</v>
      </c>
      <c r="K24" s="43">
        <f t="shared" ca="1" si="0"/>
        <v>6540000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>
        <f t="shared" ca="1" si="4"/>
        <v>10</v>
      </c>
      <c r="C25" s="109" t="str">
        <f t="shared" ca="1" si="5"/>
        <v>Kabel NYY 4 x 70 mm²</v>
      </c>
      <c r="D25" s="101" t="str">
        <f ca="1">IF(ISERROR(OFFSET('HARGA SATUAN'!$D$6,MATCH(C25,'HARGA SATUAN'!$C$7:$C$1492,0),0)),"",OFFSET('HARGA SATUAN'!$D$6,MATCH(C25,'HARGA SATUAN'!$C$7:$C$1492,0),0))</f>
        <v>MDU-KD</v>
      </c>
      <c r="E25" s="101" t="str">
        <f ca="1">IF(B25="+","Unit",IF(ISERROR(OFFSET('HARGA SATUAN'!$E$6,MATCH(C25,'HARGA SATUAN'!$C$7:$C$1492,0),0)),"",OFFSET('HARGA SATUAN'!$E$6,MATCH(C25,'HARGA SATUAN'!$C$7:$C$1492,0),0)))</f>
        <v>Mtr</v>
      </c>
      <c r="F25" s="101">
        <f t="shared" ca="1" si="6"/>
        <v>12</v>
      </c>
      <c r="G25" s="41">
        <f ca="1">IF(ISERROR(OFFSET('HARGA SATUAN'!$I$6,MATCH(C25,'HARGA SATUAN'!$C$7:$C$1492,0),0)),"",OFFSET('HARGA SATUAN'!$I$6,MATCH(C25,'HARGA SATUAN'!$C$7:$C$1492,0),0))</f>
        <v>421400</v>
      </c>
      <c r="H25" s="42">
        <f t="shared" ca="1" si="1"/>
        <v>5056800</v>
      </c>
      <c r="I25" s="42">
        <f t="shared" ca="1" si="2"/>
        <v>0</v>
      </c>
      <c r="J25" s="42">
        <f t="shared" ca="1" si="3"/>
        <v>0</v>
      </c>
      <c r="K25" s="43">
        <f t="shared" ca="1" si="0"/>
        <v>5056800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4" t="s">
        <v>1008</v>
      </c>
      <c r="D168" s="544"/>
      <c r="E168" s="544"/>
      <c r="F168" s="544"/>
      <c r="G168" s="77" t="s">
        <v>9</v>
      </c>
      <c r="H168" s="55">
        <f ca="1">SUM(H14:H167)</f>
        <v>63622150</v>
      </c>
      <c r="I168" s="55">
        <f ca="1">SUM(I14:I167)</f>
        <v>0</v>
      </c>
      <c r="J168" s="55">
        <f ca="1">SUM(J14:J167)</f>
        <v>0</v>
      </c>
      <c r="K168" s="55">
        <f ca="1">SUM(K14:K167)</f>
        <v>63622150</v>
      </c>
      <c r="L168" s="44"/>
      <c r="R168" s="99"/>
      <c r="S168" s="99"/>
      <c r="T168" s="99"/>
    </row>
    <row r="169" spans="1:20" s="36" customFormat="1">
      <c r="A169" s="30"/>
      <c r="B169" s="56"/>
      <c r="C169" s="545" t="s">
        <v>462</v>
      </c>
      <c r="D169" s="545"/>
      <c r="E169" s="545"/>
      <c r="F169" s="545"/>
      <c r="G169" s="59" t="s">
        <v>9</v>
      </c>
      <c r="H169" s="60">
        <f ca="1">H168*0.1</f>
        <v>6362215</v>
      </c>
      <c r="I169" s="60">
        <f ca="1">I168*0.1</f>
        <v>0</v>
      </c>
      <c r="J169" s="60">
        <f ca="1">J168*0.1</f>
        <v>0</v>
      </c>
      <c r="K169" s="60">
        <f ca="1">K168*0.1</f>
        <v>6362215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4" t="s">
        <v>463</v>
      </c>
      <c r="D170" s="534"/>
      <c r="E170" s="534"/>
      <c r="F170" s="534"/>
      <c r="G170" s="61" t="s">
        <v>9</v>
      </c>
      <c r="H170" s="78">
        <f ca="1">SUM(H168:H169)</f>
        <v>69984365</v>
      </c>
      <c r="I170" s="78">
        <f ca="1">SUM(I168:I169)</f>
        <v>0</v>
      </c>
      <c r="J170" s="61">
        <f ca="1">SUM(J168:J169)</f>
        <v>0</v>
      </c>
      <c r="K170" s="61">
        <f ca="1">SUM(K168:K169)</f>
        <v>69984365</v>
      </c>
      <c r="L170" s="44"/>
      <c r="R170" s="99"/>
      <c r="S170" s="99"/>
      <c r="T170" s="99"/>
    </row>
    <row r="171" spans="1:20" s="36" customFormat="1">
      <c r="A171" s="30"/>
      <c r="B171" s="537" t="e">
        <f ca="1">"Terbilang : ( "&amp;L172&amp;" Rupiah )"</f>
        <v>#NAME?</v>
      </c>
      <c r="C171" s="538"/>
      <c r="D171" s="538"/>
      <c r="E171" s="538"/>
      <c r="F171" s="538"/>
      <c r="G171" s="538"/>
      <c r="H171" s="538"/>
      <c r="I171" s="538"/>
      <c r="J171" s="538"/>
      <c r="K171" s="539"/>
      <c r="L171" s="44"/>
      <c r="R171" s="58"/>
      <c r="S171" s="58"/>
      <c r="T171" s="58"/>
    </row>
    <row r="172" spans="1:20" s="36" customFormat="1">
      <c r="A172" s="30"/>
      <c r="B172" s="540"/>
      <c r="C172" s="541"/>
      <c r="D172" s="541"/>
      <c r="E172" s="541"/>
      <c r="F172" s="541"/>
      <c r="G172" s="541"/>
      <c r="H172" s="541"/>
      <c r="I172" s="541"/>
      <c r="J172" s="541"/>
      <c r="K172" s="542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5"/>
      <c r="I175" s="535"/>
      <c r="J175" s="536"/>
      <c r="K175" s="536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5"/>
      <c r="I176" s="535"/>
      <c r="J176" s="536"/>
      <c r="K176" s="536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5"/>
      <c r="I177" s="535"/>
      <c r="J177" s="536"/>
      <c r="K177" s="536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5"/>
      <c r="I182" s="535"/>
      <c r="J182" s="536"/>
      <c r="K182" s="536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SUMIFS(RAB!$F$14:$F$130,RAB!$C$14:$C$130,C224)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SUMIFS(RAB!$F$14:$F$130,RAB!$C$14:$C$130,C225)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SUMIFS(RAB!$F$14:$F$130,RAB!$C$14:$C$130,C226)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SUMIFS(RAB!$F$14:$F$130,RAB!$C$14:$C$130,C227)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SUMIFS(RAB!$F$14:$F$130,RAB!$C$14:$C$130,C228)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SUMIFS(RAB!$F$14:$F$130,RAB!$C$14:$C$130,C229)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SUMIFS(RAB!$F$14:$F$130,RAB!$C$14:$C$130,C230)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SUMIFS(RAB!$F$14:$F$130,RAB!$C$14:$C$130,C231)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SUMIFS(RAB!$F$14:$F$130,RAB!$C$14:$C$130,C232)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SUMIFS(RAB!$F$14:$F$130,RAB!$C$14:$C$130,C233)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SUMIFS(RAB!$F$14:$F$130,RAB!$C$14:$C$130,C234)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SUMIFS(RAB!$F$14:$F$130,RAB!$C$14:$C$130,C235)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SUMIFS(RAB!$F$14:$F$130,RAB!$C$14:$C$130,C236)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SUMIFS(RAB!$F$14:$F$130,RAB!$C$14:$C$130,C237)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SUMIFS(RAB!$F$14:$F$130,RAB!$C$14:$C$130,C238)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SUMIFS(RAB!$F$14:$F$130,RAB!$C$14:$C$130,C239)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SUMIFS(RAB!$F$14:$F$130,RAB!$C$14:$C$130,C240)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SUMIFS(RAB!$F$14:$F$130,RAB!$C$14:$C$130,C241)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SUMIFS(RAB!$F$14:$F$130,RAB!$C$14:$C$130,C242)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SUMIFS(RAB!$F$14:$F$130,RAB!$C$14:$C$130,C243)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SUMIFS(RAB!$F$14:$F$130,RAB!$C$14:$C$130,C244)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SUMIFS(RAB!$F$14:$F$130,RAB!$C$14:$C$130,C245)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SUMIFS(RAB!$F$14:$F$130,RAB!$C$14:$C$130,C246)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SUMIFS(RAB!$F$14:$F$130,RAB!$C$14:$C$130,C247)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SUMIFS(RAB!$F$14:$F$130,RAB!$C$14:$C$130,C248)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SUMIFS(RAB!$F$14:$F$130,RAB!$C$14:$C$130,C249)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SUMIFS(RAB!$F$14:$F$130,RAB!$C$14:$C$130,C250)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SUMIFS(RAB!$F$14:$F$130,RAB!$C$14:$C$130,C251)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SUMIFS(RAB!$F$14:$F$130,RAB!$C$14:$C$130,C252)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SUMIFS(RAB!$F$14:$F$130,RAB!$C$14:$C$130,C253)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SUMIFS(RAB!$F$14:$F$130,RAB!$C$14:$C$130,C254)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SUMIFS(RAB!$F$14:$F$130,RAB!$C$14:$C$130,C255)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SUMIFS(RAB!$F$14:$F$130,RAB!$C$14:$C$130,C256)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SUMIFS(RAB!$F$14:$F$130,RAB!$C$14:$C$130,C257)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SUMIFS(RAB!$F$14:$F$130,RAB!$C$14:$C$130,C258)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SUMIFS(RAB!$F$14:$F$130,RAB!$C$14:$C$130,C259)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SUMIFS(RAB!$F$14:$F$130,RAB!$C$14:$C$130,C260)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SUMIFS(RAB!$F$14:$F$130,RAB!$C$14:$C$130,C261)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SUMIFS(RAB!$F$14:$F$130,RAB!$C$14:$C$130,C262)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SUMIFS(RAB!$F$14:$F$130,RAB!$C$14:$C$130,C263)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SUMIFS(RAB!$F$14:$F$130,RAB!$C$14:$C$130,C264)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SUMIFS(RAB!$F$14:$F$130,RAB!$C$14:$C$130,C265)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SUMIFS(RAB!$F$14:$F$130,RAB!$C$14:$C$130,C266)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SUMIFS(RAB!$F$14:$F$130,RAB!$C$14:$C$130,C267)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SUMIFS(RAB!$F$14:$F$130,RAB!$C$14:$C$130,C268)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SUMIFS(RAB!$F$14:$F$130,RAB!$C$14:$C$130,C269)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SUMIFS(RAB!$F$14:$F$130,RAB!$C$14:$C$130,C270)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SUMIFS(RAB!$F$14:$F$130,RAB!$C$14:$C$130,C271)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SUMIFS(RAB!$F$14:$F$130,RAB!$C$14:$C$130,C272)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SUMIFS(RAB!$F$14:$F$130,RAB!$C$14:$C$130,C273)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SUMIFS(RAB!$F$14:$F$130,RAB!$C$14:$C$130,C274)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SUMIFS(RAB!$F$14:$F$130,RAB!$C$14:$C$130,C275)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SUMIFS(RAB!$F$14:$F$130,RAB!$C$14:$C$130,C276)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SUMIFS(RAB!$F$14:$F$130,RAB!$C$14:$C$130,C277)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SUMIFS(RAB!$F$14:$F$130,RAB!$C$14:$C$130,C278)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SUMIFS(RAB!$F$14:$F$130,RAB!$C$14:$C$130,C279)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SUMIFS(RAB!$F$14:$F$130,RAB!$C$14:$C$130,C280)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SUMIFS(RAB!$F$14:$F$130,RAB!$C$14:$C$130,C281)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SUMIFS(RAB!$F$14:$F$130,RAB!$C$14:$C$130,C282)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SUMIFS(RAB!$F$14:$F$130,RAB!$C$14:$C$130,C283)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SUMIFS(RAB!$F$14:$F$130,RAB!$C$14:$C$130,C284)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SUMIFS(RAB!$F$14:$F$130,RAB!$C$14:$C$130,C285)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SUMIFS(RAB!$F$14:$F$130,RAB!$C$14:$C$130,C286)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SUMIFS(RAB!$F$14:$F$130,RAB!$C$14:$C$130,C287)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SUMIFS(RAB!$F$14:$F$130,RAB!$C$14:$C$130,C288)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SUMIFS(RAB!$F$14:$F$130,RAB!$C$14:$C$130,C289)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SUMIFS(RAB!$F$14:$F$130,RAB!$C$14:$C$130,C290)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SUMIFS(RAB!$F$14:$F$130,RAB!$C$14:$C$130,C291)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SUMIFS(RAB!$F$14:$F$130,RAB!$C$14:$C$130,C292)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SUMIFS(RAB!$F$14:$F$130,RAB!$C$14:$C$130,C293)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SUMIFS(RAB!$F$14:$F$130,RAB!$C$14:$C$130,C294)</f>
        <v>1</v>
      </c>
      <c r="E294" s="24">
        <f t="shared" ca="1" si="22"/>
        <v>1</v>
      </c>
      <c r="F294" s="24">
        <f ca="1">IF(D294=0,0,SUM($E$223:E294))</f>
        <v>2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SUMIFS(RAB!$F$14:$F$130,RAB!$C$14:$C$130,C295)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SUMIFS(RAB!$F$14:$F$130,RAB!$C$14:$C$130,C296)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SUMIFS(RAB!$F$14:$F$130,RAB!$C$14:$C$130,C297)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SUMIFS(RAB!$F$14:$F$130,RAB!$C$14:$C$130,C298)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SUMIFS(RAB!$F$14:$F$130,RAB!$C$14:$C$130,C299)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SUMIFS(RAB!$F$14:$F$130,RAB!$C$14:$C$130,C300)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SUMIFS(RAB!$F$14:$F$130,RAB!$C$14:$C$130,C301)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SUMIFS(RAB!$F$14:$F$130,RAB!$C$14:$C$130,C302)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SUMIFS(RAB!$F$14:$F$130,RAB!$C$14:$C$130,C303)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SUMIFS(RAB!$F$14:$F$130,RAB!$C$14:$C$130,C304)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SUMIFS(RAB!$F$14:$F$130,RAB!$C$14:$C$130,C305)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SUMIFS(RAB!$F$14:$F$130,RAB!$C$14:$C$130,C306)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SUMIFS(RAB!$F$14:$F$130,RAB!$C$14:$C$130,C307)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SUMIFS(RAB!$F$14:$F$130,RAB!$C$14:$C$130,C308)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SUMIFS(RAB!$F$14:$F$130,RAB!$C$14:$C$130,C309)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SUMIFS(RAB!$F$14:$F$130,RAB!$C$14:$C$130,C310)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SUMIFS(RAB!$F$14:$F$130,RAB!$C$14:$C$130,C311)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SUMIFS(RAB!$F$14:$F$130,RAB!$C$14:$C$130,C312)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SUMIFS(RAB!$F$14:$F$130,RAB!$C$14:$C$130,C313)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SUMIFS(RAB!$F$14:$F$130,RAB!$C$14:$C$130,C314)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SUMIFS(RAB!$F$14:$F$130,RAB!$C$14:$C$130,C315)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SUMIFS(RAB!$F$14:$F$130,RAB!$C$14:$C$130,C316)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SUMIFS(RAB!$F$14:$F$130,RAB!$C$14:$C$130,C317)</f>
        <v>1</v>
      </c>
      <c r="E317" s="24">
        <f t="shared" ca="1" si="22"/>
        <v>1</v>
      </c>
      <c r="F317" s="24">
        <f ca="1">IF(D317=0,0,SUM($E$223:E317))</f>
        <v>3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SUMIFS(RAB!$F$14:$F$130,RAB!$C$14:$C$130,C318)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SUMIFS(RAB!$F$14:$F$130,RAB!$C$14:$C$130,C319)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SUMIFS(RAB!$F$14:$F$130,RAB!$C$14:$C$130,C320)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SUMIFS(RAB!$F$14:$F$130,RAB!$C$14:$C$130,C321)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SUMIFS(RAB!$F$14:$F$130,RAB!$C$14:$C$130,C322)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SUMIFS(RAB!$F$14:$F$130,RAB!$C$14:$C$130,C323)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SUMIFS(RAB!$F$14:$F$130,RAB!$C$14:$C$130,C324)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SUMIFS(RAB!$F$14:$F$130,RAB!$C$14:$C$130,C325)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SUMIFS(RAB!$F$14:$F$130,RAB!$C$14:$C$130,C326)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SUMIFS(RAB!$F$14:$F$130,RAB!$C$14:$C$130,C327)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SUMIFS(RAB!$F$14:$F$130,RAB!$C$14:$C$130,C328)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SUMIFS(RAB!$F$14:$F$130,RAB!$C$14:$C$130,C329)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SUMIFS(RAB!$F$14:$F$130,RAB!$C$14:$C$130,C330)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SUMIFS(RAB!$F$14:$F$130,RAB!$C$14:$C$130,C331)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SUMIFS(RAB!$F$14:$F$130,RAB!$C$14:$C$130,C332)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SUMIFS(RAB!$F$14:$F$130,RAB!$C$14:$C$130,C333)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SUMIFS(RAB!$F$14:$F$130,RAB!$C$14:$C$130,C334)</f>
        <v>1</v>
      </c>
      <c r="E334" s="24">
        <f t="shared" ca="1" si="22"/>
        <v>1</v>
      </c>
      <c r="F334" s="24">
        <f ca="1">IF(D334=0,0,SUM($E$223:E334))</f>
        <v>6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SUMIFS(RAB!$F$14:$F$130,RAB!$C$14:$C$130,C335)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SUMIFS(RAB!$F$14:$F$130,RAB!$C$14:$C$130,C336)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SUMIFS(RAB!$F$14:$F$130,RAB!$C$14:$C$130,C337)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SUMIFS(RAB!$F$14:$F$130,RAB!$C$14:$C$130,C338)</f>
        <v>9</v>
      </c>
      <c r="E338" s="24">
        <f t="shared" ca="1" si="22"/>
        <v>1</v>
      </c>
      <c r="F338" s="24">
        <f ca="1">IF(D338=0,0,SUM($E$223:E338))</f>
        <v>7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SUMIFS(RAB!$F$14:$F$130,RAB!$C$14:$C$130,C339)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SUMIFS(RAB!$F$14:$F$130,RAB!$C$14:$C$130,C340)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SUMIFS(RAB!$F$14:$F$130,RAB!$C$14:$C$130,C341)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SUMIFS(RAB!$F$14:$F$130,RAB!$C$14:$C$130,C342)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SUMIFS(RAB!$F$14:$F$130,RAB!$C$14:$C$130,C343)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SUMIFS(RAB!$F$14:$F$130,RAB!$C$14:$C$130,C344)</f>
        <v>3</v>
      </c>
      <c r="E344" s="24">
        <f t="shared" ca="1" si="22"/>
        <v>1</v>
      </c>
      <c r="F344" s="24">
        <f ca="1">IF(D344=0,0,SUM($E$223:E344))</f>
        <v>8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SUMIFS(RAB!$F$14:$F$130,RAB!$C$14:$C$130,C345)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SUMIFS(RAB!$F$14:$F$130,RAB!$C$14:$C$130,C346)</f>
        <v>120</v>
      </c>
      <c r="E346" s="24">
        <f t="shared" ca="1" si="22"/>
        <v>1</v>
      </c>
      <c r="F346" s="24">
        <f ca="1">IF(D346=0,0,SUM($E$223:E346))</f>
        <v>9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SUMIFS(RAB!$F$14:$F$130,RAB!$C$14:$C$130,C347)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SUMIFS(RAB!$F$14:$F$130,RAB!$C$14:$C$130,C348)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SUMIFS(RAB!$F$14:$F$130,RAB!$C$14:$C$130,C349)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SUMIFS(RAB!$F$14:$F$130,RAB!$C$14:$C$130,C350)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SUMIFS(RAB!$F$14:$F$130,RAB!$C$14:$C$130,C351)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SUMIFS(RAB!$F$14:$F$130,RAB!$C$14:$C$130,C352)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SUMIFS(RAB!$F$14:$F$130,RAB!$C$14:$C$130,C353)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SUMIFS(RAB!$F$14:$F$130,RAB!$C$14:$C$130,C354)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SUMIFS(RAB!$F$14:$F$130,RAB!$C$14:$C$130,C355)</f>
        <v>12</v>
      </c>
      <c r="E355" s="24">
        <f t="shared" ca="1" si="23"/>
        <v>1</v>
      </c>
      <c r="F355" s="24">
        <f ca="1">IF(D355=0,0,SUM($E$223:E355))</f>
        <v>10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SUMIFS(RAB!$F$14:$F$130,RAB!$C$14:$C$130,C356)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SUMIFS(RAB!$F$14:$F$130,RAB!$C$14:$C$130,C357)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SUMIFS(RAB!$F$14:$F$130,RAB!$C$14:$C$130,C358)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SUMIFS(RAB!$F$14:$F$130,RAB!$C$14:$C$130,C359)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SUMIFS(RAB!$F$14:$F$130,RAB!$C$14:$C$130,C360)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SUMIFS(RAB!$F$14:$F$130,RAB!$C$14:$C$130,C361)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SUMIFS(RAB!$F$14:$F$130,RAB!$C$14:$C$130,C362)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SUMIFS(RAB!$F$14:$F$130,RAB!$C$14:$C$130,C363)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SUMIFS(RAB!$F$14:$F$130,RAB!$C$14:$C$130,C364)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SUMIFS(RAB!$F$14:$F$130,RAB!$C$14:$C$130,C365)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SUMIFS(RAB!$F$14:$F$130,RAB!$C$14:$C$130,C366)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SUMIFS(RAB!$F$14:$F$130,RAB!$C$14:$C$130,C367)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SUMIFS(RAB!$F$14:$F$130,RAB!$C$14:$C$130,C368)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SUMIFS(RAB!$F$14:$F$130,RAB!$C$14:$C$130,C369)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SUMIFS(RAB!$F$14:$F$130,RAB!$C$14:$C$130,C370)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SUMIFS(RAB!$F$14:$F$130,RAB!$C$14:$C$130,C371)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SUMIFS(RAB!$F$14:$F$130,RAB!$C$14:$C$130,C372)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SUMIFS(RAB!$F$14:$F$130,RAB!$C$14:$C$130,C373)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E171:E223 E167:F167 H167:K167 N13 H12:I12 F14:F15 R14:T115 E1:E3 H14:K115 G374:G65536 E374:E65536 G225:G322 G166:G223 E166:K166 R166:T166 G1:G115 E6:E15">
    <cfRule type="cellIs" dxfId="123" priority="43" stopIfTrue="1" operator="equal">
      <formula>0</formula>
    </cfRule>
  </conditionalFormatting>
  <conditionalFormatting sqref="G323:G373">
    <cfRule type="cellIs" dxfId="122" priority="14" stopIfTrue="1" operator="equal">
      <formula>0</formula>
    </cfRule>
  </conditionalFormatting>
  <conditionalFormatting sqref="D224:D373">
    <cfRule type="cellIs" dxfId="121" priority="13" operator="equal">
      <formula>0</formula>
    </cfRule>
  </conditionalFormatting>
  <conditionalFormatting sqref="B116:B165">
    <cfRule type="cellIs" dxfId="120" priority="5" operator="equal">
      <formula>0</formula>
    </cfRule>
  </conditionalFormatting>
  <conditionalFormatting sqref="R116:T165 G116:K165">
    <cfRule type="cellIs" dxfId="119" priority="6" stopIfTrue="1" operator="equal">
      <formula>0</formula>
    </cfRule>
  </conditionalFormatting>
  <conditionalFormatting sqref="G224">
    <cfRule type="cellIs" dxfId="118" priority="10" operator="equal">
      <formula>0</formula>
    </cfRule>
  </conditionalFormatting>
  <conditionalFormatting sqref="E224:E373">
    <cfRule type="cellIs" dxfId="117" priority="9" stopIfTrue="1" operator="equal">
      <formula>0</formula>
    </cfRule>
  </conditionalFormatting>
  <conditionalFormatting sqref="E224:F373">
    <cfRule type="cellIs" dxfId="116" priority="8" operator="equal">
      <formula>0</formula>
    </cfRule>
  </conditionalFormatting>
  <conditionalFormatting sqref="B16:B115 B166">
    <cfRule type="cellIs" dxfId="115" priority="7" operator="equal">
      <formula>0</formula>
    </cfRule>
  </conditionalFormatting>
  <conditionalFormatting sqref="C16:C165">
    <cfRule type="cellIs" dxfId="114" priority="4" stopIfTrue="1" operator="equal">
      <formula>0</formula>
    </cfRule>
  </conditionalFormatting>
  <conditionalFormatting sqref="C16:C165">
    <cfRule type="cellIs" dxfId="113" priority="3" operator="equal">
      <formula>0</formula>
    </cfRule>
  </conditionalFormatting>
  <conditionalFormatting sqref="D16:D165">
    <cfRule type="cellIs" dxfId="112" priority="2" operator="equal">
      <formula>0</formula>
    </cfRule>
  </conditionalFormatting>
  <conditionalFormatting sqref="E16:E165">
    <cfRule type="cellIs" dxfId="111" priority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4"/>
    </row>
    <row r="4" spans="4:4" ht="57" customHeight="1">
      <c r="D4" s="464">
        <v>3</v>
      </c>
    </row>
    <row r="5" spans="4:4" ht="57" customHeight="1">
      <c r="D5" s="464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899" activePane="bottomRight" state="frozen"/>
      <selection activeCell="D209" sqref="D209"/>
      <selection pane="topRight" activeCell="D209" sqref="D209"/>
      <selection pane="bottomLeft" activeCell="D209" sqref="D209"/>
      <selection pane="bottomRight" activeCell="C923" sqref="C923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2" t="s">
        <v>41</v>
      </c>
      <c r="C2" s="562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3" t="s">
        <v>23</v>
      </c>
      <c r="C4" s="564" t="s">
        <v>1012</v>
      </c>
      <c r="D4" s="564" t="s">
        <v>42</v>
      </c>
      <c r="E4" s="563" t="s">
        <v>43</v>
      </c>
      <c r="F4" s="108" t="s">
        <v>1610</v>
      </c>
      <c r="G4" s="108" t="s">
        <v>1609</v>
      </c>
      <c r="H4" s="561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3"/>
      <c r="C5" s="564"/>
      <c r="D5" s="564"/>
      <c r="E5" s="563"/>
      <c r="F5" s="93"/>
      <c r="G5" s="93"/>
      <c r="H5" s="561"/>
      <c r="I5" s="193" t="s">
        <v>1609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1553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1554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1555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1556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1557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1558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1559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1560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1461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1561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1562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1563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1564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1565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1566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1567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1462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1463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1568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1569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1570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1571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1572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1573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1574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1575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1576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1577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1578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1579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1580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1581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1582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1583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1584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1585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1586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1587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1588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1589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1590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1591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1592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1593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1594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1595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1596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1597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1598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1599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1600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1601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1602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1603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1604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1464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1465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1466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1467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1468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1469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1470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92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92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1471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1472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1473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1474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1475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1476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1477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1478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1479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1480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1481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1482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1483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1484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1485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1486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1487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1488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1489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1490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1491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1492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1493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1494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1495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1496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1497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1498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1499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1500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1501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1502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1503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1504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1505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1506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1507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1508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1509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1510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1511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1512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1513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1514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1515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1516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1517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1518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1519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1521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1520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1605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1606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1607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1522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1523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1524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1525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1526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1527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1528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1529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1608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93">
        <v>2740</v>
      </c>
      <c r="G1433" s="493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94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94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94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94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94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D6:K6 D1:IV5 N6:IV6 D7:IV7 Q121:IV1454 J108:P1454 Q108:IV117 I108:I117 A108:A117 A1:C7 I9:IV106 I121:I1404 A1495:XFD65536 H1455:IV1457 H1434:I1454 A8:A106 H8:IV8 A121:A1493 H1458:XFD1485 H1486:H1493 A1494:H1494 I1486:XFD1494">
    <cfRule type="cellIs" dxfId="110" priority="163" operator="equal">
      <formula>0</formula>
    </cfRule>
  </conditionalFormatting>
  <conditionalFormatting sqref="M6">
    <cfRule type="cellIs" dxfId="109" priority="140" operator="equal">
      <formula>0</formula>
    </cfRule>
  </conditionalFormatting>
  <conditionalFormatting sqref="A118:A120 I118:I120 Q118:IV120">
    <cfRule type="cellIs" dxfId="108" priority="139" operator="equal">
      <formula>0</formula>
    </cfRule>
  </conditionalFormatting>
  <conditionalFormatting sqref="A107 I107:IV107">
    <cfRule type="cellIs" dxfId="107" priority="138" operator="equal">
      <formula>0</formula>
    </cfRule>
  </conditionalFormatting>
  <conditionalFormatting sqref="H108:H117 H9:H106 H250:H1404 H121:H246">
    <cfRule type="cellIs" dxfId="106" priority="134" operator="equal">
      <formula>0</formula>
    </cfRule>
  </conditionalFormatting>
  <conditionalFormatting sqref="H118:H120">
    <cfRule type="cellIs" dxfId="105" priority="133" operator="equal">
      <formula>0</formula>
    </cfRule>
  </conditionalFormatting>
  <conditionalFormatting sqref="H107">
    <cfRule type="cellIs" dxfId="104" priority="132" operator="equal">
      <formula>0</formula>
    </cfRule>
  </conditionalFormatting>
  <conditionalFormatting sqref="H247:H249">
    <cfRule type="cellIs" dxfId="103" priority="131" operator="equal">
      <formula>0</formula>
    </cfRule>
  </conditionalFormatting>
  <conditionalFormatting sqref="H1412:H1418 H1419:I1420">
    <cfRule type="cellIs" dxfId="102" priority="130" operator="equal">
      <formula>0</formula>
    </cfRule>
  </conditionalFormatting>
  <conditionalFormatting sqref="H1405:H1411">
    <cfRule type="cellIs" dxfId="101" priority="129" operator="equal">
      <formula>0</formula>
    </cfRule>
  </conditionalFormatting>
  <conditionalFormatting sqref="H1421:I1433">
    <cfRule type="cellIs" dxfId="100" priority="128" operator="equal">
      <formula>0</formula>
    </cfRule>
  </conditionalFormatting>
  <conditionalFormatting sqref="I1405:I1418">
    <cfRule type="cellIs" dxfId="99" priority="125" operator="equal">
      <formula>0</formula>
    </cfRule>
  </conditionalFormatting>
  <conditionalFormatting sqref="D8:G8 B1457:E1457 B1468:E1472 B1458:C1459 B1473 D1473:E1473 B1461:C1467 B1460 B1474:E1477 B1486:E1486 C1483:E1484 C1478:E1478 G229:G248 B1051:E1058 G1051:G1058 G1483:G1484 G1486 G1474:G1478 G1468:G1472 G1457 D9:E120 D124:G142 B132:C135 C144:G147 C136:C142 B136:B149 B150:G228 B229:E913 F252:G913 B915:G1001 B914 B1003:G1034 G1060:G1452 D1060:E1452 B1060:C1383">
    <cfRule type="cellIs" dxfId="98" priority="62" operator="equal">
      <formula>0</formula>
    </cfRule>
  </conditionalFormatting>
  <conditionalFormatting sqref="D121:E123">
    <cfRule type="cellIs" dxfId="97" priority="61" operator="equal">
      <formula>0</formula>
    </cfRule>
  </conditionalFormatting>
  <conditionalFormatting sqref="C8 B116:C116 C117:C121 B118 B120 B126:C128 B123:C123 B1384:C1452 C17:C85 B8:B85 B86:C114">
    <cfRule type="cellIs" dxfId="96" priority="57" operator="equal">
      <formula>0</formula>
    </cfRule>
  </conditionalFormatting>
  <conditionalFormatting sqref="B129:C131">
    <cfRule type="cellIs" dxfId="95" priority="56" operator="equal">
      <formula>0</formula>
    </cfRule>
  </conditionalFormatting>
  <conditionalFormatting sqref="B115:C115 B117 B119 B121">
    <cfRule type="cellIs" dxfId="94" priority="55" operator="equal">
      <formula>0</formula>
    </cfRule>
  </conditionalFormatting>
  <conditionalFormatting sqref="G9 G11:G120">
    <cfRule type="cellIs" dxfId="93" priority="60" operator="equal">
      <formula>0</formula>
    </cfRule>
  </conditionalFormatting>
  <conditionalFormatting sqref="G121:G123">
    <cfRule type="cellIs" dxfId="92" priority="59" operator="equal">
      <formula>0</formula>
    </cfRule>
  </conditionalFormatting>
  <conditionalFormatting sqref="G249:G251">
    <cfRule type="cellIs" dxfId="91" priority="58" operator="equal">
      <formula>0</formula>
    </cfRule>
  </conditionalFormatting>
  <conditionalFormatting sqref="C9:C13 C15:C16">
    <cfRule type="cellIs" dxfId="90" priority="54" operator="equal">
      <formula>0</formula>
    </cfRule>
  </conditionalFormatting>
  <conditionalFormatting sqref="C14">
    <cfRule type="cellIs" dxfId="89" priority="53" operator="equal">
      <formula>0</formula>
    </cfRule>
  </conditionalFormatting>
  <conditionalFormatting sqref="B124:C125">
    <cfRule type="cellIs" dxfId="88" priority="52" operator="equal">
      <formula>0</formula>
    </cfRule>
  </conditionalFormatting>
  <conditionalFormatting sqref="B122:C122">
    <cfRule type="cellIs" dxfId="87" priority="51" operator="equal">
      <formula>0</formula>
    </cfRule>
  </conditionalFormatting>
  <conditionalFormatting sqref="B1453:C1455 B1456">
    <cfRule type="cellIs" dxfId="86" priority="50" operator="equal">
      <formula>0</formula>
    </cfRule>
  </conditionalFormatting>
  <conditionalFormatting sqref="D1453:E1455 G1453:G1455">
    <cfRule type="cellIs" dxfId="85" priority="49" operator="equal">
      <formula>0</formula>
    </cfRule>
  </conditionalFormatting>
  <conditionalFormatting sqref="G1473">
    <cfRule type="cellIs" dxfId="84" priority="43" operator="equal">
      <formula>0</formula>
    </cfRule>
  </conditionalFormatting>
  <conditionalFormatting sqref="C1456:E1456 G1456">
    <cfRule type="cellIs" dxfId="83" priority="48" operator="equal">
      <formula>0</formula>
    </cfRule>
  </conditionalFormatting>
  <conditionalFormatting sqref="D1458:E1458 D1461:E1461 D1463:E1467 G1463:G1467 G1461 G1458">
    <cfRule type="cellIs" dxfId="82" priority="47" operator="equal">
      <formula>0</formula>
    </cfRule>
  </conditionalFormatting>
  <conditionalFormatting sqref="D1462:E1462 G1462">
    <cfRule type="cellIs" dxfId="81" priority="46" operator="equal">
      <formula>0</formula>
    </cfRule>
  </conditionalFormatting>
  <conditionalFormatting sqref="C1460">
    <cfRule type="cellIs" dxfId="80" priority="42" operator="equal">
      <formula>0</formula>
    </cfRule>
  </conditionalFormatting>
  <conditionalFormatting sqref="D1459:E1460 G1459:G1460">
    <cfRule type="cellIs" dxfId="79" priority="45" operator="equal">
      <formula>0</formula>
    </cfRule>
  </conditionalFormatting>
  <conditionalFormatting sqref="C1473">
    <cfRule type="cellIs" dxfId="78" priority="44" operator="equal">
      <formula>0</formula>
    </cfRule>
  </conditionalFormatting>
  <conditionalFormatting sqref="C1479:E1479 G1479">
    <cfRule type="cellIs" dxfId="77" priority="41" operator="equal">
      <formula>0</formula>
    </cfRule>
  </conditionalFormatting>
  <conditionalFormatting sqref="C1480:E1480 G1480">
    <cfRule type="cellIs" dxfId="76" priority="40" operator="equal">
      <formula>0</formula>
    </cfRule>
  </conditionalFormatting>
  <conditionalFormatting sqref="C1481:E1481 G1481">
    <cfRule type="cellIs" dxfId="75" priority="39" operator="equal">
      <formula>0</formula>
    </cfRule>
  </conditionalFormatting>
  <conditionalFormatting sqref="C1482:E1482 G1482">
    <cfRule type="cellIs" dxfId="74" priority="38" operator="equal">
      <formula>0</formula>
    </cfRule>
  </conditionalFormatting>
  <conditionalFormatting sqref="C1485:E1485 G1485">
    <cfRule type="cellIs" dxfId="73" priority="37" operator="equal">
      <formula>0</formula>
    </cfRule>
  </conditionalFormatting>
  <conditionalFormatting sqref="B1478:B1485">
    <cfRule type="cellIs" dxfId="72" priority="36" operator="equal">
      <formula>0</formula>
    </cfRule>
  </conditionalFormatting>
  <conditionalFormatting sqref="B1487:E1493 G1487:G1493">
    <cfRule type="cellIs" dxfId="71" priority="35" operator="equal">
      <formula>0</formula>
    </cfRule>
  </conditionalFormatting>
  <conditionalFormatting sqref="F1482">
    <cfRule type="cellIs" dxfId="70" priority="16" operator="equal">
      <formula>0</formula>
    </cfRule>
  </conditionalFormatting>
  <conditionalFormatting sqref="C1035:C1050">
    <cfRule type="cellIs" dxfId="69" priority="31" operator="equal">
      <formula>0</formula>
    </cfRule>
  </conditionalFormatting>
  <conditionalFormatting sqref="G1049">
    <cfRule type="cellIs" dxfId="68" priority="30" operator="equal">
      <formula>0</formula>
    </cfRule>
  </conditionalFormatting>
  <conditionalFormatting sqref="D1035:E1050">
    <cfRule type="cellIs" dxfId="67" priority="34" operator="equal">
      <formula>0</formula>
    </cfRule>
  </conditionalFormatting>
  <conditionalFormatting sqref="B1035:B1050">
    <cfRule type="cellIs" dxfId="66" priority="32" operator="equal">
      <formula>0</formula>
    </cfRule>
  </conditionalFormatting>
  <conditionalFormatting sqref="G1035:G1048 G1050">
    <cfRule type="cellIs" dxfId="65" priority="33" operator="equal">
      <formula>0</formula>
    </cfRule>
  </conditionalFormatting>
  <conditionalFormatting sqref="F1049">
    <cfRule type="cellIs" dxfId="64" priority="12" operator="equal">
      <formula>0</formula>
    </cfRule>
  </conditionalFormatting>
  <conditionalFormatting sqref="F229:F248 F1051:F1058 F1483:F1484 F1486 F1474:F1478 F1468:F1472 F1457 F1060:F1452">
    <cfRule type="cellIs" dxfId="63" priority="29" operator="equal">
      <formula>0</formula>
    </cfRule>
  </conditionalFormatting>
  <conditionalFormatting sqref="F9:F120">
    <cfRule type="cellIs" dxfId="62" priority="28" operator="equal">
      <formula>0</formula>
    </cfRule>
  </conditionalFormatting>
  <conditionalFormatting sqref="F121:F123">
    <cfRule type="cellIs" dxfId="61" priority="27" operator="equal">
      <formula>0</formula>
    </cfRule>
  </conditionalFormatting>
  <conditionalFormatting sqref="F249:F251">
    <cfRule type="cellIs" dxfId="60" priority="26" operator="equal">
      <formula>0</formula>
    </cfRule>
  </conditionalFormatting>
  <conditionalFormatting sqref="F1453:F1455">
    <cfRule type="cellIs" dxfId="59" priority="25" operator="equal">
      <formula>0</formula>
    </cfRule>
  </conditionalFormatting>
  <conditionalFormatting sqref="F1473">
    <cfRule type="cellIs" dxfId="58" priority="20" operator="equal">
      <formula>0</formula>
    </cfRule>
  </conditionalFormatting>
  <conditionalFormatting sqref="F1456">
    <cfRule type="cellIs" dxfId="57" priority="24" operator="equal">
      <formula>0</formula>
    </cfRule>
  </conditionalFormatting>
  <conditionalFormatting sqref="F1463:F1467 F1461 F1458">
    <cfRule type="cellIs" dxfId="56" priority="23" operator="equal">
      <formula>0</formula>
    </cfRule>
  </conditionalFormatting>
  <conditionalFormatting sqref="F1462">
    <cfRule type="cellIs" dxfId="55" priority="22" operator="equal">
      <formula>0</formula>
    </cfRule>
  </conditionalFormatting>
  <conditionalFormatting sqref="F1459:F1460">
    <cfRule type="cellIs" dxfId="54" priority="21" operator="equal">
      <formula>0</formula>
    </cfRule>
  </conditionalFormatting>
  <conditionalFormatting sqref="F1479">
    <cfRule type="cellIs" dxfId="53" priority="19" operator="equal">
      <formula>0</formula>
    </cfRule>
  </conditionalFormatting>
  <conditionalFormatting sqref="F1480">
    <cfRule type="cellIs" dxfId="52" priority="18" operator="equal">
      <formula>0</formula>
    </cfRule>
  </conditionalFormatting>
  <conditionalFormatting sqref="F1481">
    <cfRule type="cellIs" dxfId="51" priority="17" operator="equal">
      <formula>0</formula>
    </cfRule>
  </conditionalFormatting>
  <conditionalFormatting sqref="F1035:F1048 F1050">
    <cfRule type="cellIs" dxfId="50" priority="13" operator="equal">
      <formula>0</formula>
    </cfRule>
  </conditionalFormatting>
  <conditionalFormatting sqref="F1485">
    <cfRule type="cellIs" dxfId="49" priority="15" operator="equal">
      <formula>0</formula>
    </cfRule>
  </conditionalFormatting>
  <conditionalFormatting sqref="F1487:F1493">
    <cfRule type="cellIs" dxfId="48" priority="14" operator="equal">
      <formula>0</formula>
    </cfRule>
  </conditionalFormatting>
  <conditionalFormatting sqref="G10">
    <cfRule type="cellIs" dxfId="47" priority="11" operator="equal">
      <formula>0</formula>
    </cfRule>
  </conditionalFormatting>
  <conditionalFormatting sqref="C143:G143">
    <cfRule type="cellIs" dxfId="46" priority="10" operator="equal">
      <formula>0</formula>
    </cfRule>
  </conditionalFormatting>
  <conditionalFormatting sqref="C148:C149">
    <cfRule type="cellIs" dxfId="45" priority="7" operator="equal">
      <formula>0</formula>
    </cfRule>
  </conditionalFormatting>
  <conditionalFormatting sqref="E148:E149">
    <cfRule type="cellIs" dxfId="44" priority="9" operator="equal">
      <formula>0</formula>
    </cfRule>
  </conditionalFormatting>
  <conditionalFormatting sqref="G148:G149">
    <cfRule type="cellIs" dxfId="43" priority="8" operator="equal">
      <formula>0</formula>
    </cfRule>
  </conditionalFormatting>
  <conditionalFormatting sqref="F148:F149">
    <cfRule type="cellIs" dxfId="42" priority="6" operator="equal">
      <formula>0</formula>
    </cfRule>
  </conditionalFormatting>
  <conditionalFormatting sqref="D148:D149">
    <cfRule type="cellIs" dxfId="41" priority="5" operator="equal">
      <formula>0</formula>
    </cfRule>
  </conditionalFormatting>
  <conditionalFormatting sqref="C914:G914">
    <cfRule type="cellIs" dxfId="40" priority="4" operator="equal">
      <formula>0</formula>
    </cfRule>
  </conditionalFormatting>
  <conditionalFormatting sqref="B1002:G1002">
    <cfRule type="cellIs" dxfId="39" priority="3" operator="equal">
      <formula>0</formula>
    </cfRule>
  </conditionalFormatting>
  <conditionalFormatting sqref="B1059:E1059 G1059">
    <cfRule type="cellIs" dxfId="38" priority="2" operator="equal">
      <formula>0</formula>
    </cfRule>
  </conditionalFormatting>
  <conditionalFormatting sqref="F1059">
    <cfRule type="cellIs" dxfId="37" priority="1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7" zoomScale="70" zoomScaleNormal="70" zoomScaleSheetLayoutView="85" workbookViewId="0">
      <selection activeCell="N23" sqref="N23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9" t="s">
        <v>1454</v>
      </c>
      <c r="C2" s="569"/>
      <c r="D2" s="569"/>
      <c r="E2" s="569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74" t="s">
        <v>1535</v>
      </c>
      <c r="C4" s="575"/>
      <c r="D4" s="575"/>
      <c r="E4" s="576"/>
      <c r="F4" s="446"/>
      <c r="G4" s="446"/>
      <c r="H4" s="447"/>
      <c r="I4" s="601" t="s">
        <v>1536</v>
      </c>
      <c r="J4" s="602"/>
      <c r="K4" s="602"/>
      <c r="L4" s="603"/>
    </row>
    <row r="5" spans="1:12" ht="34.5" customHeight="1">
      <c r="A5" s="204"/>
      <c r="B5" s="449" t="s">
        <v>1379</v>
      </c>
      <c r="C5" s="277" t="s">
        <v>9</v>
      </c>
      <c r="D5" s="570" t="str">
        <f>DATA!D14</f>
        <v>AGS KUSTIANAH</v>
      </c>
      <c r="E5" s="571"/>
      <c r="F5" s="208"/>
      <c r="G5" s="208"/>
      <c r="I5" s="450" t="s">
        <v>1379</v>
      </c>
      <c r="J5" s="277" t="s">
        <v>9</v>
      </c>
      <c r="K5" s="604" t="str">
        <f>D5</f>
        <v>AGS KUSTIANAH</v>
      </c>
      <c r="L5" s="605"/>
    </row>
    <row r="6" spans="1:12" ht="31.5" customHeight="1">
      <c r="A6" s="204"/>
      <c r="B6" s="449" t="s">
        <v>1532</v>
      </c>
      <c r="C6" s="277" t="s">
        <v>9</v>
      </c>
      <c r="D6" s="579">
        <f>DATA!D17*1000</f>
        <v>0</v>
      </c>
      <c r="E6" s="580"/>
      <c r="F6" s="208"/>
      <c r="G6" s="208"/>
      <c r="I6" s="450" t="s">
        <v>1533</v>
      </c>
      <c r="J6" s="277" t="s">
        <v>9</v>
      </c>
      <c r="K6" s="606">
        <f>DATA!D20*1000</f>
        <v>66000</v>
      </c>
      <c r="L6" s="607"/>
    </row>
    <row r="7" spans="1:12" ht="30.75" customHeight="1">
      <c r="A7" s="204"/>
      <c r="B7" s="449" t="s">
        <v>1441</v>
      </c>
      <c r="C7" s="277" t="s">
        <v>9</v>
      </c>
      <c r="D7" s="577">
        <f>DATA!D18</f>
        <v>1</v>
      </c>
      <c r="E7" s="578"/>
      <c r="F7" s="448" t="s">
        <v>1453</v>
      </c>
      <c r="I7" s="450" t="s">
        <v>1441</v>
      </c>
      <c r="J7" s="277" t="s">
        <v>9</v>
      </c>
      <c r="K7" s="608">
        <f>DATA!D21</f>
        <v>3</v>
      </c>
      <c r="L7" s="609"/>
    </row>
    <row r="8" spans="1:12" ht="51" customHeight="1">
      <c r="A8" s="204"/>
      <c r="B8" s="449" t="s">
        <v>1442</v>
      </c>
      <c r="C8" s="277" t="s">
        <v>9</v>
      </c>
      <c r="D8" s="577">
        <f>DATA!D19</f>
        <v>220</v>
      </c>
      <c r="E8" s="578"/>
      <c r="F8" s="448" t="s">
        <v>1453</v>
      </c>
      <c r="G8" s="443">
        <v>220</v>
      </c>
      <c r="I8" s="450" t="s">
        <v>1442</v>
      </c>
      <c r="J8" s="277" t="s">
        <v>9</v>
      </c>
      <c r="K8" s="608">
        <f>DATA!D22</f>
        <v>380</v>
      </c>
      <c r="L8" s="609"/>
    </row>
    <row r="9" spans="1:12" ht="30" customHeight="1" thickBot="1">
      <c r="A9" s="204"/>
      <c r="B9" s="455" t="s">
        <v>1544</v>
      </c>
      <c r="C9" s="445" t="s">
        <v>9</v>
      </c>
      <c r="D9" s="572">
        <f>IF(D7=1,D6/(380/3^0.5),(D6/(380*3^0.5)))</f>
        <v>0</v>
      </c>
      <c r="E9" s="573"/>
      <c r="F9" s="207"/>
      <c r="G9" s="444">
        <v>380</v>
      </c>
      <c r="I9" s="456" t="s">
        <v>1544</v>
      </c>
      <c r="J9" s="445" t="s">
        <v>9</v>
      </c>
      <c r="K9" s="610">
        <f>IF(K7=1,K6/(380/3^0.5),(K6/(380*3^0.5)))</f>
        <v>100.27662570135607</v>
      </c>
      <c r="L9" s="611"/>
    </row>
    <row r="10" spans="1:12" ht="24.75" customHeight="1">
      <c r="B10" s="457"/>
      <c r="C10" s="454"/>
      <c r="D10" s="458"/>
      <c r="E10" s="458"/>
      <c r="F10" s="207"/>
      <c r="G10" s="444"/>
      <c r="I10" s="457"/>
      <c r="J10" s="454"/>
      <c r="K10" s="458"/>
      <c r="L10" s="458"/>
    </row>
    <row r="11" spans="1:12" ht="16.5" thickBot="1">
      <c r="B11" s="451" t="s">
        <v>1545</v>
      </c>
      <c r="I11" s="451" t="s">
        <v>1539</v>
      </c>
    </row>
    <row r="12" spans="1:12" ht="34.5" customHeight="1">
      <c r="A12" s="204"/>
      <c r="B12" s="479" t="s">
        <v>1537</v>
      </c>
      <c r="C12" s="473" t="s">
        <v>9</v>
      </c>
      <c r="D12" s="581" t="s">
        <v>1628</v>
      </c>
      <c r="E12" s="582"/>
      <c r="F12" s="208"/>
      <c r="G12" s="208"/>
      <c r="I12" s="472" t="s">
        <v>1537</v>
      </c>
      <c r="J12" s="473" t="s">
        <v>9</v>
      </c>
      <c r="K12" s="581" t="str">
        <f>D12</f>
        <v>K3-67</v>
      </c>
      <c r="L12" s="582"/>
    </row>
    <row r="13" spans="1:12" ht="31.5" customHeight="1">
      <c r="A13" s="204"/>
      <c r="B13" s="480" t="s">
        <v>1380</v>
      </c>
      <c r="C13" s="460" t="s">
        <v>9</v>
      </c>
      <c r="D13" s="585" t="s">
        <v>1629</v>
      </c>
      <c r="E13" s="586"/>
      <c r="F13" s="208"/>
      <c r="G13" s="208"/>
      <c r="I13" s="474" t="s">
        <v>1380</v>
      </c>
      <c r="J13" s="460" t="s">
        <v>9</v>
      </c>
      <c r="K13" s="585" t="str">
        <f>D13</f>
        <v>DC KDS16 - KDS03</v>
      </c>
      <c r="L13" s="586"/>
    </row>
    <row r="14" spans="1:12" ht="30.75" customHeight="1">
      <c r="A14" s="204"/>
      <c r="B14" s="480" t="s">
        <v>1538</v>
      </c>
      <c r="C14" s="460" t="s">
        <v>9</v>
      </c>
      <c r="D14" s="593">
        <v>50</v>
      </c>
      <c r="E14" s="594"/>
      <c r="F14" s="448" t="s">
        <v>1453</v>
      </c>
      <c r="G14" s="452">
        <v>50</v>
      </c>
      <c r="I14" s="474" t="s">
        <v>1538</v>
      </c>
      <c r="J14" s="460" t="s">
        <v>9</v>
      </c>
      <c r="K14" s="595">
        <v>100</v>
      </c>
      <c r="L14" s="596"/>
    </row>
    <row r="15" spans="1:12" ht="57" customHeight="1">
      <c r="A15" s="204"/>
      <c r="B15" s="480" t="s">
        <v>1441</v>
      </c>
      <c r="C15" s="460" t="s">
        <v>9</v>
      </c>
      <c r="D15" s="466">
        <v>1</v>
      </c>
      <c r="E15" s="475"/>
      <c r="F15" s="448" t="s">
        <v>1453</v>
      </c>
      <c r="G15" s="452">
        <v>100</v>
      </c>
      <c r="I15" s="474" t="s">
        <v>1441</v>
      </c>
      <c r="J15" s="460" t="s">
        <v>9</v>
      </c>
      <c r="K15" s="466">
        <v>3</v>
      </c>
      <c r="L15" s="475"/>
    </row>
    <row r="16" spans="1:12" ht="44.25" customHeight="1">
      <c r="A16" s="204"/>
      <c r="B16" s="480" t="s">
        <v>1548</v>
      </c>
      <c r="C16" s="460"/>
      <c r="D16" s="597">
        <v>210</v>
      </c>
      <c r="E16" s="598"/>
      <c r="F16" s="448"/>
      <c r="G16" s="452">
        <v>160</v>
      </c>
      <c r="I16" s="474" t="s">
        <v>1540</v>
      </c>
      <c r="J16" s="460" t="s">
        <v>9</v>
      </c>
      <c r="K16" s="599">
        <f>K9</f>
        <v>100.27662570135607</v>
      </c>
      <c r="L16" s="600"/>
    </row>
    <row r="17" spans="1:12" ht="34.5" customHeight="1">
      <c r="A17" s="204"/>
      <c r="B17" s="480" t="s">
        <v>1541</v>
      </c>
      <c r="C17" s="460" t="s">
        <v>9</v>
      </c>
      <c r="D17" s="587">
        <f>IF(D15=1,D14/(20/3^0.5),(D14/(20*3^0.5)))</f>
        <v>4.3301270189221928</v>
      </c>
      <c r="E17" s="588"/>
      <c r="F17" s="448" t="s">
        <v>1453</v>
      </c>
      <c r="G17" s="453">
        <v>200</v>
      </c>
      <c r="I17" s="474" t="s">
        <v>1541</v>
      </c>
      <c r="J17" s="460" t="s">
        <v>9</v>
      </c>
      <c r="K17" s="591">
        <f>IF(K15=1,K14/(20/3^0.5),(K14/(20*3^0.5)))</f>
        <v>2.8867513459481291</v>
      </c>
      <c r="L17" s="592"/>
    </row>
    <row r="18" spans="1:12" ht="34.5" customHeight="1">
      <c r="A18" s="204"/>
      <c r="B18" s="480" t="s">
        <v>1542</v>
      </c>
      <c r="C18" s="460" t="s">
        <v>9</v>
      </c>
      <c r="D18" s="587">
        <f>IF(D15=1,D14/(380/3^0.5),(D14/(380*3^0.5)))*1000</f>
        <v>227.90142204853646</v>
      </c>
      <c r="E18" s="588"/>
      <c r="F18" s="448" t="s">
        <v>1453</v>
      </c>
      <c r="G18" s="453">
        <v>250</v>
      </c>
      <c r="I18" s="474" t="s">
        <v>1542</v>
      </c>
      <c r="J18" s="460" t="s">
        <v>9</v>
      </c>
      <c r="K18" s="591">
        <f>IF(K15=1,K14/(380/3^0.5),(K14/(380*3^0.5)))*1000</f>
        <v>151.93428136569102</v>
      </c>
      <c r="L18" s="592"/>
    </row>
    <row r="19" spans="1:12" ht="30" customHeight="1">
      <c r="A19" s="204"/>
      <c r="B19" s="481" t="s">
        <v>1534</v>
      </c>
      <c r="C19" s="459" t="s">
        <v>9</v>
      </c>
      <c r="D19" s="587">
        <f>IF(D15=1,D14/(380/3^0.5),(D14/(380*3^0.5)))</f>
        <v>0.22790142204853647</v>
      </c>
      <c r="E19" s="588"/>
      <c r="F19" s="207"/>
      <c r="G19" s="444"/>
      <c r="I19" s="476" t="s">
        <v>1534</v>
      </c>
      <c r="J19" s="459" t="s">
        <v>9</v>
      </c>
      <c r="K19" s="591">
        <f>IF(K15=1,K14/(380/3^0.5),(K14/(380*3^0.5)))</f>
        <v>0.15193428136569101</v>
      </c>
      <c r="L19" s="592"/>
    </row>
    <row r="20" spans="1:12" ht="30" customHeight="1" thickBot="1">
      <c r="A20" s="204"/>
      <c r="B20" s="482" t="s">
        <v>1543</v>
      </c>
      <c r="C20" s="478" t="s">
        <v>9</v>
      </c>
      <c r="D20" s="583">
        <f>D16/D18</f>
        <v>0.92145102962664283</v>
      </c>
      <c r="E20" s="584"/>
      <c r="F20" s="207"/>
      <c r="G20" s="444"/>
      <c r="I20" s="477" t="s">
        <v>1534</v>
      </c>
      <c r="J20" s="478" t="s">
        <v>9</v>
      </c>
      <c r="K20" s="589">
        <f>K16/K18</f>
        <v>0.65999999999999992</v>
      </c>
      <c r="L20" s="590"/>
    </row>
    <row r="21" spans="1:12" ht="9.75" customHeight="1">
      <c r="A21" s="204"/>
      <c r="B21" s="467" t="s">
        <v>1543</v>
      </c>
      <c r="C21" s="468" t="s">
        <v>9</v>
      </c>
      <c r="D21" s="568">
        <v>1</v>
      </c>
      <c r="E21" s="568"/>
      <c r="F21" s="469"/>
      <c r="G21" s="470"/>
      <c r="H21" s="471"/>
      <c r="I21" s="467" t="s">
        <v>1534</v>
      </c>
      <c r="J21" s="468" t="s">
        <v>9</v>
      </c>
      <c r="K21" s="568">
        <v>1</v>
      </c>
      <c r="L21" s="568"/>
    </row>
    <row r="22" spans="1:12" ht="6.75" customHeight="1">
      <c r="B22" s="457"/>
      <c r="C22" s="454"/>
      <c r="D22" s="465"/>
      <c r="E22" s="465"/>
      <c r="F22" s="207"/>
      <c r="G22" s="444"/>
      <c r="J22" s="454"/>
      <c r="K22" s="465"/>
      <c r="L22" s="465"/>
    </row>
    <row r="23" spans="1:12" ht="15.75" thickBot="1"/>
    <row r="24" spans="1:12" ht="200.25" customHeight="1" thickBot="1">
      <c r="B24" s="565"/>
      <c r="C24" s="566"/>
      <c r="D24" s="566"/>
      <c r="E24" s="567"/>
      <c r="I24" s="565"/>
      <c r="J24" s="566"/>
      <c r="K24" s="566"/>
      <c r="L24" s="567"/>
    </row>
    <row r="26" spans="1:12">
      <c r="D26" s="462"/>
    </row>
    <row r="27" spans="1:12">
      <c r="D27" s="463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Q4 O4">
    <cfRule type="cellIs" dxfId="36" priority="5" stopIfTrue="1" operator="greaterThan">
      <formula>0.89</formula>
    </cfRule>
    <cfRule type="cellIs" dxfId="35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5" zoomScale="85" zoomScaleNormal="85" workbookViewId="0">
      <selection activeCell="D20" sqref="D20"/>
    </sheetView>
  </sheetViews>
  <sheetFormatPr defaultColWidth="9.140625"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12"/>
      <c r="C1" s="612"/>
      <c r="D1" s="612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6">
        <v>1084.1250458865841</v>
      </c>
      <c r="F5" s="491" t="s">
        <v>1611</v>
      </c>
      <c r="K5" s="490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91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66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63954000</v>
      </c>
    </row>
    <row r="10" spans="2:11" ht="20.100000000000001" customHeight="1">
      <c r="B10" s="291" t="s">
        <v>1446</v>
      </c>
      <c r="C10" s="292" t="s">
        <v>9</v>
      </c>
      <c r="D10" s="298">
        <f ca="1">RAB!K136</f>
        <v>101565627.64025001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2031312.5528050002</v>
      </c>
    </row>
    <row r="12" spans="2:11" ht="9" customHeight="1">
      <c r="B12" s="613"/>
      <c r="C12" s="613"/>
      <c r="D12" s="613"/>
    </row>
    <row r="13" spans="2:11" ht="15.75" customHeight="1">
      <c r="B13" s="299"/>
      <c r="C13" s="299"/>
      <c r="D13" s="299"/>
    </row>
    <row r="14" spans="2:11" ht="33.75" customHeight="1">
      <c r="B14" s="419" t="s">
        <v>1379</v>
      </c>
      <c r="C14" s="420" t="s">
        <v>9</v>
      </c>
      <c r="D14" s="425" t="s">
        <v>1630</v>
      </c>
      <c r="E14" s="300" t="s">
        <v>1453</v>
      </c>
    </row>
    <row r="15" spans="2:11" ht="20.100000000000001" customHeight="1">
      <c r="B15" s="421" t="s">
        <v>1447</v>
      </c>
      <c r="C15" s="422" t="s">
        <v>9</v>
      </c>
      <c r="D15" s="426" t="s">
        <v>1617</v>
      </c>
      <c r="E15" s="300" t="s">
        <v>1453</v>
      </c>
    </row>
    <row r="16" spans="2:11" ht="20.100000000000001" customHeight="1">
      <c r="B16" s="421" t="s">
        <v>1448</v>
      </c>
      <c r="C16" s="422" t="s">
        <v>9</v>
      </c>
      <c r="D16" s="426" t="s">
        <v>1451</v>
      </c>
      <c r="E16" s="300" t="s">
        <v>1453</v>
      </c>
    </row>
    <row r="17" spans="2:5" ht="20.100000000000001" customHeight="1">
      <c r="B17" s="421" t="s">
        <v>1449</v>
      </c>
      <c r="C17" s="422" t="s">
        <v>9</v>
      </c>
      <c r="D17" s="427">
        <v>0</v>
      </c>
      <c r="E17" s="300" t="s">
        <v>1453</v>
      </c>
    </row>
    <row r="18" spans="2:5" ht="20.100000000000001" hidden="1" customHeight="1">
      <c r="B18" s="421" t="s">
        <v>1546</v>
      </c>
      <c r="C18" s="422"/>
      <c r="D18" s="427">
        <f>IF((D17&lt;=11),1,3)</f>
        <v>1</v>
      </c>
      <c r="E18" s="300"/>
    </row>
    <row r="19" spans="2:5" ht="20.100000000000001" hidden="1" customHeight="1">
      <c r="B19" s="421" t="s">
        <v>1547</v>
      </c>
      <c r="C19" s="422"/>
      <c r="D19" s="427">
        <f>IF((D17&lt;=11),220,380)</f>
        <v>220</v>
      </c>
      <c r="E19" s="300"/>
    </row>
    <row r="20" spans="2:5" ht="20.100000000000001" customHeight="1">
      <c r="B20" s="421" t="s">
        <v>1450</v>
      </c>
      <c r="C20" s="422" t="s">
        <v>9</v>
      </c>
      <c r="D20" s="427">
        <v>66</v>
      </c>
      <c r="E20" s="300" t="s">
        <v>1453</v>
      </c>
    </row>
    <row r="21" spans="2:5" ht="20.100000000000001" customHeight="1">
      <c r="B21" s="421" t="s">
        <v>1546</v>
      </c>
      <c r="C21" s="422"/>
      <c r="D21" s="427">
        <f>IF((D20&lt;=11),1,3)</f>
        <v>3</v>
      </c>
      <c r="E21" s="300"/>
    </row>
    <row r="22" spans="2:5" ht="20.100000000000001" customHeight="1">
      <c r="B22" s="421" t="s">
        <v>1547</v>
      </c>
      <c r="C22" s="422"/>
      <c r="D22" s="427">
        <f>IF((D20&lt;=11),220,380)</f>
        <v>380</v>
      </c>
      <c r="E22" s="300"/>
    </row>
    <row r="23" spans="2:5" ht="20.100000000000001" customHeight="1">
      <c r="B23" s="421" t="s">
        <v>1353</v>
      </c>
      <c r="C23" s="422" t="s">
        <v>9</v>
      </c>
      <c r="D23" s="426">
        <v>1444.7</v>
      </c>
      <c r="E23" s="300" t="s">
        <v>1453</v>
      </c>
    </row>
    <row r="24" spans="2:5" ht="20.100000000000001" customHeight="1">
      <c r="B24" s="421" t="s">
        <v>1354</v>
      </c>
      <c r="C24" s="422" t="s">
        <v>9</v>
      </c>
      <c r="D24" s="426">
        <v>1444.7</v>
      </c>
      <c r="E24" s="300" t="s">
        <v>1453</v>
      </c>
    </row>
    <row r="25" spans="2:5" ht="20.100000000000001" customHeight="1">
      <c r="B25" s="421" t="s">
        <v>1452</v>
      </c>
      <c r="C25" s="422" t="s">
        <v>9</v>
      </c>
      <c r="D25" s="427">
        <v>969</v>
      </c>
      <c r="E25" s="300" t="s">
        <v>1453</v>
      </c>
    </row>
    <row r="26" spans="2:5" ht="20.100000000000001" customHeight="1">
      <c r="B26" s="423" t="s">
        <v>1355</v>
      </c>
      <c r="C26" s="424" t="s">
        <v>9</v>
      </c>
      <c r="D26" s="428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31" activePane="bottomLeft" state="frozen"/>
      <selection activeCell="H1093" sqref="H1093"/>
      <selection pane="bottomLeft" activeCell="C8" sqref="C8"/>
    </sheetView>
  </sheetViews>
  <sheetFormatPr defaultColWidth="9.140625"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4" t="s">
        <v>1357</v>
      </c>
      <c r="C3" s="614"/>
      <c r="D3" s="614"/>
      <c r="E3" s="614"/>
      <c r="F3" s="305" t="str">
        <f>DATA!D14</f>
        <v>AGS KUSTIANAH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5" t="s">
        <v>1349</v>
      </c>
      <c r="C5" s="615" t="s">
        <v>1358</v>
      </c>
      <c r="D5" s="616" t="s">
        <v>1359</v>
      </c>
      <c r="E5" s="616" t="s">
        <v>1360</v>
      </c>
      <c r="F5" s="615" t="s">
        <v>1361</v>
      </c>
      <c r="G5" s="615"/>
      <c r="H5" s="615"/>
      <c r="I5" s="615"/>
      <c r="J5" s="615"/>
      <c r="K5" s="615" t="s">
        <v>1362</v>
      </c>
      <c r="L5" s="615"/>
      <c r="M5" s="307"/>
      <c r="N5" s="619" t="s">
        <v>1363</v>
      </c>
      <c r="O5" s="616" t="s">
        <v>1364</v>
      </c>
      <c r="P5" s="616" t="s">
        <v>1365</v>
      </c>
      <c r="Q5" s="616" t="s">
        <v>1366</v>
      </c>
      <c r="R5" s="308"/>
      <c r="S5" s="309"/>
      <c r="T5" s="617" t="s">
        <v>1367</v>
      </c>
      <c r="U5" s="310"/>
    </row>
    <row r="6" spans="1:21" ht="20.100000000000001" customHeight="1">
      <c r="B6" s="615"/>
      <c r="C6" s="615"/>
      <c r="D6" s="615"/>
      <c r="E6" s="615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20"/>
      <c r="O6" s="615"/>
      <c r="P6" s="615"/>
      <c r="Q6" s="615"/>
      <c r="R6" s="308"/>
      <c r="S6" s="309"/>
      <c r="T6" s="615"/>
      <c r="U6" s="312"/>
    </row>
    <row r="7" spans="1:21" ht="20.100000000000001" customHeight="1">
      <c r="A7" s="313">
        <v>0</v>
      </c>
      <c r="B7" s="314">
        <v>2023</v>
      </c>
      <c r="C7" s="483">
        <f>DATA!D8*DATA!D26*4</f>
        <v>10560</v>
      </c>
      <c r="D7" s="316">
        <f>C7*4/24</f>
        <v>1760</v>
      </c>
      <c r="E7" s="316">
        <f>C7-D7</f>
        <v>8800</v>
      </c>
      <c r="F7" s="317">
        <f ca="1">DATA!D10/1000000</f>
        <v>101.56562764025001</v>
      </c>
      <c r="G7" s="318">
        <f ca="1">DATA!$D$11/1000000</f>
        <v>2.0313125528050002</v>
      </c>
      <c r="H7" s="318">
        <f>C7*DATA!$D$5/1000000</f>
        <v>11.448360484562327</v>
      </c>
      <c r="I7" s="318">
        <f>(C7*DATA!$D$5*DATA!$D$7)/1000000</f>
        <v>0.25758811090265238</v>
      </c>
      <c r="J7" s="316">
        <f ca="1">SUM(F7:I7)</f>
        <v>115.30288878851999</v>
      </c>
      <c r="K7" s="319">
        <f>DATA!D9/1000000</f>
        <v>63.954000000000001</v>
      </c>
      <c r="L7" s="316">
        <f>((D7*DATA!$D$23)/1000000)+((E7*DATA!$D$24)/1000000)</f>
        <v>15.256031999999999</v>
      </c>
      <c r="M7" s="316">
        <f>K7+L7</f>
        <v>79.210031999999998</v>
      </c>
      <c r="N7" s="316">
        <f ca="1">M7-J7</f>
        <v>-36.092856788519995</v>
      </c>
      <c r="O7" s="314">
        <v>1</v>
      </c>
      <c r="P7" s="316">
        <f ca="1">O7*N7</f>
        <v>-36.092856788519995</v>
      </c>
      <c r="Q7" s="316">
        <f ca="1">P7</f>
        <v>-36.092856788519995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31680</v>
      </c>
      <c r="D8" s="316">
        <f>C8*4/24</f>
        <v>5280</v>
      </c>
      <c r="E8" s="316">
        <f t="shared" ref="E8:E32" si="0">C8-D8</f>
        <v>26400</v>
      </c>
      <c r="F8" s="314"/>
      <c r="G8" s="318">
        <f ca="1">DATA!$D$11/1000000</f>
        <v>2.0313125528050002</v>
      </c>
      <c r="H8" s="318">
        <f>C8*DATA!$D$5/1000000</f>
        <v>34.34508145368698</v>
      </c>
      <c r="I8" s="318">
        <f>(C8*DATA!$D$5*DATA!$D$7)/1000000</f>
        <v>0.77276433270795708</v>
      </c>
      <c r="J8" s="316">
        <f t="shared" ref="J8:J32" ca="1" si="1">SUM(F8:I8)</f>
        <v>37.149158339199936</v>
      </c>
      <c r="K8" s="321"/>
      <c r="L8" s="316">
        <f>((D8*DATA!$D$23)/1000000)+((E8*DATA!$D$24)/1000000)</f>
        <v>45.768096</v>
      </c>
      <c r="M8" s="316">
        <f t="shared" ref="M8:M32" si="2">K8+L8</f>
        <v>45.768096</v>
      </c>
      <c r="N8" s="316">
        <f ca="1">M8-J8</f>
        <v>8.6189376608000643</v>
      </c>
      <c r="O8" s="315">
        <f>1/(1+'[93]Asumsi I'!$C$3)^(KKF!A8)</f>
        <v>0.89285714285714279</v>
      </c>
      <c r="P8" s="316">
        <f ca="1">O8*N8</f>
        <v>7.6954800542857713</v>
      </c>
      <c r="Q8" s="316">
        <f ca="1">Q7+P8</f>
        <v>-28.397376734234225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31680</v>
      </c>
      <c r="D9" s="316">
        <f t="shared" ref="D9:D32" si="5">C9*4/24</f>
        <v>5280</v>
      </c>
      <c r="E9" s="316">
        <f t="shared" si="0"/>
        <v>26400</v>
      </c>
      <c r="F9" s="314"/>
      <c r="G9" s="318">
        <f ca="1">DATA!$D$11/1000000</f>
        <v>2.0313125528050002</v>
      </c>
      <c r="H9" s="318">
        <f>C9*DATA!$D$5/1000000</f>
        <v>34.34508145368698</v>
      </c>
      <c r="I9" s="318">
        <f>(C9*DATA!$D$5*DATA!$D$7)/1000000</f>
        <v>0.77276433270795708</v>
      </c>
      <c r="J9" s="316">
        <f t="shared" ca="1" si="1"/>
        <v>37.149158339199936</v>
      </c>
      <c r="K9" s="316"/>
      <c r="L9" s="316">
        <f>((D9*DATA!$D$23)/1000000)+((E9*DATA!$D$24)/1000000)</f>
        <v>45.768096</v>
      </c>
      <c r="M9" s="316">
        <f t="shared" si="2"/>
        <v>45.768096</v>
      </c>
      <c r="N9" s="316">
        <f t="shared" ref="N9:N32" ca="1" si="6">M9-J9</f>
        <v>8.6189376608000643</v>
      </c>
      <c r="O9" s="322">
        <f>1/(1+'[93]Asumsi I'!$C$3)^(KKF!A9)</f>
        <v>0.79719387755102034</v>
      </c>
      <c r="P9" s="316">
        <f t="shared" ref="P9:P32" ca="1" si="7">O9*N9</f>
        <v>6.8709643341837241</v>
      </c>
      <c r="Q9" s="316">
        <f ca="1">Q8+P9</f>
        <v>-21.5264124000505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31680</v>
      </c>
      <c r="D10" s="316">
        <f t="shared" si="5"/>
        <v>5280</v>
      </c>
      <c r="E10" s="316">
        <f t="shared" si="0"/>
        <v>26400</v>
      </c>
      <c r="F10" s="314"/>
      <c r="G10" s="318">
        <f ca="1">DATA!$D$11/1000000</f>
        <v>2.0313125528050002</v>
      </c>
      <c r="H10" s="318">
        <f>C10*DATA!$D$5/1000000</f>
        <v>34.34508145368698</v>
      </c>
      <c r="I10" s="318">
        <f>(C10*DATA!$D$5*DATA!$D$7)/1000000</f>
        <v>0.77276433270795708</v>
      </c>
      <c r="J10" s="316">
        <f t="shared" ca="1" si="1"/>
        <v>37.149158339199936</v>
      </c>
      <c r="K10" s="314"/>
      <c r="L10" s="316">
        <f>((D10*DATA!$D$23)/1000000)+((E10*DATA!$D$24)/1000000)</f>
        <v>45.768096</v>
      </c>
      <c r="M10" s="316">
        <f t="shared" si="2"/>
        <v>45.768096</v>
      </c>
      <c r="N10" s="316">
        <f t="shared" ca="1" si="6"/>
        <v>8.6189376608000643</v>
      </c>
      <c r="O10" s="315">
        <f>1/(1+'[93]Asumsi I'!$C$3)^(KKF!A10)</f>
        <v>0.71178024781341087</v>
      </c>
      <c r="P10" s="316">
        <f t="shared" ca="1" si="7"/>
        <v>6.1347895840926094</v>
      </c>
      <c r="Q10" s="316">
        <f t="shared" ref="Q10:Q30" ca="1" si="9">Q9+P10</f>
        <v>-15.391622815957891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31680</v>
      </c>
      <c r="D11" s="316">
        <f t="shared" si="5"/>
        <v>5280</v>
      </c>
      <c r="E11" s="316">
        <f t="shared" si="0"/>
        <v>26400</v>
      </c>
      <c r="F11" s="314"/>
      <c r="G11" s="318">
        <f ca="1">DATA!$D$11/1000000</f>
        <v>2.0313125528050002</v>
      </c>
      <c r="H11" s="318">
        <f>C11*DATA!$D$5/1000000</f>
        <v>34.34508145368698</v>
      </c>
      <c r="I11" s="318">
        <f>(C11*DATA!$D$5*DATA!$D$7)/1000000</f>
        <v>0.77276433270795708</v>
      </c>
      <c r="J11" s="316">
        <f t="shared" ca="1" si="1"/>
        <v>37.149158339199936</v>
      </c>
      <c r="K11" s="314"/>
      <c r="L11" s="316">
        <f>((D11*DATA!$D$23)/1000000)+((E11*DATA!$D$24)/1000000)</f>
        <v>45.768096</v>
      </c>
      <c r="M11" s="316">
        <f t="shared" si="2"/>
        <v>45.768096</v>
      </c>
      <c r="N11" s="316">
        <f t="shared" ca="1" si="6"/>
        <v>8.6189376608000643</v>
      </c>
      <c r="O11" s="315">
        <f>1/(1+'[93]Asumsi I'!$C$3)^(KKF!A11)</f>
        <v>0.63551807840483121</v>
      </c>
      <c r="P11" s="316">
        <f t="shared" ca="1" si="7"/>
        <v>5.4774907000826873</v>
      </c>
      <c r="Q11" s="316">
        <f t="shared" ca="1" si="9"/>
        <v>-9.9141321158752049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31680</v>
      </c>
      <c r="D12" s="316">
        <f t="shared" si="5"/>
        <v>5280</v>
      </c>
      <c r="E12" s="316">
        <f t="shared" si="0"/>
        <v>26400</v>
      </c>
      <c r="F12" s="314"/>
      <c r="G12" s="318">
        <f ca="1">DATA!$D$11/1000000</f>
        <v>2.0313125528050002</v>
      </c>
      <c r="H12" s="318">
        <f>C12*DATA!$D$5/1000000</f>
        <v>34.34508145368698</v>
      </c>
      <c r="I12" s="318">
        <f>(C12*DATA!$D$5*DATA!$D$7)/1000000</f>
        <v>0.77276433270795708</v>
      </c>
      <c r="J12" s="316">
        <f t="shared" ca="1" si="1"/>
        <v>37.149158339199936</v>
      </c>
      <c r="K12" s="314"/>
      <c r="L12" s="316">
        <f>((D12*DATA!$D$23)/1000000)+((E12*DATA!$D$24)/1000000)</f>
        <v>45.768096</v>
      </c>
      <c r="M12" s="316">
        <f t="shared" si="2"/>
        <v>45.768096</v>
      </c>
      <c r="N12" s="316">
        <f t="shared" ca="1" si="6"/>
        <v>8.6189376608000643</v>
      </c>
      <c r="O12" s="315">
        <f>1/(1+'[93]Asumsi I'!$C$3)^(KKF!A12)</f>
        <v>0.56742685571859919</v>
      </c>
      <c r="P12" s="316">
        <f t="shared" ca="1" si="7"/>
        <v>4.8906166965023985</v>
      </c>
      <c r="Q12" s="316">
        <f t="shared" ca="1" si="9"/>
        <v>-5.0235154193728064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31680</v>
      </c>
      <c r="D13" s="316">
        <f t="shared" si="5"/>
        <v>5280</v>
      </c>
      <c r="E13" s="316">
        <f t="shared" si="0"/>
        <v>26400</v>
      </c>
      <c r="F13" s="314"/>
      <c r="G13" s="318">
        <f ca="1">DATA!$D$11/1000000</f>
        <v>2.0313125528050002</v>
      </c>
      <c r="H13" s="318">
        <f>C13*DATA!$D$5/1000000</f>
        <v>34.34508145368698</v>
      </c>
      <c r="I13" s="318">
        <f>(C13*DATA!$D$5*DATA!$D$7)/1000000</f>
        <v>0.77276433270795708</v>
      </c>
      <c r="J13" s="316">
        <f t="shared" ca="1" si="1"/>
        <v>37.149158339199936</v>
      </c>
      <c r="K13" s="314"/>
      <c r="L13" s="316">
        <f>((D13*DATA!$D$23)/1000000)+((E13*DATA!$D$24)/1000000)</f>
        <v>45.768096</v>
      </c>
      <c r="M13" s="316">
        <f t="shared" si="2"/>
        <v>45.768096</v>
      </c>
      <c r="N13" s="316">
        <f t="shared" ca="1" si="6"/>
        <v>8.6189376608000643</v>
      </c>
      <c r="O13" s="315">
        <f>1/(1+'[93]Asumsi I'!$C$3)^(KKF!A13)</f>
        <v>0.50663112117732068</v>
      </c>
      <c r="P13" s="316">
        <f t="shared" ca="1" si="7"/>
        <v>4.3666220504485702</v>
      </c>
      <c r="Q13" s="316">
        <f t="shared" ca="1" si="9"/>
        <v>-0.65689336892423622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31680</v>
      </c>
      <c r="D14" s="316">
        <f t="shared" si="5"/>
        <v>5280</v>
      </c>
      <c r="E14" s="316">
        <f t="shared" si="0"/>
        <v>26400</v>
      </c>
      <c r="F14" s="314"/>
      <c r="G14" s="318">
        <f ca="1">DATA!$D$11/1000000</f>
        <v>2.0313125528050002</v>
      </c>
      <c r="H14" s="318">
        <f>C14*DATA!$D$5/1000000</f>
        <v>34.34508145368698</v>
      </c>
      <c r="I14" s="318">
        <f>(C14*DATA!$D$5*DATA!$D$7)/1000000</f>
        <v>0.77276433270795708</v>
      </c>
      <c r="J14" s="316">
        <f t="shared" ca="1" si="1"/>
        <v>37.149158339199936</v>
      </c>
      <c r="K14" s="314"/>
      <c r="L14" s="316">
        <f>((D14*DATA!$D$23)/1000000)+((E14*DATA!$D$24)/1000000)</f>
        <v>45.768096</v>
      </c>
      <c r="M14" s="316">
        <f t="shared" si="2"/>
        <v>45.768096</v>
      </c>
      <c r="N14" s="316">
        <f t="shared" ca="1" si="6"/>
        <v>8.6189376608000643</v>
      </c>
      <c r="O14" s="315">
        <f>1/(1+'[93]Asumsi I'!$C$3)^(KKF!A14)</f>
        <v>0.45234921533689343</v>
      </c>
      <c r="P14" s="316">
        <f t="shared" ca="1" si="7"/>
        <v>3.8987696879005087</v>
      </c>
      <c r="Q14" s="316">
        <f t="shared" ca="1" si="9"/>
        <v>3.2418763189762725</v>
      </c>
      <c r="S14" s="304" t="str">
        <f t="shared" ca="1" si="3"/>
        <v/>
      </c>
      <c r="T14" s="320">
        <f t="shared" ca="1" si="10"/>
        <v>6.6238659047598514</v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31680</v>
      </c>
      <c r="D15" s="316">
        <f t="shared" si="5"/>
        <v>5280</v>
      </c>
      <c r="E15" s="316">
        <f t="shared" si="0"/>
        <v>26400</v>
      </c>
      <c r="F15" s="314"/>
      <c r="G15" s="318">
        <f ca="1">DATA!$D$11/1000000</f>
        <v>2.0313125528050002</v>
      </c>
      <c r="H15" s="318">
        <f>C15*DATA!$D$5/1000000</f>
        <v>34.34508145368698</v>
      </c>
      <c r="I15" s="318">
        <f>(C15*DATA!$D$5*DATA!$D$7)/1000000</f>
        <v>0.77276433270795708</v>
      </c>
      <c r="J15" s="316">
        <f t="shared" ca="1" si="1"/>
        <v>37.149158339199936</v>
      </c>
      <c r="K15" s="314"/>
      <c r="L15" s="316">
        <f>((D15*DATA!$D$23)/1000000)+((E15*DATA!$D$24)/1000000)</f>
        <v>45.768096</v>
      </c>
      <c r="M15" s="316">
        <f t="shared" si="2"/>
        <v>45.768096</v>
      </c>
      <c r="N15" s="316">
        <f t="shared" ca="1" si="6"/>
        <v>8.6189376608000643</v>
      </c>
      <c r="O15" s="315">
        <f>1/(1+'[93]Asumsi I'!$C$3)^(KKF!A15)</f>
        <v>0.4038832279793691</v>
      </c>
      <c r="P15" s="316">
        <f t="shared" ca="1" si="7"/>
        <v>3.4810443641968827</v>
      </c>
      <c r="Q15" s="316">
        <f t="shared" ca="1" si="9"/>
        <v>6.7229206831731556</v>
      </c>
      <c r="S15" s="304" t="str">
        <f t="shared" ca="1" si="3"/>
        <v/>
      </c>
      <c r="T15" s="320">
        <f t="shared" ca="1" si="10"/>
        <v>7.2199826767804822</v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31680</v>
      </c>
      <c r="D16" s="316">
        <f t="shared" si="5"/>
        <v>5280</v>
      </c>
      <c r="E16" s="316">
        <f t="shared" si="0"/>
        <v>26400</v>
      </c>
      <c r="F16" s="314"/>
      <c r="G16" s="318">
        <f ca="1">DATA!$D$11/1000000</f>
        <v>2.0313125528050002</v>
      </c>
      <c r="H16" s="318">
        <f>C16*DATA!$D$5/1000000</f>
        <v>34.34508145368698</v>
      </c>
      <c r="I16" s="318">
        <f>(C16*DATA!$D$5*DATA!$D$7)/1000000</f>
        <v>0.77276433270795708</v>
      </c>
      <c r="J16" s="316">
        <f t="shared" ca="1" si="1"/>
        <v>37.149158339199936</v>
      </c>
      <c r="K16" s="314"/>
      <c r="L16" s="316">
        <f>((D16*DATA!$D$23)/1000000)+((E16*DATA!$D$24)/1000000)</f>
        <v>45.768096</v>
      </c>
      <c r="M16" s="316">
        <f t="shared" si="2"/>
        <v>45.768096</v>
      </c>
      <c r="N16" s="316">
        <f t="shared" ca="1" si="6"/>
        <v>8.6189376608000643</v>
      </c>
      <c r="O16" s="315">
        <f>1/(1+'[93]Asumsi I'!$C$3)^(KKF!A16)</f>
        <v>0.36061002498157957</v>
      </c>
      <c r="P16" s="316">
        <f t="shared" ca="1" si="7"/>
        <v>3.108075325175788</v>
      </c>
      <c r="Q16" s="316">
        <f t="shared" ca="1" si="9"/>
        <v>9.8309960083489436</v>
      </c>
      <c r="S16" s="304" t="str">
        <f t="shared" ca="1" si="3"/>
        <v/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31680</v>
      </c>
      <c r="D17" s="316">
        <f t="shared" si="5"/>
        <v>5280</v>
      </c>
      <c r="E17" s="316">
        <f t="shared" si="0"/>
        <v>26400</v>
      </c>
      <c r="F17" s="314"/>
      <c r="G17" s="318">
        <f ca="1">DATA!$D$11/1000000</f>
        <v>2.0313125528050002</v>
      </c>
      <c r="H17" s="318">
        <f>C17*DATA!$D$5/1000000</f>
        <v>34.34508145368698</v>
      </c>
      <c r="I17" s="318">
        <f>(C17*DATA!$D$5*DATA!$D$7)/1000000</f>
        <v>0.77276433270795708</v>
      </c>
      <c r="J17" s="316">
        <f t="shared" ca="1" si="1"/>
        <v>37.149158339199936</v>
      </c>
      <c r="K17" s="314"/>
      <c r="L17" s="316">
        <f>((D17*DATA!$D$23)/1000000)+((E17*DATA!$D$24)/1000000)</f>
        <v>45.768096</v>
      </c>
      <c r="M17" s="316">
        <f t="shared" si="2"/>
        <v>45.768096</v>
      </c>
      <c r="N17" s="316">
        <f t="shared" ca="1" si="6"/>
        <v>8.6189376608000643</v>
      </c>
      <c r="O17" s="315">
        <f>1/(1+'[93]Asumsi I'!$C$3)^(KKF!A17)</f>
        <v>0.32197323659069599</v>
      </c>
      <c r="P17" s="316">
        <f t="shared" ca="1" si="7"/>
        <v>2.7750672546212392</v>
      </c>
      <c r="Q17" s="316">
        <f t="shared" ca="1" si="9"/>
        <v>12.606063262970183</v>
      </c>
      <c r="S17" s="304" t="str">
        <f t="shared" ca="1" si="3"/>
        <v/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31680</v>
      </c>
      <c r="D18" s="316">
        <f t="shared" si="5"/>
        <v>5280</v>
      </c>
      <c r="E18" s="316">
        <f t="shared" si="0"/>
        <v>26400</v>
      </c>
      <c r="F18" s="314"/>
      <c r="G18" s="318">
        <f ca="1">DATA!$D$11/1000000</f>
        <v>2.0313125528050002</v>
      </c>
      <c r="H18" s="318">
        <f>C18*DATA!$D$5/1000000</f>
        <v>34.34508145368698</v>
      </c>
      <c r="I18" s="318">
        <f>(C18*DATA!$D$5*DATA!$D$7)/1000000</f>
        <v>0.77276433270795708</v>
      </c>
      <c r="J18" s="316">
        <f t="shared" ca="1" si="1"/>
        <v>37.149158339199936</v>
      </c>
      <c r="K18" s="314"/>
      <c r="L18" s="316">
        <f>((D18*DATA!$D$23)/1000000)+((E18*DATA!$D$24)/1000000)</f>
        <v>45.768096</v>
      </c>
      <c r="M18" s="316">
        <f t="shared" si="2"/>
        <v>45.768096</v>
      </c>
      <c r="N18" s="316">
        <f t="shared" ca="1" si="6"/>
        <v>8.6189376608000643</v>
      </c>
      <c r="O18" s="315">
        <f>1/(1+'[93]Asumsi I'!$C$3)^(KKF!A18)</f>
        <v>0.28747610409883567</v>
      </c>
      <c r="P18" s="316">
        <f t="shared" ca="1" si="7"/>
        <v>2.4777386201975347</v>
      </c>
      <c r="Q18" s="316">
        <f t="shared" ca="1" si="9"/>
        <v>15.083801883167718</v>
      </c>
      <c r="S18" s="304" t="str">
        <f t="shared" ca="1" si="3"/>
        <v/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31680</v>
      </c>
      <c r="D19" s="316">
        <f t="shared" si="5"/>
        <v>5280</v>
      </c>
      <c r="E19" s="316">
        <f t="shared" si="0"/>
        <v>26400</v>
      </c>
      <c r="F19" s="314"/>
      <c r="G19" s="318">
        <f ca="1">DATA!$D$11/1000000</f>
        <v>2.0313125528050002</v>
      </c>
      <c r="H19" s="318">
        <f>C19*DATA!$D$5/1000000</f>
        <v>34.34508145368698</v>
      </c>
      <c r="I19" s="318">
        <f>(C19*DATA!$D$5*DATA!$D$7)/1000000</f>
        <v>0.77276433270795708</v>
      </c>
      <c r="J19" s="316">
        <f t="shared" ca="1" si="1"/>
        <v>37.149158339199936</v>
      </c>
      <c r="K19" s="314"/>
      <c r="L19" s="316">
        <f>((D19*DATA!$D$23)/1000000)+((E19*DATA!$D$24)/1000000)</f>
        <v>45.768096</v>
      </c>
      <c r="M19" s="316">
        <f t="shared" si="2"/>
        <v>45.768096</v>
      </c>
      <c r="N19" s="316">
        <f t="shared" ca="1" si="6"/>
        <v>8.6189376608000643</v>
      </c>
      <c r="O19" s="315">
        <f>1/(1+'[93]Asumsi I'!$C$3)^(KKF!A19)</f>
        <v>0.25667509294538904</v>
      </c>
      <c r="P19" s="316">
        <f t="shared" ca="1" si="7"/>
        <v>2.2122666251763703</v>
      </c>
      <c r="Q19" s="316">
        <f t="shared" ca="1" si="9"/>
        <v>17.296068508344089</v>
      </c>
      <c r="S19" s="304" t="str">
        <f t="shared" ca="1" si="3"/>
        <v/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31680</v>
      </c>
      <c r="D20" s="316">
        <f t="shared" si="5"/>
        <v>5280</v>
      </c>
      <c r="E20" s="316">
        <f t="shared" si="0"/>
        <v>26400</v>
      </c>
      <c r="F20" s="314"/>
      <c r="G20" s="318">
        <f ca="1">DATA!$D$11/1000000</f>
        <v>2.0313125528050002</v>
      </c>
      <c r="H20" s="318">
        <f>C20*DATA!$D$5/1000000</f>
        <v>34.34508145368698</v>
      </c>
      <c r="I20" s="318">
        <f>(C20*DATA!$D$5*DATA!$D$7)/1000000</f>
        <v>0.77276433270795708</v>
      </c>
      <c r="J20" s="316">
        <f t="shared" ca="1" si="1"/>
        <v>37.149158339199936</v>
      </c>
      <c r="K20" s="314"/>
      <c r="L20" s="316">
        <f>((D20*DATA!$D$23)/1000000)+((E20*DATA!$D$24)/1000000)</f>
        <v>45.768096</v>
      </c>
      <c r="M20" s="316">
        <f t="shared" si="2"/>
        <v>45.768096</v>
      </c>
      <c r="N20" s="316">
        <f t="shared" ca="1" si="6"/>
        <v>8.6189376608000643</v>
      </c>
      <c r="O20" s="315">
        <f>1/(1+'[93]Asumsi I'!$C$3)^(KKF!A20)</f>
        <v>0.22917419012981158</v>
      </c>
      <c r="P20" s="316">
        <f t="shared" ca="1" si="7"/>
        <v>1.9752380581931874</v>
      </c>
      <c r="Q20" s="316">
        <f t="shared" ca="1" si="9"/>
        <v>19.271306566537277</v>
      </c>
      <c r="S20" s="304" t="str">
        <f t="shared" ca="1" si="3"/>
        <v/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31680</v>
      </c>
      <c r="D21" s="316">
        <f t="shared" si="5"/>
        <v>5280</v>
      </c>
      <c r="E21" s="316">
        <f t="shared" si="0"/>
        <v>26400</v>
      </c>
      <c r="F21" s="314"/>
      <c r="G21" s="318">
        <f ca="1">DATA!$D$11/1000000</f>
        <v>2.0313125528050002</v>
      </c>
      <c r="H21" s="318">
        <f>C21*DATA!$D$5/1000000</f>
        <v>34.34508145368698</v>
      </c>
      <c r="I21" s="318">
        <f>(C21*DATA!$D$5*DATA!$D$7)/1000000</f>
        <v>0.77276433270795708</v>
      </c>
      <c r="J21" s="316">
        <f t="shared" ca="1" si="1"/>
        <v>37.149158339199936</v>
      </c>
      <c r="K21" s="314"/>
      <c r="L21" s="316">
        <f>((D21*DATA!$D$23)/1000000)+((E21*DATA!$D$24)/1000000)</f>
        <v>45.768096</v>
      </c>
      <c r="M21" s="316">
        <f t="shared" si="2"/>
        <v>45.768096</v>
      </c>
      <c r="N21" s="316">
        <f t="shared" ca="1" si="6"/>
        <v>8.6189376608000643</v>
      </c>
      <c r="O21" s="315">
        <f>1/(1+'[93]Asumsi I'!$C$3)^(KKF!A21)</f>
        <v>0.20461981261590317</v>
      </c>
      <c r="P21" s="316">
        <f t="shared" ca="1" si="7"/>
        <v>1.76360540910106</v>
      </c>
      <c r="Q21" s="316">
        <f t="shared" ca="1" si="9"/>
        <v>21.034911975638337</v>
      </c>
      <c r="S21" s="304" t="str">
        <f t="shared" ca="1" si="3"/>
        <v/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31680</v>
      </c>
      <c r="D22" s="316">
        <f t="shared" si="5"/>
        <v>5280</v>
      </c>
      <c r="E22" s="316">
        <f t="shared" si="0"/>
        <v>26400</v>
      </c>
      <c r="F22" s="314"/>
      <c r="G22" s="318">
        <f ca="1">DATA!$D$11/1000000</f>
        <v>2.0313125528050002</v>
      </c>
      <c r="H22" s="318">
        <f>C22*DATA!$D$5/1000000</f>
        <v>34.34508145368698</v>
      </c>
      <c r="I22" s="318">
        <f>(C22*DATA!$D$5*DATA!$D$7)/1000000</f>
        <v>0.77276433270795708</v>
      </c>
      <c r="J22" s="316">
        <f t="shared" ca="1" si="1"/>
        <v>37.149158339199936</v>
      </c>
      <c r="K22" s="314"/>
      <c r="L22" s="316">
        <f>((D22*DATA!$D$23)/1000000)+((E22*DATA!$D$24)/1000000)</f>
        <v>45.768096</v>
      </c>
      <c r="M22" s="316">
        <f t="shared" si="2"/>
        <v>45.768096</v>
      </c>
      <c r="N22" s="316">
        <f t="shared" ca="1" si="6"/>
        <v>8.6189376608000643</v>
      </c>
      <c r="O22" s="315">
        <f>1/(1+'[93]Asumsi I'!$C$3)^(KKF!A22)</f>
        <v>0.18269626126419927</v>
      </c>
      <c r="P22" s="316">
        <f t="shared" ca="1" si="7"/>
        <v>1.5746476866973751</v>
      </c>
      <c r="Q22" s="316">
        <f t="shared" ca="1" si="9"/>
        <v>22.609559662335712</v>
      </c>
      <c r="S22" s="304" t="str">
        <f t="shared" ca="1" si="3"/>
        <v/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31680</v>
      </c>
      <c r="D23" s="316">
        <f t="shared" si="5"/>
        <v>5280</v>
      </c>
      <c r="E23" s="316">
        <f t="shared" si="0"/>
        <v>26400</v>
      </c>
      <c r="F23" s="314"/>
      <c r="G23" s="318">
        <f ca="1">DATA!$D$11/1000000</f>
        <v>2.0313125528050002</v>
      </c>
      <c r="H23" s="318">
        <f>C23*DATA!$D$5/1000000</f>
        <v>34.34508145368698</v>
      </c>
      <c r="I23" s="318">
        <f>(C23*DATA!$D$5*DATA!$D$7)/1000000</f>
        <v>0.77276433270795708</v>
      </c>
      <c r="J23" s="316">
        <f t="shared" ca="1" si="1"/>
        <v>37.149158339199936</v>
      </c>
      <c r="K23" s="314"/>
      <c r="L23" s="316">
        <f>((D23*DATA!$D$23)/1000000)+((E23*DATA!$D$24)/1000000)</f>
        <v>45.768096</v>
      </c>
      <c r="M23" s="316">
        <f t="shared" si="2"/>
        <v>45.768096</v>
      </c>
      <c r="N23" s="316">
        <f t="shared" ca="1" si="6"/>
        <v>8.6189376608000643</v>
      </c>
      <c r="O23" s="315">
        <f>1/(1+'[93]Asumsi I'!$C$3)^(KKF!A23)</f>
        <v>0.16312166184303503</v>
      </c>
      <c r="P23" s="316">
        <f t="shared" ca="1" si="7"/>
        <v>1.4059354345512274</v>
      </c>
      <c r="Q23" s="316">
        <f t="shared" ca="1" si="9"/>
        <v>24.015495096886941</v>
      </c>
      <c r="S23" s="304" t="str">
        <f t="shared" ca="1" si="3"/>
        <v/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31680</v>
      </c>
      <c r="D24" s="316">
        <f t="shared" si="5"/>
        <v>5280</v>
      </c>
      <c r="E24" s="316">
        <f t="shared" si="0"/>
        <v>26400</v>
      </c>
      <c r="F24" s="314"/>
      <c r="G24" s="318">
        <f ca="1">DATA!$D$11/1000000</f>
        <v>2.0313125528050002</v>
      </c>
      <c r="H24" s="318">
        <f>C24*DATA!$D$5/1000000</f>
        <v>34.34508145368698</v>
      </c>
      <c r="I24" s="318">
        <f>(C24*DATA!$D$5*DATA!$D$7)/1000000</f>
        <v>0.77276433270795708</v>
      </c>
      <c r="J24" s="316">
        <f t="shared" ca="1" si="1"/>
        <v>37.149158339199936</v>
      </c>
      <c r="K24" s="314"/>
      <c r="L24" s="316">
        <f>((D24*DATA!$D$23)/1000000)+((E24*DATA!$D$24)/1000000)</f>
        <v>45.768096</v>
      </c>
      <c r="M24" s="316">
        <f t="shared" si="2"/>
        <v>45.768096</v>
      </c>
      <c r="N24" s="316">
        <f t="shared" ca="1" si="6"/>
        <v>8.6189376608000643</v>
      </c>
      <c r="O24" s="315">
        <f>1/(1+'[93]Asumsi I'!$C$3)^(KKF!A24)</f>
        <v>0.14564434093128129</v>
      </c>
      <c r="P24" s="316">
        <f t="shared" ca="1" si="7"/>
        <v>1.2552994951350245</v>
      </c>
      <c r="Q24" s="316">
        <f t="shared" ca="1" si="9"/>
        <v>25.270794592021964</v>
      </c>
      <c r="S24" s="304" t="str">
        <f t="shared" ca="1" si="3"/>
        <v/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31680</v>
      </c>
      <c r="D25" s="316">
        <f t="shared" si="5"/>
        <v>5280</v>
      </c>
      <c r="E25" s="316">
        <f t="shared" si="0"/>
        <v>26400</v>
      </c>
      <c r="F25" s="314"/>
      <c r="G25" s="318">
        <f ca="1">DATA!$D$11/1000000</f>
        <v>2.0313125528050002</v>
      </c>
      <c r="H25" s="318">
        <f>C25*DATA!$D$5/1000000</f>
        <v>34.34508145368698</v>
      </c>
      <c r="I25" s="318">
        <f>(C25*DATA!$D$5*DATA!$D$7)/1000000</f>
        <v>0.77276433270795708</v>
      </c>
      <c r="J25" s="316">
        <f t="shared" ca="1" si="1"/>
        <v>37.149158339199936</v>
      </c>
      <c r="K25" s="314"/>
      <c r="L25" s="316">
        <f>((D25*DATA!$D$23)/1000000)+((E25*DATA!$D$24)/1000000)</f>
        <v>45.768096</v>
      </c>
      <c r="M25" s="316">
        <f t="shared" si="2"/>
        <v>45.768096</v>
      </c>
      <c r="N25" s="316">
        <f t="shared" ca="1" si="6"/>
        <v>8.6189376608000643</v>
      </c>
      <c r="O25" s="315">
        <f>1/(1+'[93]Asumsi I'!$C$3)^(KKF!A25)</f>
        <v>0.13003959011721541</v>
      </c>
      <c r="P25" s="316">
        <f t="shared" ca="1" si="7"/>
        <v>1.1208031206562719</v>
      </c>
      <c r="Q25" s="316">
        <f t="shared" ca="1" si="9"/>
        <v>26.391597712678237</v>
      </c>
      <c r="S25" s="304" t="str">
        <f t="shared" ca="1" si="3"/>
        <v/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31680</v>
      </c>
      <c r="D26" s="316">
        <f t="shared" si="5"/>
        <v>5280</v>
      </c>
      <c r="E26" s="316">
        <f t="shared" si="0"/>
        <v>26400</v>
      </c>
      <c r="F26" s="314"/>
      <c r="G26" s="318">
        <f ca="1">DATA!$D$11/1000000</f>
        <v>2.0313125528050002</v>
      </c>
      <c r="H26" s="318">
        <f>C26*DATA!$D$5/1000000</f>
        <v>34.34508145368698</v>
      </c>
      <c r="I26" s="318">
        <f>(C26*DATA!$D$5*DATA!$D$7)/1000000</f>
        <v>0.77276433270795708</v>
      </c>
      <c r="J26" s="316">
        <f t="shared" ca="1" si="1"/>
        <v>37.149158339199936</v>
      </c>
      <c r="K26" s="314"/>
      <c r="L26" s="316">
        <f>((D26*DATA!$D$23)/1000000)+((E26*DATA!$D$24)/1000000)</f>
        <v>45.768096</v>
      </c>
      <c r="M26" s="316">
        <f t="shared" si="2"/>
        <v>45.768096</v>
      </c>
      <c r="N26" s="316">
        <f t="shared" ca="1" si="6"/>
        <v>8.6189376608000643</v>
      </c>
      <c r="O26" s="315">
        <f>1/(1+'[93]Asumsi I'!$C$3)^(KKF!A26)</f>
        <v>0.1161067768903709</v>
      </c>
      <c r="P26" s="316">
        <f t="shared" ca="1" si="7"/>
        <v>1.0007170720145282</v>
      </c>
      <c r="Q26" s="316">
        <f t="shared" ca="1" si="9"/>
        <v>27.392314784692765</v>
      </c>
      <c r="S26" s="304" t="str">
        <f t="shared" ca="1" si="3"/>
        <v/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31680</v>
      </c>
      <c r="D27" s="316">
        <f t="shared" si="5"/>
        <v>5280</v>
      </c>
      <c r="E27" s="316">
        <f t="shared" si="0"/>
        <v>26400</v>
      </c>
      <c r="F27" s="314"/>
      <c r="G27" s="318">
        <f ca="1">DATA!$D$11/1000000</f>
        <v>2.0313125528050002</v>
      </c>
      <c r="H27" s="318">
        <f>C27*DATA!$D$5/1000000</f>
        <v>34.34508145368698</v>
      </c>
      <c r="I27" s="318">
        <f>(C27*DATA!$D$5*DATA!$D$7)/1000000</f>
        <v>0.77276433270795708</v>
      </c>
      <c r="J27" s="316">
        <f t="shared" ca="1" si="1"/>
        <v>37.149158339199936</v>
      </c>
      <c r="K27" s="314"/>
      <c r="L27" s="316">
        <f>((D27*DATA!$D$23)/1000000)+((E27*DATA!$D$24)/1000000)</f>
        <v>45.768096</v>
      </c>
      <c r="M27" s="316">
        <f t="shared" si="2"/>
        <v>45.768096</v>
      </c>
      <c r="N27" s="316">
        <f t="shared" ca="1" si="6"/>
        <v>8.6189376608000643</v>
      </c>
      <c r="O27" s="315">
        <f>1/(1+'[93]Asumsi I'!$C$3)^(KKF!A27)</f>
        <v>0.1036667650806883</v>
      </c>
      <c r="P27" s="316">
        <f t="shared" ca="1" si="7"/>
        <v>0.89349738572725734</v>
      </c>
      <c r="Q27" s="316">
        <f t="shared" ca="1" si="9"/>
        <v>28.285812170420023</v>
      </c>
      <c r="S27" s="304" t="str">
        <f t="shared" ca="1" si="3"/>
        <v/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31680</v>
      </c>
      <c r="D28" s="316">
        <f t="shared" si="5"/>
        <v>5280</v>
      </c>
      <c r="E28" s="316">
        <f t="shared" si="0"/>
        <v>26400</v>
      </c>
      <c r="F28" s="314"/>
      <c r="G28" s="318">
        <f ca="1">DATA!$D$11/1000000</f>
        <v>2.0313125528050002</v>
      </c>
      <c r="H28" s="318">
        <f>C28*DATA!$D$5/1000000</f>
        <v>34.34508145368698</v>
      </c>
      <c r="I28" s="318">
        <f>(C28*DATA!$D$5*DATA!$D$7)/1000000</f>
        <v>0.77276433270795708</v>
      </c>
      <c r="J28" s="316">
        <f t="shared" ca="1" si="1"/>
        <v>37.149158339199936</v>
      </c>
      <c r="K28" s="314"/>
      <c r="L28" s="316">
        <f>((D28*DATA!$D$23)/1000000)+((E28*DATA!$D$24)/1000000)</f>
        <v>45.768096</v>
      </c>
      <c r="M28" s="316">
        <f t="shared" si="2"/>
        <v>45.768096</v>
      </c>
      <c r="N28" s="316">
        <f t="shared" ca="1" si="6"/>
        <v>8.6189376608000643</v>
      </c>
      <c r="O28" s="315">
        <f>1/(1+'[93]Asumsi I'!$C$3)^(KKF!A28)</f>
        <v>9.2559611679185971E-2</v>
      </c>
      <c r="P28" s="316">
        <f t="shared" ca="1" si="7"/>
        <v>0.79776552297076542</v>
      </c>
      <c r="Q28" s="316">
        <f t="shared" ca="1" si="9"/>
        <v>29.083577693390787</v>
      </c>
      <c r="S28" s="304" t="str">
        <f t="shared" ca="1" si="3"/>
        <v/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31680</v>
      </c>
      <c r="D29" s="316">
        <f t="shared" si="5"/>
        <v>5280</v>
      </c>
      <c r="E29" s="316">
        <f t="shared" si="0"/>
        <v>26400</v>
      </c>
      <c r="F29" s="314"/>
      <c r="G29" s="318">
        <f ca="1">DATA!$D$11/1000000</f>
        <v>2.0313125528050002</v>
      </c>
      <c r="H29" s="318">
        <f>C29*DATA!$D$5/1000000</f>
        <v>34.34508145368698</v>
      </c>
      <c r="I29" s="318">
        <f>(C29*DATA!$D$5*DATA!$D$7)/1000000</f>
        <v>0.77276433270795708</v>
      </c>
      <c r="J29" s="316">
        <f t="shared" ca="1" si="1"/>
        <v>37.149158339199936</v>
      </c>
      <c r="K29" s="314"/>
      <c r="L29" s="316">
        <f>((D29*DATA!$D$23)/1000000)+((E29*DATA!$D$24)/1000000)</f>
        <v>45.768096</v>
      </c>
      <c r="M29" s="316">
        <f t="shared" si="2"/>
        <v>45.768096</v>
      </c>
      <c r="N29" s="316">
        <f t="shared" ca="1" si="6"/>
        <v>8.6189376608000643</v>
      </c>
      <c r="O29" s="315">
        <f>1/(1+'[93]Asumsi I'!$C$3)^(KKF!A29)</f>
        <v>8.2642510427844609E-2</v>
      </c>
      <c r="P29" s="316">
        <f t="shared" ca="1" si="7"/>
        <v>0.71229064550961196</v>
      </c>
      <c r="Q29" s="316">
        <f t="shared" ca="1" si="9"/>
        <v>29.795868338900398</v>
      </c>
      <c r="S29" s="304" t="str">
        <f t="shared" ca="1" si="3"/>
        <v/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31680</v>
      </c>
      <c r="D30" s="316">
        <f t="shared" si="5"/>
        <v>5280</v>
      </c>
      <c r="E30" s="316">
        <f t="shared" si="0"/>
        <v>26400</v>
      </c>
      <c r="F30" s="314"/>
      <c r="G30" s="318">
        <f ca="1">DATA!$D$11/1000000</f>
        <v>2.0313125528050002</v>
      </c>
      <c r="H30" s="318">
        <f>C30*DATA!$D$5/1000000</f>
        <v>34.34508145368698</v>
      </c>
      <c r="I30" s="318">
        <f>(C30*DATA!$D$5*DATA!$D$7)/1000000</f>
        <v>0.77276433270795708</v>
      </c>
      <c r="J30" s="316">
        <f t="shared" ca="1" si="1"/>
        <v>37.149158339199936</v>
      </c>
      <c r="K30" s="314"/>
      <c r="L30" s="316">
        <f>((D30*DATA!$D$23)/1000000)+((E30*DATA!$D$24)/1000000)</f>
        <v>45.768096</v>
      </c>
      <c r="M30" s="316">
        <f t="shared" si="2"/>
        <v>45.768096</v>
      </c>
      <c r="N30" s="316">
        <f t="shared" ca="1" si="6"/>
        <v>8.6189376608000643</v>
      </c>
      <c r="O30" s="315">
        <f>1/(1+'[93]Asumsi I'!$C$3)^(KKF!A30)</f>
        <v>7.3787955739146982E-2</v>
      </c>
      <c r="P30" s="316">
        <f t="shared" ca="1" si="7"/>
        <v>0.63597379063358217</v>
      </c>
      <c r="Q30" s="316">
        <f t="shared" ca="1" si="9"/>
        <v>30.43184212953398</v>
      </c>
      <c r="S30" s="304" t="str">
        <f t="shared" ca="1" si="3"/>
        <v/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31680</v>
      </c>
      <c r="D31" s="316">
        <f t="shared" si="5"/>
        <v>5280</v>
      </c>
      <c r="E31" s="316">
        <f t="shared" si="0"/>
        <v>26400</v>
      </c>
      <c r="F31" s="314"/>
      <c r="G31" s="318">
        <f ca="1">DATA!$D$11/1000000</f>
        <v>2.0313125528050002</v>
      </c>
      <c r="H31" s="318">
        <f>C31*DATA!$D$5/1000000</f>
        <v>34.34508145368698</v>
      </c>
      <c r="I31" s="318">
        <f>(C31*DATA!$D$5*DATA!$D$7)/1000000</f>
        <v>0.77276433270795708</v>
      </c>
      <c r="J31" s="316">
        <f t="shared" ca="1" si="1"/>
        <v>37.149158339199936</v>
      </c>
      <c r="K31" s="314"/>
      <c r="L31" s="316">
        <f>((D31*DATA!$D$23)/1000000)+((E31*DATA!$D$24)/1000000)</f>
        <v>45.768096</v>
      </c>
      <c r="M31" s="316">
        <f t="shared" si="2"/>
        <v>45.768096</v>
      </c>
      <c r="N31" s="316">
        <f t="shared" ca="1" si="6"/>
        <v>8.6189376608000643</v>
      </c>
      <c r="O31" s="315">
        <f>1/(1+'[93]Asumsi I'!$C$3)^(KKF!A31)</f>
        <v>6.5882103338524081E-2</v>
      </c>
      <c r="P31" s="316">
        <f t="shared" ca="1" si="7"/>
        <v>0.56783374163712685</v>
      </c>
      <c r="Q31" s="316">
        <f ca="1">Q30+P31</f>
        <v>30.999675871171107</v>
      </c>
      <c r="S31" s="304" t="str">
        <f t="shared" ca="1" si="3"/>
        <v/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31680</v>
      </c>
      <c r="D32" s="316">
        <f t="shared" si="5"/>
        <v>5280</v>
      </c>
      <c r="E32" s="316">
        <f t="shared" si="0"/>
        <v>26400</v>
      </c>
      <c r="F32" s="314"/>
      <c r="G32" s="318">
        <f ca="1">DATA!$D$11/1000000</f>
        <v>2.0313125528050002</v>
      </c>
      <c r="H32" s="318">
        <f>C32*DATA!$D$5/1000000</f>
        <v>34.34508145368698</v>
      </c>
      <c r="I32" s="318">
        <f>(C32*DATA!$D$5*DATA!$D$7)/1000000</f>
        <v>0.77276433270795708</v>
      </c>
      <c r="J32" s="316">
        <f t="shared" ca="1" si="1"/>
        <v>37.149158339199936</v>
      </c>
      <c r="K32" s="314"/>
      <c r="L32" s="316">
        <f>((D32*DATA!$D$23)/1000000)+((E32*DATA!$D$24)/1000000)</f>
        <v>45.768096</v>
      </c>
      <c r="M32" s="316">
        <f t="shared" si="2"/>
        <v>45.768096</v>
      </c>
      <c r="N32" s="316">
        <f t="shared" ca="1" si="6"/>
        <v>8.6189376608000643</v>
      </c>
      <c r="O32" s="315">
        <f>1/(1+'[93]Asumsi I'!$C$3)^(KKF!A32)</f>
        <v>5.8823306552253637E-2</v>
      </c>
      <c r="P32" s="316">
        <f t="shared" ca="1" si="7"/>
        <v>0.50699441217600605</v>
      </c>
      <c r="Q32" s="316">
        <f ca="1">Q31+P32</f>
        <v>31.506670283347113</v>
      </c>
      <c r="S32" s="304" t="str">
        <f t="shared" ca="1" si="3"/>
        <v/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8" t="s">
        <v>1374</v>
      </c>
      <c r="G33" s="618"/>
      <c r="H33" s="618"/>
      <c r="I33" s="324"/>
      <c r="J33" s="325">
        <f ca="1">SUM(J7:J32)</f>
        <v>1044.0318472685187</v>
      </c>
      <c r="K33" s="618" t="s">
        <v>1375</v>
      </c>
      <c r="L33" s="618"/>
      <c r="M33" s="325">
        <f>SUM(M7:M32)</f>
        <v>1223.4124320000003</v>
      </c>
      <c r="N33" s="323"/>
      <c r="O33" s="323"/>
      <c r="P33" s="326"/>
      <c r="Q33" s="326"/>
      <c r="S33" s="304">
        <f ca="1">COUNTIF(S7:S32,"a")</f>
        <v>7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13.377853898738705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>
        <f ca="1">AVERAGE(T7:T32)</f>
        <v>6.9219242907701668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1.1718152422273245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28.130955610131341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0.23764246962604596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Q7:Q32">
    <cfRule type="cellIs" dxfId="34" priority="3" operator="lessThan">
      <formula>0</formula>
    </cfRule>
    <cfRule type="cellIs" dxfId="33" priority="4" operator="lessThan">
      <formula>0</formula>
    </cfRule>
    <cfRule type="cellIs" dxfId="32" priority="5" operator="lessThan">
      <formula>-6395.81</formula>
    </cfRule>
    <cfRule type="cellIs" dxfId="31" priority="6" operator="lessThan">
      <formula>0</formula>
    </cfRule>
  </conditionalFormatting>
  <conditionalFormatting sqref="K7">
    <cfRule type="cellIs" dxfId="30" priority="1" stopIfTrue="1" operator="greaterThanOrEqual">
      <formula>$F$7</formula>
    </cfRule>
    <cfRule type="cellIs" dxfId="29" priority="2" stopIfTrue="1" operator="lessThan">
      <formula>$F$7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51"/>
  <sheetViews>
    <sheetView showGridLines="0" zoomScale="70" zoomScaleNormal="70" zoomScaleSheetLayoutView="70" workbookViewId="0">
      <pane ySplit="13" topLeftCell="A137" activePane="bottomLeft" state="frozen"/>
      <selection activeCell="H1093" sqref="H1093"/>
      <selection pane="bottomLeft" activeCell="I149" sqref="I149"/>
    </sheetView>
  </sheetViews>
  <sheetFormatPr defaultColWidth="9.140625" defaultRowHeight="15"/>
  <cols>
    <col min="1" max="1" width="8.28515625" style="336" customWidth="1"/>
    <col min="2" max="2" width="5.140625" style="337" customWidth="1"/>
    <col min="3" max="3" width="53.140625" style="413" customWidth="1"/>
    <col min="4" max="4" width="13.7109375" style="413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19.4257812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21" t="s">
        <v>1036</v>
      </c>
      <c r="P3" s="621"/>
      <c r="Q3" s="346"/>
      <c r="T3" s="344"/>
      <c r="U3" s="345" t="s">
        <v>1041</v>
      </c>
      <c r="V3" s="344"/>
    </row>
    <row r="4" spans="1:22" ht="18.75">
      <c r="B4" s="622" t="s">
        <v>1023</v>
      </c>
      <c r="C4" s="622"/>
      <c r="D4" s="622"/>
      <c r="E4" s="622"/>
      <c r="F4" s="622"/>
      <c r="G4" s="622"/>
      <c r="H4" s="622"/>
      <c r="I4" s="622"/>
      <c r="J4" s="622"/>
      <c r="K4" s="622"/>
      <c r="O4" s="621"/>
      <c r="P4" s="621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38" t="str">
        <f>DATA!D14</f>
        <v>AGS KUSTIANAH</v>
      </c>
      <c r="H6" s="638"/>
      <c r="I6" s="638"/>
      <c r="J6" s="638"/>
      <c r="K6" s="638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1638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1551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24" t="s">
        <v>0</v>
      </c>
      <c r="C11" s="626" t="s">
        <v>1</v>
      </c>
      <c r="D11" s="629" t="s">
        <v>42</v>
      </c>
      <c r="E11" s="629" t="s">
        <v>43</v>
      </c>
      <c r="F11" s="629" t="s">
        <v>2</v>
      </c>
      <c r="G11" s="631" t="s">
        <v>41</v>
      </c>
      <c r="H11" s="629" t="s">
        <v>3</v>
      </c>
      <c r="I11" s="629"/>
      <c r="J11" s="629"/>
      <c r="K11" s="648"/>
      <c r="O11" s="351"/>
      <c r="P11" s="352"/>
      <c r="Q11" s="351"/>
      <c r="S11" s="353"/>
      <c r="T11" s="354"/>
      <c r="U11" s="354"/>
      <c r="V11" s="354"/>
    </row>
    <row r="12" spans="1:22">
      <c r="B12" s="625"/>
      <c r="C12" s="627"/>
      <c r="D12" s="630"/>
      <c r="E12" s="630"/>
      <c r="F12" s="630"/>
      <c r="G12" s="632"/>
      <c r="H12" s="634" t="s">
        <v>46</v>
      </c>
      <c r="I12" s="634" t="s">
        <v>5</v>
      </c>
      <c r="J12" s="630" t="s">
        <v>47</v>
      </c>
      <c r="K12" s="649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25"/>
      <c r="C13" s="628"/>
      <c r="D13" s="630"/>
      <c r="E13" s="630"/>
      <c r="F13" s="630"/>
      <c r="G13" s="633"/>
      <c r="H13" s="635"/>
      <c r="I13" s="635"/>
      <c r="J13" s="630"/>
      <c r="K13" s="649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1455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" ca="1" si="4">IF(OR(D15="MDU",D15="MDU-KD"),(IF($O$3="RAB NON MDU","PLN KD",G15*F15)),0)</f>
        <v>0</v>
      </c>
      <c r="I15" s="361">
        <f t="shared" ref="I15" ca="1" si="5">IF(D15="HDW",G15*F15,0)</f>
        <v>0</v>
      </c>
      <c r="J15" s="361">
        <f t="shared" ref="J15" ca="1" si="6">IF(D15="JASA",G15*F15,0)</f>
        <v>0</v>
      </c>
      <c r="K15" s="362">
        <f t="shared" ref="K15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56"/>
      <c r="C16" s="357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ref="H16:H17" ca="1" si="8">IF(OR(D16="MDU",D16="MDU-KD"),(IF($O$3="RAB NON MDU","PLN KD",G16*F16)),0)</f>
        <v>0</v>
      </c>
      <c r="I16" s="361">
        <f t="shared" ref="I16:I17" ca="1" si="9">IF(D16="HDW",G16*F16,0)</f>
        <v>0</v>
      </c>
      <c r="J16" s="361">
        <f t="shared" ref="J16:J17" ca="1" si="10">IF(D16="JASA",G16*F16,0)</f>
        <v>0</v>
      </c>
      <c r="K16" s="362">
        <f t="shared" ref="K16:K17" ca="1" si="11">SUM(H16:J16)</f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56">
        <v>1</v>
      </c>
      <c r="C17" s="109" t="s">
        <v>101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v>1</v>
      </c>
      <c r="G17" s="360">
        <f ca="1">IF(ISERROR(OFFSET('HARGA SATUAN'!$I$6,MATCH(RAB!C17,'HARGA SATUAN'!$C$7:$C$1492,0),0)),0,OFFSET('HARGA SATUAN'!$I$6,MATCH(RAB!C17,'HARGA SATUAN'!$C$7:$C$1492,0),0))</f>
        <v>3382600</v>
      </c>
      <c r="H17" s="361">
        <f t="shared" ca="1" si="8"/>
        <v>0</v>
      </c>
      <c r="I17" s="361">
        <f t="shared" ca="1" si="9"/>
        <v>3382600</v>
      </c>
      <c r="J17" s="361">
        <f t="shared" ca="1" si="10"/>
        <v>0</v>
      </c>
      <c r="K17" s="362">
        <f t="shared" ca="1" si="11"/>
        <v>3382600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56">
        <v>2</v>
      </c>
      <c r="C18" s="109" t="s">
        <v>104</v>
      </c>
      <c r="D18" s="358" t="str">
        <f ca="1">IF(ISERROR(OFFSET('HARGA SATUAN'!$D$6,MATCH(RAB!C18,'HARGA SATUAN'!$C$7:$C$1492,0),0)),"",OFFSET('HARGA SATUAN'!$D$6,MATCH(RAB!C18,'HARGA SATUAN'!$C$7:$C$1492,0),0))</f>
        <v>HDW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368">
        <v>1</v>
      </c>
      <c r="G18" s="360">
        <f ca="1">IF(ISERROR(OFFSET('HARGA SATUAN'!$I$6,MATCH(RAB!C18,'HARGA SATUAN'!$C$7:$C$1492,0),0)),0,OFFSET('HARGA SATUAN'!$I$6,MATCH(RAB!C18,'HARGA SATUAN'!$C$7:$C$1492,0),0))</f>
        <v>6074400</v>
      </c>
      <c r="H18" s="361">
        <f t="shared" ref="H18:H21" ca="1" si="12">IF(OR(D18="MDU",D18="MDU-KD"),(IF($O$3="RAB NON MDU","PLN KD",G18*F18)),0)</f>
        <v>0</v>
      </c>
      <c r="I18" s="361">
        <f t="shared" ref="I18:I21" ca="1" si="13">IF(D18="HDW",G18*F18,0)</f>
        <v>6074400</v>
      </c>
      <c r="J18" s="361">
        <f t="shared" ref="J18:J21" ca="1" si="14">IF(D18="JASA",G18*F18,0)</f>
        <v>0</v>
      </c>
      <c r="K18" s="362">
        <f t="shared" ref="K18:K21" ca="1" si="15">SUM(H18:J18)</f>
        <v>6074400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>
        <v>2</v>
      </c>
      <c r="B19" s="356">
        <v>3</v>
      </c>
      <c r="C19" s="109" t="s">
        <v>6</v>
      </c>
      <c r="D19" s="358" t="str">
        <f ca="1">IF(ISERROR(OFFSET('HARGA SATUAN'!$D$6,MATCH(RAB!C19,'HARGA SATUAN'!$C$7:$C$1492,0),0)),"",OFFSET('HARGA SATUAN'!$D$6,MATCH(RAB!C19,'HARGA SATUAN'!$C$7:$C$1492,0),0))</f>
        <v>JASA</v>
      </c>
      <c r="E19" s="359" t="str">
        <f ca="1">IF(B19="+","Unit",IF(ISERROR(OFFSET('HARGA SATUAN'!$E$6,MATCH(RAB!C19,'HARGA SATUAN'!$C$7:$C$1492,0),0)),"",OFFSET('HARGA SATUAN'!$E$6,MATCH(RAB!C19,'HARGA SATUAN'!$C$7:$C$1492,0),0)))</f>
        <v>Btg</v>
      </c>
      <c r="F19" s="505">
        <v>2</v>
      </c>
      <c r="G19" s="360">
        <f ca="1">IF(ISERROR(OFFSET('HARGA SATUAN'!$I$6,MATCH(RAB!C19,'HARGA SATUAN'!$C$7:$C$1492,0),0)),0,OFFSET('HARGA SATUAN'!$I$6,MATCH(RAB!C19,'HARGA SATUAN'!$C$7:$C$1492,0),0))</f>
        <v>10066.666666666668</v>
      </c>
      <c r="H19" s="361">
        <f t="shared" ca="1" si="12"/>
        <v>0</v>
      </c>
      <c r="I19" s="361">
        <f t="shared" ca="1" si="13"/>
        <v>0</v>
      </c>
      <c r="J19" s="361">
        <f t="shared" ca="1" si="14"/>
        <v>20133.333333333336</v>
      </c>
      <c r="K19" s="362">
        <f t="shared" ca="1" si="15"/>
        <v>20133.333333333336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356">
        <v>4</v>
      </c>
      <c r="C20" s="109" t="s">
        <v>461</v>
      </c>
      <c r="D20" s="358" t="str">
        <f ca="1">IF(ISERROR(OFFSET('HARGA SATUAN'!$D$6,MATCH(RAB!C20,'HARGA SATUAN'!$C$7:$C$1492,0),0)),"",OFFSET('HARGA SATUAN'!$D$6,MATCH(RAB!C20,'HARGA SATUAN'!$C$7:$C$1492,0),0))</f>
        <v>HDW</v>
      </c>
      <c r="E20" s="359" t="str">
        <f ca="1">IF(B20="+","Unit",IF(ISERROR(OFFSET('HARGA SATUAN'!$E$6,MATCH(RAB!C20,'HARGA SATUAN'!$C$7:$C$1492,0),0)),"",OFFSET('HARGA SATUAN'!$E$6,MATCH(RAB!C20,'HARGA SATUAN'!$C$7:$C$1492,0),0)))</f>
        <v>Set</v>
      </c>
      <c r="F20" s="505">
        <v>1</v>
      </c>
      <c r="G20" s="360">
        <f ca="1">IF(ISERROR(OFFSET('HARGA SATUAN'!$I$6,MATCH(RAB!C20,'HARGA SATUAN'!$C$7:$C$1492,0),0)),0,OFFSET('HARGA SATUAN'!$I$6,MATCH(RAB!C20,'HARGA SATUAN'!$C$7:$C$1492,0),0))</f>
        <v>200000</v>
      </c>
      <c r="H20" s="361">
        <f t="shared" ca="1" si="12"/>
        <v>0</v>
      </c>
      <c r="I20" s="361">
        <f t="shared" ca="1" si="13"/>
        <v>200000</v>
      </c>
      <c r="J20" s="361">
        <f t="shared" ca="1" si="14"/>
        <v>0</v>
      </c>
      <c r="K20" s="362">
        <f t="shared" ca="1" si="15"/>
        <v>200000</v>
      </c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70" customFormat="1">
      <c r="A21" s="336"/>
      <c r="B21" s="356"/>
      <c r="C21" s="357"/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12"/>
        <v>0</v>
      </c>
      <c r="I21" s="361">
        <f t="shared" ca="1" si="13"/>
        <v>0</v>
      </c>
      <c r="J21" s="361">
        <f t="shared" ca="1" si="14"/>
        <v>0</v>
      </c>
      <c r="K21" s="362">
        <f t="shared" ca="1" si="15"/>
        <v>0</v>
      </c>
      <c r="L21" s="369"/>
      <c r="M21" s="369"/>
      <c r="N21" s="369"/>
      <c r="O21" s="363"/>
      <c r="P21" s="363"/>
      <c r="Q21" s="344"/>
      <c r="R21" s="336"/>
      <c r="S21" s="364"/>
      <c r="T21" s="341"/>
      <c r="U21" s="341"/>
      <c r="V21" s="341"/>
    </row>
    <row r="22" spans="1:22" s="370" customFormat="1">
      <c r="A22" s="336" t="e">
        <f>IF(AND(C22=0,#REF!=0,#REF!=0),"BLANKS",1)</f>
        <v>#REF!</v>
      </c>
      <c r="B22" s="371" t="s">
        <v>1456</v>
      </c>
      <c r="C22" s="372" t="s">
        <v>1631</v>
      </c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368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ref="H22:H38" ca="1" si="16">IF(OR(D22="MDU",D22="MDU-KD"),(IF($O$3="RAB NON MDU","PLN KD",G22*F22)),0)</f>
        <v>0</v>
      </c>
      <c r="I22" s="361">
        <f t="shared" ref="I22:I38" ca="1" si="17">IF(D22="HDW",G22*F22,0)</f>
        <v>0</v>
      </c>
      <c r="J22" s="361">
        <f t="shared" ref="J22:J38" ca="1" si="18">IF(D22="JASA",G22*F22,0)</f>
        <v>0</v>
      </c>
      <c r="K22" s="362">
        <f t="shared" ref="K22:K38" ca="1" si="19">SUM(H22:J22)</f>
        <v>0</v>
      </c>
      <c r="L22" s="369"/>
      <c r="M22" s="369"/>
      <c r="N22" s="369"/>
      <c r="O22" s="363"/>
      <c r="P22" s="363"/>
      <c r="Q22" s="344"/>
      <c r="R22" s="336"/>
      <c r="S22" s="364"/>
      <c r="T22" s="341"/>
      <c r="U22" s="341"/>
      <c r="V22" s="341"/>
    </row>
    <row r="23" spans="1:22" s="370" customFormat="1">
      <c r="A23" s="336"/>
      <c r="B23" s="498"/>
      <c r="C23" s="499"/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368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16"/>
        <v>0</v>
      </c>
      <c r="I23" s="361">
        <f t="shared" ca="1" si="17"/>
        <v>0</v>
      </c>
      <c r="J23" s="361">
        <f t="shared" ca="1" si="18"/>
        <v>0</v>
      </c>
      <c r="K23" s="362">
        <f t="shared" ca="1" si="19"/>
        <v>0</v>
      </c>
      <c r="L23" s="369"/>
      <c r="M23" s="369"/>
      <c r="N23" s="369"/>
      <c r="O23" s="363"/>
      <c r="P23" s="363"/>
      <c r="Q23" s="344"/>
      <c r="R23" s="336"/>
      <c r="S23" s="364"/>
      <c r="T23" s="341"/>
      <c r="U23" s="341"/>
      <c r="V23" s="341"/>
    </row>
    <row r="24" spans="1:22" s="370" customFormat="1">
      <c r="A24" s="336"/>
      <c r="B24" s="519" t="s">
        <v>1035</v>
      </c>
      <c r="C24" s="522" t="s">
        <v>1634</v>
      </c>
      <c r="D24" s="358" t="str">
        <f ca="1">IF(ISERROR(OFFSET('HARGA SATUAN'!$D$6,MATCH(RAB!C24,'HARGA SATUAN'!$C$7:$C$1492,0),0)),"",OFFSET('HARGA SATUAN'!$D$6,MATCH(RAB!C24,'HARGA SATUAN'!$C$7:$C$1492,0),0))</f>
        <v/>
      </c>
      <c r="E24" s="359" t="str">
        <f ca="1">IF(B24="+","Unit",IF(ISERROR(OFFSET('HARGA SATUAN'!$E$6,MATCH(RAB!C24,'HARGA SATUAN'!$C$7:$C$1492,0),0)),"",OFFSET('HARGA SATUAN'!$E$6,MATCH(RAB!C24,'HARGA SATUAN'!$C$7:$C$1492,0),0)))</f>
        <v>Unit</v>
      </c>
      <c r="F24" s="484">
        <v>1</v>
      </c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ca="1" si="16"/>
        <v>0</v>
      </c>
      <c r="I24" s="361">
        <f t="shared" ca="1" si="17"/>
        <v>0</v>
      </c>
      <c r="J24" s="361">
        <f t="shared" ca="1" si="18"/>
        <v>0</v>
      </c>
      <c r="K24" s="362">
        <f t="shared" ca="1" si="19"/>
        <v>0</v>
      </c>
      <c r="L24" s="369"/>
      <c r="M24" s="369"/>
      <c r="N24" s="369"/>
      <c r="O24" s="363"/>
      <c r="P24" s="363"/>
      <c r="Q24" s="344"/>
      <c r="R24" s="336"/>
      <c r="S24" s="364"/>
      <c r="T24" s="341"/>
      <c r="U24" s="341"/>
      <c r="V24" s="341"/>
    </row>
    <row r="25" spans="1:22" s="370" customFormat="1">
      <c r="A25" s="336"/>
      <c r="B25" s="519">
        <v>1</v>
      </c>
      <c r="C25" s="522" t="s">
        <v>229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484">
        <f>F24*1</f>
        <v>1</v>
      </c>
      <c r="G25" s="360">
        <f ca="1">IF(ISERROR(OFFSET('HARGA SATUAN'!$I$6,MATCH(RAB!C25,'HARGA SATUAN'!$C$7:$C$1492,0),0)),0,OFFSET('HARGA SATUAN'!$I$6,MATCH(RAB!C25,'HARGA SATUAN'!$C$7:$C$1492,0),0))</f>
        <v>4212</v>
      </c>
      <c r="H25" s="361">
        <f t="shared" ca="1" si="16"/>
        <v>0</v>
      </c>
      <c r="I25" s="361">
        <f t="shared" ca="1" si="17"/>
        <v>4212</v>
      </c>
      <c r="J25" s="361">
        <f t="shared" ca="1" si="18"/>
        <v>0</v>
      </c>
      <c r="K25" s="362">
        <f t="shared" ca="1" si="19"/>
        <v>4212</v>
      </c>
      <c r="L25" s="369"/>
      <c r="M25" s="369"/>
      <c r="N25" s="369"/>
      <c r="O25" s="363"/>
      <c r="P25" s="363"/>
      <c r="Q25" s="344"/>
      <c r="R25" s="336"/>
      <c r="S25" s="364"/>
      <c r="T25" s="341"/>
      <c r="U25" s="341"/>
      <c r="V25" s="341"/>
    </row>
    <row r="26" spans="1:22" s="370" customFormat="1">
      <c r="A26" s="336"/>
      <c r="B26" s="519">
        <v>2</v>
      </c>
      <c r="C26" s="522" t="s">
        <v>266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Mtr</v>
      </c>
      <c r="F26" s="484">
        <f>F24*1</f>
        <v>1</v>
      </c>
      <c r="G26" s="360">
        <f ca="1">IF(ISERROR(OFFSET('HARGA SATUAN'!$I$6,MATCH(RAB!C26,'HARGA SATUAN'!$C$7:$C$1492,0),0)),0,OFFSET('HARGA SATUAN'!$I$6,MATCH(RAB!C26,'HARGA SATUAN'!$C$7:$C$1492,0),0))</f>
        <v>23310</v>
      </c>
      <c r="H26" s="361">
        <f t="shared" ca="1" si="16"/>
        <v>0</v>
      </c>
      <c r="I26" s="361">
        <f t="shared" ca="1" si="17"/>
        <v>23310</v>
      </c>
      <c r="J26" s="361">
        <f t="shared" ca="1" si="18"/>
        <v>0</v>
      </c>
      <c r="K26" s="362">
        <f t="shared" ca="1" si="19"/>
        <v>23310</v>
      </c>
      <c r="L26" s="369"/>
      <c r="M26" s="369"/>
      <c r="N26" s="369"/>
      <c r="O26" s="363"/>
      <c r="P26" s="363"/>
      <c r="Q26" s="344"/>
      <c r="R26" s="336"/>
      <c r="S26" s="364"/>
      <c r="T26" s="341"/>
      <c r="U26" s="341"/>
      <c r="V26" s="341"/>
    </row>
    <row r="27" spans="1:22" s="370" customFormat="1">
      <c r="A27" s="336"/>
      <c r="B27" s="519">
        <v>3</v>
      </c>
      <c r="C27" s="522" t="s">
        <v>35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484">
        <f>F24*1</f>
        <v>1</v>
      </c>
      <c r="G27" s="360">
        <f ca="1">IF(ISERROR(OFFSET('HARGA SATUAN'!$I$6,MATCH(RAB!C27,'HARGA SATUAN'!$C$7:$C$1492,0),0)),0,OFFSET('HARGA SATUAN'!$I$6,MATCH(RAB!C27,'HARGA SATUAN'!$C$7:$C$1492,0),0))</f>
        <v>2300</v>
      </c>
      <c r="H27" s="361">
        <f t="shared" ca="1" si="16"/>
        <v>0</v>
      </c>
      <c r="I27" s="361">
        <f t="shared" ca="1" si="17"/>
        <v>2300</v>
      </c>
      <c r="J27" s="361">
        <f t="shared" ca="1" si="18"/>
        <v>0</v>
      </c>
      <c r="K27" s="362">
        <f t="shared" ca="1" si="19"/>
        <v>2300</v>
      </c>
      <c r="L27" s="369"/>
      <c r="M27" s="369"/>
      <c r="N27" s="369"/>
      <c r="O27" s="363"/>
      <c r="P27" s="363"/>
      <c r="Q27" s="344"/>
      <c r="R27" s="336"/>
      <c r="S27" s="364"/>
      <c r="T27" s="341"/>
      <c r="U27" s="341"/>
      <c r="V27" s="341"/>
    </row>
    <row r="28" spans="1:22" s="370" customFormat="1">
      <c r="A28" s="336"/>
      <c r="B28" s="519">
        <v>4</v>
      </c>
      <c r="C28" s="522" t="s">
        <v>609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484">
        <f>F24*1</f>
        <v>1</v>
      </c>
      <c r="G28" s="360">
        <f ca="1">IF(ISERROR(OFFSET('HARGA SATUAN'!$I$6,MATCH(RAB!C28,'HARGA SATUAN'!$C$7:$C$1492,0),0)),0,OFFSET('HARGA SATUAN'!$I$6,MATCH(RAB!C28,'HARGA SATUAN'!$C$7:$C$1492,0),0))</f>
        <v>71000</v>
      </c>
      <c r="H28" s="361">
        <f t="shared" ca="1" si="16"/>
        <v>0</v>
      </c>
      <c r="I28" s="361">
        <f t="shared" ca="1" si="17"/>
        <v>71000</v>
      </c>
      <c r="J28" s="361">
        <f t="shared" ca="1" si="18"/>
        <v>0</v>
      </c>
      <c r="K28" s="362">
        <f t="shared" ca="1" si="19"/>
        <v>71000</v>
      </c>
      <c r="L28" s="369"/>
      <c r="M28" s="369"/>
      <c r="N28" s="369"/>
      <c r="O28" s="363"/>
      <c r="P28" s="363"/>
      <c r="Q28" s="344"/>
      <c r="R28" s="336"/>
      <c r="S28" s="364"/>
      <c r="T28" s="341"/>
      <c r="U28" s="341"/>
      <c r="V28" s="341"/>
    </row>
    <row r="29" spans="1:22" s="370" customFormat="1">
      <c r="A29" s="336"/>
      <c r="B29" s="519">
        <v>5</v>
      </c>
      <c r="C29" s="522" t="s">
        <v>629</v>
      </c>
      <c r="D29" s="358" t="str">
        <f ca="1">IF(ISERROR(OFFSET('HARGA SATUAN'!$D$6,MATCH(RAB!C29,'HARGA SATUAN'!$C$7:$C$1492,0),0)),"",OFFSET('HARGA SATUAN'!$D$6,MATCH(RAB!C29,'HARGA SATUAN'!$C$7:$C$1492,0),0))</f>
        <v>JASA</v>
      </c>
      <c r="E29" s="359" t="str">
        <f ca="1">IF(B29="+","Unit",IF(ISERROR(OFFSET('HARGA SATUAN'!$E$6,MATCH(RAB!C29,'HARGA SATUAN'!$C$7:$C$1492,0),0)),"",OFFSET('HARGA SATUAN'!$E$6,MATCH(RAB!C29,'HARGA SATUAN'!$C$7:$C$1492,0),0)))</f>
        <v>Unit</v>
      </c>
      <c r="F29" s="484">
        <f>F24*1</f>
        <v>1</v>
      </c>
      <c r="G29" s="360">
        <f ca="1">IF(ISERROR(OFFSET('HARGA SATUAN'!$I$6,MATCH(RAB!C29,'HARGA SATUAN'!$C$7:$C$1492,0),0)),0,OFFSET('HARGA SATUAN'!$I$6,MATCH(RAB!C29,'HARGA SATUAN'!$C$7:$C$1492,0),0))</f>
        <v>29400</v>
      </c>
      <c r="H29" s="361">
        <f t="shared" ca="1" si="16"/>
        <v>0</v>
      </c>
      <c r="I29" s="361">
        <f t="shared" ca="1" si="17"/>
        <v>0</v>
      </c>
      <c r="J29" s="361">
        <f t="shared" ca="1" si="18"/>
        <v>29400</v>
      </c>
      <c r="K29" s="362">
        <f t="shared" ca="1" si="19"/>
        <v>29400</v>
      </c>
      <c r="L29" s="369"/>
      <c r="M29" s="369"/>
      <c r="N29" s="369"/>
      <c r="O29" s="363"/>
      <c r="P29" s="363"/>
      <c r="Q29" s="344"/>
      <c r="R29" s="336"/>
      <c r="S29" s="364"/>
      <c r="T29" s="341"/>
      <c r="U29" s="341"/>
      <c r="V29" s="341"/>
    </row>
    <row r="30" spans="1:22" s="370" customFormat="1">
      <c r="A30" s="336"/>
      <c r="B30" s="519"/>
      <c r="C30" s="522"/>
      <c r="D30" s="358" t="str">
        <f ca="1">IF(ISERROR(OFFSET('HARGA SATUAN'!$D$6,MATCH(RAB!C30,'HARGA SATUAN'!$C$7:$C$1492,0),0)),"",OFFSET('HARGA SATUAN'!$D$6,MATCH(RAB!C30,'HARGA SATUAN'!$C$7:$C$1492,0),0))</f>
        <v/>
      </c>
      <c r="E30" s="359" t="str">
        <f ca="1">IF(B30="+","Unit",IF(ISERROR(OFFSET('HARGA SATUAN'!$E$6,MATCH(RAB!C30,'HARGA SATUAN'!$C$7:$C$1492,0),0)),"",OFFSET('HARGA SATUAN'!$E$6,MATCH(RAB!C30,'HARGA SATUAN'!$C$7:$C$1492,0),0)))</f>
        <v/>
      </c>
      <c r="F30" s="484"/>
      <c r="G30" s="360">
        <f ca="1">IF(ISERROR(OFFSET('HARGA SATUAN'!$I$6,MATCH(RAB!C30,'HARGA SATUAN'!$C$7:$C$1492,0),0)),0,OFFSET('HARGA SATUAN'!$I$6,MATCH(RAB!C30,'HARGA SATUAN'!$C$7:$C$1492,0),0))</f>
        <v>0</v>
      </c>
      <c r="H30" s="361">
        <f t="shared" ca="1" si="16"/>
        <v>0</v>
      </c>
      <c r="I30" s="361">
        <f t="shared" ca="1" si="17"/>
        <v>0</v>
      </c>
      <c r="J30" s="361">
        <f t="shared" ca="1" si="18"/>
        <v>0</v>
      </c>
      <c r="K30" s="362">
        <f t="shared" ca="1" si="19"/>
        <v>0</v>
      </c>
      <c r="L30" s="369"/>
      <c r="M30" s="369"/>
      <c r="N30" s="369"/>
      <c r="O30" s="363"/>
      <c r="P30" s="363"/>
      <c r="Q30" s="344"/>
      <c r="R30" s="336"/>
      <c r="S30" s="364"/>
      <c r="T30" s="341"/>
      <c r="U30" s="341"/>
      <c r="V30" s="341"/>
    </row>
    <row r="31" spans="1:22" s="370" customFormat="1">
      <c r="A31" s="336"/>
      <c r="B31" s="519" t="s">
        <v>1035</v>
      </c>
      <c r="C31" s="522" t="s">
        <v>1635</v>
      </c>
      <c r="D31" s="358" t="str">
        <f ca="1">IF(ISERROR(OFFSET('HARGA SATUAN'!$D$6,MATCH(RAB!C31,'HARGA SATUAN'!$C$7:$C$1492,0),0)),"",OFFSET('HARGA SATUAN'!$D$6,MATCH(RAB!C31,'HARGA SATUAN'!$C$7:$C$1492,0),0))</f>
        <v/>
      </c>
      <c r="E31" s="359" t="str">
        <f ca="1">IF(B31="+","Unit",IF(ISERROR(OFFSET('HARGA SATUAN'!$E$6,MATCH(RAB!C31,'HARGA SATUAN'!$C$7:$C$1492,0),0)),"",OFFSET('HARGA SATUAN'!$E$6,MATCH(RAB!C31,'HARGA SATUAN'!$C$7:$C$1492,0),0)))</f>
        <v>Unit</v>
      </c>
      <c r="F31" s="484">
        <v>3</v>
      </c>
      <c r="G31" s="360">
        <f ca="1">IF(ISERROR(OFFSET('HARGA SATUAN'!$I$6,MATCH(RAB!C31,'HARGA SATUAN'!$C$7:$C$1492,0),0)),0,OFFSET('HARGA SATUAN'!$I$6,MATCH(RAB!C31,'HARGA SATUAN'!$C$7:$C$1492,0),0))</f>
        <v>0</v>
      </c>
      <c r="H31" s="361">
        <f t="shared" ca="1" si="16"/>
        <v>0</v>
      </c>
      <c r="I31" s="361">
        <f t="shared" ca="1" si="17"/>
        <v>0</v>
      </c>
      <c r="J31" s="361">
        <f t="shared" ca="1" si="18"/>
        <v>0</v>
      </c>
      <c r="K31" s="362">
        <f t="shared" ca="1" si="19"/>
        <v>0</v>
      </c>
      <c r="L31" s="369"/>
      <c r="M31" s="369"/>
      <c r="N31" s="369"/>
      <c r="O31" s="363"/>
      <c r="P31" s="363"/>
      <c r="Q31" s="344"/>
      <c r="R31" s="336"/>
      <c r="S31" s="364"/>
      <c r="T31" s="341"/>
      <c r="U31" s="341"/>
      <c r="V31" s="341"/>
    </row>
    <row r="32" spans="1:22" s="370" customFormat="1">
      <c r="A32" s="336"/>
      <c r="B32" s="519">
        <v>1</v>
      </c>
      <c r="C32" s="522" t="s">
        <v>595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484">
        <f>F31*1</f>
        <v>3</v>
      </c>
      <c r="G32" s="360">
        <f ca="1">IF(ISERROR(OFFSET('HARGA SATUAN'!$I$6,MATCH(RAB!C32,'HARGA SATUAN'!$C$7:$C$1492,0),0)),0,OFFSET('HARGA SATUAN'!$I$6,MATCH(RAB!C32,'HARGA SATUAN'!$C$7:$C$1492,0),0))</f>
        <v>78500</v>
      </c>
      <c r="H32" s="361">
        <f t="shared" ca="1" si="16"/>
        <v>0</v>
      </c>
      <c r="I32" s="361">
        <f t="shared" ca="1" si="17"/>
        <v>235500</v>
      </c>
      <c r="J32" s="361">
        <f t="shared" ca="1" si="18"/>
        <v>0</v>
      </c>
      <c r="K32" s="362">
        <f t="shared" ca="1" si="19"/>
        <v>235500</v>
      </c>
      <c r="L32" s="369"/>
      <c r="M32" s="369"/>
      <c r="N32" s="369"/>
      <c r="O32" s="363"/>
      <c r="P32" s="363"/>
      <c r="Q32" s="344"/>
      <c r="R32" s="336"/>
      <c r="S32" s="364"/>
      <c r="T32" s="341"/>
      <c r="U32" s="341"/>
      <c r="V32" s="341"/>
    </row>
    <row r="33" spans="1:22" s="370" customFormat="1">
      <c r="A33" s="336"/>
      <c r="B33" s="519">
        <v>2</v>
      </c>
      <c r="C33" s="522" t="s">
        <v>229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484">
        <f>F31*1</f>
        <v>3</v>
      </c>
      <c r="G33" s="360">
        <f ca="1">IF(ISERROR(OFFSET('HARGA SATUAN'!$I$6,MATCH(RAB!C33,'HARGA SATUAN'!$C$7:$C$1492,0),0)),0,OFFSET('HARGA SATUAN'!$I$6,MATCH(RAB!C33,'HARGA SATUAN'!$C$7:$C$1492,0),0))</f>
        <v>4212</v>
      </c>
      <c r="H33" s="361">
        <f t="shared" ca="1" si="16"/>
        <v>0</v>
      </c>
      <c r="I33" s="361">
        <f t="shared" ca="1" si="17"/>
        <v>12636</v>
      </c>
      <c r="J33" s="361">
        <f t="shared" ca="1" si="18"/>
        <v>0</v>
      </c>
      <c r="K33" s="362">
        <f t="shared" ca="1" si="19"/>
        <v>12636</v>
      </c>
      <c r="L33" s="369"/>
      <c r="M33" s="369"/>
      <c r="N33" s="369"/>
      <c r="O33" s="363"/>
      <c r="P33" s="363"/>
      <c r="Q33" s="344"/>
      <c r="R33" s="336"/>
      <c r="S33" s="364"/>
      <c r="T33" s="341"/>
      <c r="U33" s="341"/>
      <c r="V33" s="341"/>
    </row>
    <row r="34" spans="1:22" s="370" customFormat="1">
      <c r="A34" s="336"/>
      <c r="B34" s="519">
        <v>3</v>
      </c>
      <c r="C34" s="522" t="s">
        <v>266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Mtr</v>
      </c>
      <c r="F34" s="484">
        <f>F31*1</f>
        <v>3</v>
      </c>
      <c r="G34" s="360">
        <f ca="1">IF(ISERROR(OFFSET('HARGA SATUAN'!$I$6,MATCH(RAB!C34,'HARGA SATUAN'!$C$7:$C$1492,0),0)),0,OFFSET('HARGA SATUAN'!$I$6,MATCH(RAB!C34,'HARGA SATUAN'!$C$7:$C$1492,0),0))</f>
        <v>23310</v>
      </c>
      <c r="H34" s="361">
        <f t="shared" ca="1" si="16"/>
        <v>0</v>
      </c>
      <c r="I34" s="361">
        <f t="shared" ca="1" si="17"/>
        <v>69930</v>
      </c>
      <c r="J34" s="361">
        <f t="shared" ca="1" si="18"/>
        <v>0</v>
      </c>
      <c r="K34" s="362">
        <f t="shared" ca="1" si="19"/>
        <v>69930</v>
      </c>
      <c r="L34" s="369"/>
      <c r="M34" s="369"/>
      <c r="N34" s="369"/>
      <c r="O34" s="363"/>
      <c r="P34" s="363"/>
      <c r="Q34" s="344"/>
      <c r="R34" s="336"/>
      <c r="S34" s="364"/>
      <c r="T34" s="341"/>
      <c r="U34" s="341"/>
      <c r="V34" s="341"/>
    </row>
    <row r="35" spans="1:22" s="370" customFormat="1">
      <c r="A35" s="336"/>
      <c r="B35" s="519">
        <v>4</v>
      </c>
      <c r="C35" s="522" t="s">
        <v>35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484">
        <f>F31*1</f>
        <v>3</v>
      </c>
      <c r="G35" s="360">
        <f ca="1">IF(ISERROR(OFFSET('HARGA SATUAN'!$I$6,MATCH(RAB!C35,'HARGA SATUAN'!$C$7:$C$1492,0),0)),0,OFFSET('HARGA SATUAN'!$I$6,MATCH(RAB!C35,'HARGA SATUAN'!$C$7:$C$1492,0),0))</f>
        <v>2300</v>
      </c>
      <c r="H35" s="361">
        <f t="shared" ca="1" si="16"/>
        <v>0</v>
      </c>
      <c r="I35" s="361">
        <f t="shared" ca="1" si="17"/>
        <v>6900</v>
      </c>
      <c r="J35" s="361">
        <f t="shared" ca="1" si="18"/>
        <v>0</v>
      </c>
      <c r="K35" s="362">
        <f t="shared" ca="1" si="19"/>
        <v>6900</v>
      </c>
      <c r="L35" s="369"/>
      <c r="M35" s="369"/>
      <c r="N35" s="369"/>
      <c r="O35" s="363"/>
      <c r="P35" s="363"/>
      <c r="Q35" s="344"/>
      <c r="R35" s="336"/>
      <c r="S35" s="364"/>
      <c r="T35" s="341"/>
      <c r="U35" s="341"/>
      <c r="V35" s="341"/>
    </row>
    <row r="36" spans="1:22" s="370" customFormat="1">
      <c r="A36" s="336"/>
      <c r="B36" s="519">
        <v>5</v>
      </c>
      <c r="C36" s="522" t="s">
        <v>630</v>
      </c>
      <c r="D36" s="358" t="str">
        <f ca="1">IF(ISERROR(OFFSET('HARGA SATUAN'!$D$6,MATCH(RAB!C36,'HARGA SATUAN'!$C$7:$C$1492,0),0)),"",OFFSET('HARGA SATUAN'!$D$6,MATCH(RAB!C36,'HARGA SATUAN'!$C$7:$C$1492,0),0))</f>
        <v>JASA</v>
      </c>
      <c r="E36" s="359" t="str">
        <f ca="1">IF(B36="+","Unit",IF(ISERROR(OFFSET('HARGA SATUAN'!$E$6,MATCH(RAB!C36,'HARGA SATUAN'!$C$7:$C$1492,0),0)),"",OFFSET('HARGA SATUAN'!$E$6,MATCH(RAB!C36,'HARGA SATUAN'!$C$7:$C$1492,0),0)))</f>
        <v>Unit</v>
      </c>
      <c r="F36" s="484">
        <f>F31*1</f>
        <v>3</v>
      </c>
      <c r="G36" s="360">
        <f ca="1">IF(ISERROR(OFFSET('HARGA SATUAN'!$I$6,MATCH(RAB!C36,'HARGA SATUAN'!$C$7:$C$1492,0),0)),0,OFFSET('HARGA SATUAN'!$I$6,MATCH(RAB!C36,'HARGA SATUAN'!$C$7:$C$1492,0),0))</f>
        <v>35700</v>
      </c>
      <c r="H36" s="361">
        <f t="shared" ca="1" si="16"/>
        <v>0</v>
      </c>
      <c r="I36" s="361">
        <f t="shared" ca="1" si="17"/>
        <v>0</v>
      </c>
      <c r="J36" s="361">
        <f t="shared" ca="1" si="18"/>
        <v>107100</v>
      </c>
      <c r="K36" s="362">
        <f t="shared" ca="1" si="19"/>
        <v>107100</v>
      </c>
      <c r="L36" s="369"/>
      <c r="M36" s="369"/>
      <c r="N36" s="369"/>
      <c r="O36" s="363"/>
      <c r="P36" s="363"/>
      <c r="Q36" s="344"/>
      <c r="R36" s="336"/>
      <c r="S36" s="364"/>
      <c r="T36" s="341"/>
      <c r="U36" s="341"/>
      <c r="V36" s="341"/>
    </row>
    <row r="37" spans="1:22" s="370" customFormat="1">
      <c r="A37" s="336"/>
      <c r="B37" s="498"/>
      <c r="C37" s="499"/>
      <c r="D37" s="358" t="str">
        <f ca="1">IF(ISERROR(OFFSET('HARGA SATUAN'!$D$6,MATCH(RAB!C37,'HARGA SATUAN'!$C$7:$C$1492,0),0)),"",OFFSET('HARGA SATUAN'!$D$6,MATCH(RAB!C37,'HARGA SATUAN'!$C$7:$C$1492,0),0))</f>
        <v/>
      </c>
      <c r="E37" s="359" t="str">
        <f ca="1">IF(B37="+","Unit",IF(ISERROR(OFFSET('HARGA SATUAN'!$E$6,MATCH(RAB!C37,'HARGA SATUAN'!$C$7:$C$1492,0),0)),"",OFFSET('HARGA SATUAN'!$E$6,MATCH(RAB!C37,'HARGA SATUAN'!$C$7:$C$1492,0),0)))</f>
        <v/>
      </c>
      <c r="F37" s="368"/>
      <c r="G37" s="360">
        <f ca="1">IF(ISERROR(OFFSET('HARGA SATUAN'!$I$6,MATCH(RAB!C37,'HARGA SATUAN'!$C$7:$C$1492,0),0)),0,OFFSET('HARGA SATUAN'!$I$6,MATCH(RAB!C37,'HARGA SATUAN'!$C$7:$C$1492,0),0))</f>
        <v>0</v>
      </c>
      <c r="H37" s="361">
        <f t="shared" ca="1" si="16"/>
        <v>0</v>
      </c>
      <c r="I37" s="361">
        <f t="shared" ca="1" si="17"/>
        <v>0</v>
      </c>
      <c r="J37" s="361">
        <f t="shared" ca="1" si="18"/>
        <v>0</v>
      </c>
      <c r="K37" s="362">
        <f t="shared" ca="1" si="19"/>
        <v>0</v>
      </c>
      <c r="L37" s="369"/>
      <c r="M37" s="369"/>
      <c r="N37" s="369"/>
      <c r="O37" s="363"/>
      <c r="P37" s="363"/>
      <c r="Q37" s="344"/>
      <c r="R37" s="336"/>
      <c r="S37" s="364"/>
      <c r="T37" s="341"/>
      <c r="U37" s="341"/>
      <c r="V37" s="341"/>
    </row>
    <row r="38" spans="1:22" s="365" customFormat="1">
      <c r="A38" s="336"/>
      <c r="B38" s="373"/>
      <c r="C38" s="509" t="s">
        <v>1618</v>
      </c>
      <c r="D38" s="358" t="str">
        <f ca="1">IF(ISERROR(OFFSET('HARGA SATUAN'!$D$6,MATCH(RAB!C38,'HARGA SATUAN'!$C$7:$C$1492,0),0)),"",OFFSET('HARGA SATUAN'!$D$6,MATCH(RAB!C38,'HARGA SATUAN'!$C$7:$C$1492,0),0))</f>
        <v/>
      </c>
      <c r="E38" s="359" t="str">
        <f ca="1">IF(B38="+","Unit",IF(ISERROR(OFFSET('HARGA SATUAN'!$E$6,MATCH(RAB!C38,'HARGA SATUAN'!$C$7:$C$1492,0),0)),"",OFFSET('HARGA SATUAN'!$E$6,MATCH(RAB!C38,'HARGA SATUAN'!$C$7:$C$1492,0),0)))</f>
        <v/>
      </c>
      <c r="F38" s="368"/>
      <c r="G38" s="360">
        <f ca="1">IF(ISERROR(OFFSET('HARGA SATUAN'!$I$6,MATCH(RAB!C38,'HARGA SATUAN'!$C$7:$C$1492,0),0)),0,OFFSET('HARGA SATUAN'!$I$6,MATCH(RAB!C38,'HARGA SATUAN'!$C$7:$C$1492,0),0))</f>
        <v>0</v>
      </c>
      <c r="H38" s="361">
        <f t="shared" ca="1" si="16"/>
        <v>0</v>
      </c>
      <c r="I38" s="361">
        <f t="shared" ca="1" si="17"/>
        <v>0</v>
      </c>
      <c r="J38" s="361">
        <f t="shared" ca="1" si="18"/>
        <v>0</v>
      </c>
      <c r="K38" s="362">
        <f t="shared" ca="1" si="19"/>
        <v>0</v>
      </c>
      <c r="L38" s="342"/>
      <c r="M38" s="342"/>
      <c r="N38" s="369"/>
      <c r="O38" s="344"/>
      <c r="P38" s="344"/>
      <c r="Q38" s="398"/>
      <c r="R38" s="344"/>
      <c r="S38" s="398"/>
      <c r="T38" s="399"/>
      <c r="U38" s="399"/>
      <c r="V38" s="399"/>
    </row>
    <row r="39" spans="1:22" s="365" customFormat="1">
      <c r="A39" s="336"/>
      <c r="B39" s="373">
        <v>1</v>
      </c>
      <c r="C39" s="109" t="s">
        <v>1462</v>
      </c>
      <c r="D39" s="358" t="str">
        <f ca="1">IF(ISERROR(OFFSET('HARGA SATUAN'!$D$6,MATCH(RAB!C39,'HARGA SATUAN'!$C$7:$C$1492,0),0)),"",OFFSET('HARGA SATUAN'!$D$6,MATCH(RAB!C39,'HARGA SATUAN'!$C$7:$C$1492,0),0))</f>
        <v>MDU-KD</v>
      </c>
      <c r="E39" s="359" t="str">
        <f ca="1">IF(B39="+","Unit",IF(ISERROR(OFFSET('HARGA SATUAN'!$E$6,MATCH(RAB!C39,'HARGA SATUAN'!$C$7:$C$1492,0),0)),"",OFFSET('HARGA SATUAN'!$E$6,MATCH(RAB!C39,'HARGA SATUAN'!$C$7:$C$1492,0),0)))</f>
        <v>Mtr</v>
      </c>
      <c r="F39" s="484">
        <v>120</v>
      </c>
      <c r="G39" s="360">
        <f ca="1">IF(ISERROR(OFFSET('HARGA SATUAN'!$I$6,MATCH(RAB!C39,'HARGA SATUAN'!$C$7:$C$1492,0),0)),0,OFFSET('HARGA SATUAN'!$I$6,MATCH(RAB!C39,'HARGA SATUAN'!$C$7:$C$1492,0),0))</f>
        <v>54500</v>
      </c>
      <c r="H39" s="361">
        <f t="shared" ref="H39:H40" ca="1" si="20">IF(OR(D39="MDU",D39="MDU-KD"),(IF($O$3="RAB NON MDU","PLN KD",G39*F39)),0)</f>
        <v>6540000</v>
      </c>
      <c r="I39" s="361">
        <f t="shared" ref="I39:I40" ca="1" si="21">IF(D39="HDW",G39*F39,0)</f>
        <v>0</v>
      </c>
      <c r="J39" s="361">
        <f t="shared" ref="J39:J40" ca="1" si="22">IF(D39="JASA",G39*F39,0)</f>
        <v>0</v>
      </c>
      <c r="K39" s="362">
        <f t="shared" ref="K39:K40" ca="1" si="23">SUM(H39:J39)</f>
        <v>6540000</v>
      </c>
      <c r="L39" s="342"/>
      <c r="M39" s="342"/>
      <c r="N39" s="369"/>
      <c r="O39" s="344"/>
      <c r="P39" s="344"/>
      <c r="Q39" s="398"/>
      <c r="R39" s="344"/>
      <c r="S39" s="398"/>
      <c r="T39" s="399"/>
      <c r="U39" s="399"/>
      <c r="V39" s="399"/>
    </row>
    <row r="40" spans="1:22" s="365" customFormat="1">
      <c r="A40" s="336"/>
      <c r="B40" s="373">
        <v>2</v>
      </c>
      <c r="C40" s="109" t="s">
        <v>346</v>
      </c>
      <c r="D40" s="358" t="str">
        <f ca="1">IF(ISERROR(OFFSET('HARGA SATUAN'!$D$6,MATCH(RAB!C40,'HARGA SATUAN'!$C$7:$C$1492,0),0)),"",OFFSET('HARGA SATUAN'!$D$6,MATCH(RAB!C40,'HARGA SATUAN'!$C$7:$C$1492,0),0))</f>
        <v>JASA</v>
      </c>
      <c r="E40" s="359" t="str">
        <f ca="1">IF(B40="+","Unit",IF(ISERROR(OFFSET('HARGA SATUAN'!$E$6,MATCH(RAB!C40,'HARGA SATUAN'!$C$7:$C$1492,0),0)),"",OFFSET('HARGA SATUAN'!$E$6,MATCH(RAB!C40,'HARGA SATUAN'!$C$7:$C$1492,0),0)))</f>
        <v>Per 50 m</v>
      </c>
      <c r="F40" s="484">
        <f>F39/50</f>
        <v>2.4</v>
      </c>
      <c r="G40" s="360">
        <f ca="1">IF(ISERROR(OFFSET('HARGA SATUAN'!$I$6,MATCH(RAB!C40,'HARGA SATUAN'!$C$7:$C$1492,0),0)),0,OFFSET('HARGA SATUAN'!$I$6,MATCH(RAB!C40,'HARGA SATUAN'!$C$7:$C$1492,0),0))</f>
        <v>223500</v>
      </c>
      <c r="H40" s="361">
        <f t="shared" ca="1" si="20"/>
        <v>0</v>
      </c>
      <c r="I40" s="361">
        <f t="shared" ca="1" si="21"/>
        <v>0</v>
      </c>
      <c r="J40" s="361">
        <f t="shared" ca="1" si="22"/>
        <v>536400</v>
      </c>
      <c r="K40" s="362">
        <f t="shared" ca="1" si="23"/>
        <v>536400</v>
      </c>
      <c r="L40" s="342"/>
      <c r="M40" s="342"/>
      <c r="N40" s="369"/>
      <c r="O40" s="344"/>
      <c r="P40" s="344"/>
      <c r="Q40" s="398"/>
      <c r="R40" s="344"/>
      <c r="S40" s="398"/>
      <c r="T40" s="399"/>
      <c r="U40" s="399"/>
      <c r="V40" s="399"/>
    </row>
    <row r="41" spans="1:22" s="365" customFormat="1">
      <c r="A41" s="336"/>
      <c r="B41" s="373"/>
      <c r="C41" s="374"/>
      <c r="D41" s="358" t="str">
        <f ca="1">IF(ISERROR(OFFSET('HARGA SATUAN'!$D$6,MATCH(RAB!C41,'HARGA SATUAN'!$C$7:$C$1492,0),0)),"",OFFSET('HARGA SATUAN'!$D$6,MATCH(RAB!C41,'HARGA SATUAN'!$C$7:$C$1492,0),0))</f>
        <v/>
      </c>
      <c r="E41" s="359" t="str">
        <f ca="1">IF(B41="+","Unit",IF(ISERROR(OFFSET('HARGA SATUAN'!$E$6,MATCH(RAB!C41,'HARGA SATUAN'!$C$7:$C$1492,0),0)),"",OFFSET('HARGA SATUAN'!$E$6,MATCH(RAB!C41,'HARGA SATUAN'!$C$7:$C$1492,0),0)))</f>
        <v/>
      </c>
      <c r="F41" s="484"/>
      <c r="G41" s="360">
        <f ca="1">IF(ISERROR(OFFSET('HARGA SATUAN'!$I$6,MATCH(RAB!C41,'HARGA SATUAN'!$C$7:$C$1492,0),0)),0,OFFSET('HARGA SATUAN'!$I$6,MATCH(RAB!C41,'HARGA SATUAN'!$C$7:$C$1492,0),0))</f>
        <v>0</v>
      </c>
      <c r="H41" s="361">
        <f t="shared" ref="H41:H62" ca="1" si="24">IF(OR(D41="MDU",D41="MDU-KD"),(IF($O$3="RAB NON MDU","PLN KD",G41*F41)),0)</f>
        <v>0</v>
      </c>
      <c r="I41" s="361">
        <f t="shared" ref="I41:I62" ca="1" si="25">IF(D41="HDW",G41*F41,0)</f>
        <v>0</v>
      </c>
      <c r="J41" s="361">
        <f t="shared" ref="J41:J62" ca="1" si="26">IF(D41="JASA",G41*F41,0)</f>
        <v>0</v>
      </c>
      <c r="K41" s="362">
        <f t="shared" ref="K41:K62" ca="1" si="27">SUM(H41:J41)</f>
        <v>0</v>
      </c>
      <c r="L41" s="342"/>
      <c r="M41" s="342"/>
      <c r="N41" s="369"/>
      <c r="O41" s="344"/>
      <c r="P41" s="344"/>
      <c r="Q41" s="398"/>
      <c r="R41" s="344"/>
      <c r="S41" s="398"/>
      <c r="T41" s="399"/>
      <c r="U41" s="399"/>
      <c r="V41" s="399"/>
    </row>
    <row r="42" spans="1:22" s="365" customFormat="1">
      <c r="A42" s="336"/>
      <c r="B42" s="373"/>
      <c r="C42" s="509" t="s">
        <v>1623</v>
      </c>
      <c r="D42" s="358" t="str">
        <f ca="1">IF(ISERROR(OFFSET('HARGA SATUAN'!$D$6,MATCH(RAB!C42,'HARGA SATUAN'!$C$7:$C$1492,0),0)),"",OFFSET('HARGA SATUAN'!$D$6,MATCH(RAB!C42,'HARGA SATUAN'!$C$7:$C$1492,0),0))</f>
        <v/>
      </c>
      <c r="E42" s="359" t="str">
        <f ca="1">IF(B42="+","Unit",IF(ISERROR(OFFSET('HARGA SATUAN'!$E$6,MATCH(RAB!C42,'HARGA SATUAN'!$C$7:$C$1492,0),0)),"",OFFSET('HARGA SATUAN'!$E$6,MATCH(RAB!C42,'HARGA SATUAN'!$C$7:$C$1492,0),0)))</f>
        <v/>
      </c>
      <c r="F42" s="484"/>
      <c r="G42" s="360">
        <f ca="1">IF(ISERROR(OFFSET('HARGA SATUAN'!$I$6,MATCH(RAB!C42,'HARGA SATUAN'!$C$7:$C$1492,0),0)),0,OFFSET('HARGA SATUAN'!$I$6,MATCH(RAB!C42,'HARGA SATUAN'!$C$7:$C$1492,0),0))</f>
        <v>0</v>
      </c>
      <c r="H42" s="361">
        <f t="shared" ca="1" si="24"/>
        <v>0</v>
      </c>
      <c r="I42" s="361">
        <f t="shared" ca="1" si="25"/>
        <v>0</v>
      </c>
      <c r="J42" s="361">
        <f t="shared" ca="1" si="26"/>
        <v>0</v>
      </c>
      <c r="K42" s="362">
        <f t="shared" ca="1" si="27"/>
        <v>0</v>
      </c>
      <c r="L42" s="342"/>
      <c r="M42" s="342"/>
      <c r="N42" s="369"/>
      <c r="O42" s="344"/>
      <c r="P42" s="344"/>
      <c r="Q42" s="398"/>
      <c r="R42" s="344"/>
      <c r="S42" s="398"/>
      <c r="T42" s="399"/>
      <c r="U42" s="399"/>
      <c r="V42" s="399"/>
    </row>
    <row r="43" spans="1:22" s="365" customFormat="1">
      <c r="A43" s="336"/>
      <c r="B43" s="373"/>
      <c r="C43" s="374"/>
      <c r="D43" s="358" t="str">
        <f ca="1">IF(ISERROR(OFFSET('HARGA SATUAN'!$D$6,MATCH(RAB!C43,'HARGA SATUAN'!$C$7:$C$1492,0),0)),"",OFFSET('HARGA SATUAN'!$D$6,MATCH(RAB!C43,'HARGA SATUAN'!$C$7:$C$1492,0),0))</f>
        <v/>
      </c>
      <c r="E43" s="359" t="str">
        <f ca="1">IF(B43="+","Unit",IF(ISERROR(OFFSET('HARGA SATUAN'!$E$6,MATCH(RAB!C43,'HARGA SATUAN'!$C$7:$C$1492,0),0)),"",OFFSET('HARGA SATUAN'!$E$6,MATCH(RAB!C43,'HARGA SATUAN'!$C$7:$C$1492,0),0)))</f>
        <v/>
      </c>
      <c r="F43" s="484"/>
      <c r="G43" s="360">
        <f ca="1">IF(ISERROR(OFFSET('HARGA SATUAN'!$I$6,MATCH(RAB!C43,'HARGA SATUAN'!$C$7:$C$1492,0),0)),0,OFFSET('HARGA SATUAN'!$I$6,MATCH(RAB!C43,'HARGA SATUAN'!$C$7:$C$1492,0),0))</f>
        <v>0</v>
      </c>
      <c r="H43" s="361">
        <f t="shared" ca="1" si="24"/>
        <v>0</v>
      </c>
      <c r="I43" s="361">
        <f t="shared" ca="1" si="25"/>
        <v>0</v>
      </c>
      <c r="J43" s="361">
        <f t="shared" ca="1" si="26"/>
        <v>0</v>
      </c>
      <c r="K43" s="362">
        <f t="shared" ca="1" si="27"/>
        <v>0</v>
      </c>
      <c r="L43" s="342"/>
      <c r="M43" s="342"/>
      <c r="N43" s="369"/>
      <c r="O43" s="344"/>
      <c r="P43" s="344"/>
      <c r="Q43" s="398"/>
      <c r="R43" s="344"/>
      <c r="S43" s="398"/>
      <c r="T43" s="399"/>
      <c r="U43" s="399"/>
      <c r="V43" s="399"/>
    </row>
    <row r="44" spans="1:22" s="365" customFormat="1">
      <c r="A44" s="336"/>
      <c r="B44" s="506" t="s">
        <v>1035</v>
      </c>
      <c r="C44" s="507" t="s">
        <v>1624</v>
      </c>
      <c r="D44" s="358" t="str">
        <f ca="1">IF(ISERROR(OFFSET('HARGA SATUAN'!$D$6,MATCH(RAB!C44,'HARGA SATUAN'!$C$7:$C$1492,0),0)),"",OFFSET('HARGA SATUAN'!$D$6,MATCH(RAB!C44,'HARGA SATUAN'!$C$7:$C$1492,0),0))</f>
        <v/>
      </c>
      <c r="E44" s="359" t="str">
        <f ca="1">IF(B44="+","Unit",IF(ISERROR(OFFSET('HARGA SATUAN'!$E$6,MATCH(RAB!C44,'HARGA SATUAN'!$C$7:$C$1492,0),0)),"",OFFSET('HARGA SATUAN'!$E$6,MATCH(RAB!C44,'HARGA SATUAN'!$C$7:$C$1492,0),0)))</f>
        <v>Unit</v>
      </c>
      <c r="F44" s="484">
        <v>1</v>
      </c>
      <c r="G44" s="360">
        <f ca="1">IF(ISERROR(OFFSET('HARGA SATUAN'!$I$6,MATCH(RAB!C44,'HARGA SATUAN'!$C$7:$C$1492,0),0)),0,OFFSET('HARGA SATUAN'!$I$6,MATCH(RAB!C44,'HARGA SATUAN'!$C$7:$C$1492,0),0))</f>
        <v>0</v>
      </c>
      <c r="H44" s="361">
        <f t="shared" ca="1" si="24"/>
        <v>0</v>
      </c>
      <c r="I44" s="361">
        <f t="shared" ca="1" si="25"/>
        <v>0</v>
      </c>
      <c r="J44" s="361">
        <f t="shared" ca="1" si="26"/>
        <v>0</v>
      </c>
      <c r="K44" s="362">
        <f t="shared" ca="1" si="27"/>
        <v>0</v>
      </c>
      <c r="L44" s="342"/>
      <c r="M44" s="342"/>
      <c r="N44" s="369"/>
      <c r="O44" s="344"/>
      <c r="P44" s="344"/>
      <c r="Q44" s="398"/>
      <c r="R44" s="344"/>
      <c r="S44" s="398"/>
      <c r="T44" s="399"/>
      <c r="U44" s="399"/>
      <c r="V44" s="399"/>
    </row>
    <row r="45" spans="1:22" s="365" customFormat="1">
      <c r="A45" s="336"/>
      <c r="B45" s="506">
        <v>1</v>
      </c>
      <c r="C45" s="507" t="s">
        <v>28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484">
        <f>F44*1</f>
        <v>1</v>
      </c>
      <c r="G45" s="360">
        <f ca="1">IF(ISERROR(OFFSET('HARGA SATUAN'!$I$6,MATCH(RAB!C45,'HARGA SATUAN'!$C$7:$C$1492,0),0)),0,OFFSET('HARGA SATUAN'!$I$6,MATCH(RAB!C45,'HARGA SATUAN'!$C$7:$C$1492,0),0))</f>
        <v>26500</v>
      </c>
      <c r="H45" s="361">
        <f t="shared" ca="1" si="24"/>
        <v>0</v>
      </c>
      <c r="I45" s="361">
        <f t="shared" ca="1" si="25"/>
        <v>26500</v>
      </c>
      <c r="J45" s="361">
        <f t="shared" ca="1" si="26"/>
        <v>0</v>
      </c>
      <c r="K45" s="362">
        <f t="shared" ca="1" si="27"/>
        <v>26500</v>
      </c>
      <c r="L45" s="342"/>
      <c r="M45" s="342"/>
      <c r="N45" s="369"/>
      <c r="O45" s="344"/>
      <c r="P45" s="344"/>
      <c r="Q45" s="398"/>
      <c r="R45" s="344"/>
      <c r="S45" s="398"/>
      <c r="T45" s="399"/>
      <c r="U45" s="399"/>
      <c r="V45" s="399"/>
    </row>
    <row r="46" spans="1:22" s="365" customFormat="1">
      <c r="A46" s="336"/>
      <c r="B46" s="506">
        <v>2</v>
      </c>
      <c r="C46" s="507" t="s">
        <v>203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484">
        <f>F44*1</f>
        <v>1</v>
      </c>
      <c r="G46" s="360">
        <f ca="1">IF(ISERROR(OFFSET('HARGA SATUAN'!$I$6,MATCH(RAB!C46,'HARGA SATUAN'!$C$7:$C$1492,0),0)),0,OFFSET('HARGA SATUAN'!$I$6,MATCH(RAB!C46,'HARGA SATUAN'!$C$7:$C$1492,0),0))</f>
        <v>12500</v>
      </c>
      <c r="H46" s="361">
        <f t="shared" ca="1" si="24"/>
        <v>0</v>
      </c>
      <c r="I46" s="361">
        <f t="shared" ca="1" si="25"/>
        <v>12500</v>
      </c>
      <c r="J46" s="361">
        <f t="shared" ca="1" si="26"/>
        <v>0</v>
      </c>
      <c r="K46" s="362">
        <f t="shared" ca="1" si="27"/>
        <v>12500</v>
      </c>
      <c r="L46" s="342"/>
      <c r="M46" s="342"/>
      <c r="N46" s="369"/>
      <c r="O46" s="344"/>
      <c r="P46" s="344"/>
      <c r="Q46" s="398"/>
      <c r="R46" s="344"/>
      <c r="S46" s="398"/>
      <c r="T46" s="399"/>
      <c r="U46" s="399"/>
      <c r="V46" s="399"/>
    </row>
    <row r="47" spans="1:22" s="365" customFormat="1">
      <c r="A47" s="336"/>
      <c r="B47" s="506">
        <v>3</v>
      </c>
      <c r="C47" s="507" t="s">
        <v>206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Mtr</v>
      </c>
      <c r="F47" s="484">
        <f>F44*12</f>
        <v>12</v>
      </c>
      <c r="G47" s="360">
        <f ca="1">IF(ISERROR(OFFSET('HARGA SATUAN'!$I$6,MATCH(RAB!C47,'HARGA SATUAN'!$C$7:$C$1492,0),0)),0,OFFSET('HARGA SATUAN'!$I$6,MATCH(RAB!C47,'HARGA SATUAN'!$C$7:$C$1492,0),0))</f>
        <v>39204</v>
      </c>
      <c r="H47" s="361">
        <f t="shared" ca="1" si="24"/>
        <v>0</v>
      </c>
      <c r="I47" s="361">
        <f t="shared" ca="1" si="25"/>
        <v>470448</v>
      </c>
      <c r="J47" s="361">
        <f t="shared" ca="1" si="26"/>
        <v>0</v>
      </c>
      <c r="K47" s="362">
        <f t="shared" ca="1" si="27"/>
        <v>470448</v>
      </c>
      <c r="L47" s="342"/>
      <c r="M47" s="342"/>
      <c r="N47" s="369"/>
      <c r="O47" s="344"/>
      <c r="P47" s="344"/>
      <c r="Q47" s="398"/>
      <c r="R47" s="344"/>
      <c r="S47" s="398"/>
      <c r="T47" s="399"/>
      <c r="U47" s="399"/>
      <c r="V47" s="399"/>
    </row>
    <row r="48" spans="1:22" s="365" customFormat="1">
      <c r="A48" s="336"/>
      <c r="B48" s="506">
        <v>4</v>
      </c>
      <c r="C48" s="507" t="s">
        <v>287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484">
        <f>F44*2</f>
        <v>2</v>
      </c>
      <c r="G48" s="360">
        <f ca="1">IF(ISERROR(OFFSET('HARGA SATUAN'!$I$6,MATCH(RAB!C48,'HARGA SATUAN'!$C$7:$C$1492,0),0)),0,OFFSET('HARGA SATUAN'!$I$6,MATCH(RAB!C48,'HARGA SATUAN'!$C$7:$C$1492,0),0))</f>
        <v>40000</v>
      </c>
      <c r="H48" s="361">
        <f t="shared" ca="1" si="24"/>
        <v>0</v>
      </c>
      <c r="I48" s="361">
        <f t="shared" ca="1" si="25"/>
        <v>80000</v>
      </c>
      <c r="J48" s="361">
        <f t="shared" ca="1" si="26"/>
        <v>0</v>
      </c>
      <c r="K48" s="362">
        <f t="shared" ca="1" si="27"/>
        <v>80000</v>
      </c>
      <c r="L48" s="342"/>
      <c r="M48" s="342"/>
      <c r="N48" s="369"/>
      <c r="O48" s="344"/>
      <c r="P48" s="344"/>
      <c r="Q48" s="398"/>
      <c r="R48" s="344"/>
      <c r="S48" s="398"/>
      <c r="T48" s="399"/>
      <c r="U48" s="399"/>
      <c r="V48" s="399"/>
    </row>
    <row r="49" spans="1:22" s="365" customFormat="1">
      <c r="A49" s="336"/>
      <c r="B49" s="506">
        <v>5</v>
      </c>
      <c r="C49" s="507" t="s">
        <v>26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484">
        <f>F44*1</f>
        <v>1</v>
      </c>
      <c r="G49" s="360">
        <f ca="1">IF(ISERROR(OFFSET('HARGA SATUAN'!$I$6,MATCH(RAB!C49,'HARGA SATUAN'!$C$7:$C$1492,0),0)),0,OFFSET('HARGA SATUAN'!$I$6,MATCH(RAB!C49,'HARGA SATUAN'!$C$7:$C$1492,0),0))</f>
        <v>2500</v>
      </c>
      <c r="H49" s="361">
        <f t="shared" ca="1" si="24"/>
        <v>0</v>
      </c>
      <c r="I49" s="361">
        <f t="shared" ca="1" si="25"/>
        <v>2500</v>
      </c>
      <c r="J49" s="361">
        <f t="shared" ca="1" si="26"/>
        <v>0</v>
      </c>
      <c r="K49" s="362">
        <f t="shared" ca="1" si="27"/>
        <v>2500</v>
      </c>
      <c r="L49" s="342"/>
      <c r="M49" s="342"/>
      <c r="N49" s="369"/>
      <c r="O49" s="344"/>
      <c r="P49" s="344"/>
      <c r="Q49" s="398"/>
      <c r="R49" s="344"/>
      <c r="S49" s="398"/>
      <c r="T49" s="399"/>
      <c r="U49" s="399"/>
      <c r="V49" s="399"/>
    </row>
    <row r="50" spans="1:22" s="365" customFormat="1">
      <c r="A50" s="336"/>
      <c r="B50" s="506">
        <v>6</v>
      </c>
      <c r="C50" s="507" t="s">
        <v>760</v>
      </c>
      <c r="D50" s="358" t="str">
        <f ca="1">IF(ISERROR(OFFSET('HARGA SATUAN'!$D$6,MATCH(RAB!C50,'HARGA SATUAN'!$C$7:$C$1492,0),0)),"",OFFSET('HARGA SATUAN'!$D$6,MATCH(RAB!C50,'HARGA SATUAN'!$C$7:$C$1492,0),0))</f>
        <v>JASA</v>
      </c>
      <c r="E50" s="359" t="str">
        <f ca="1">IF(B50="+","Unit",IF(ISERROR(OFFSET('HARGA SATUAN'!$E$6,MATCH(RAB!C50,'HARGA SATUAN'!$C$7:$C$1492,0),0)),"",OFFSET('HARGA SATUAN'!$E$6,MATCH(RAB!C50,'HARGA SATUAN'!$C$7:$C$1492,0),0)))</f>
        <v>Unit</v>
      </c>
      <c r="F50" s="484">
        <f>F44*1</f>
        <v>1</v>
      </c>
      <c r="G50" s="360">
        <f ca="1">IF(ISERROR(OFFSET('HARGA SATUAN'!$I$6,MATCH(RAB!C50,'HARGA SATUAN'!$C$7:$C$1492,0),0)),0,OFFSET('HARGA SATUAN'!$I$6,MATCH(RAB!C50,'HARGA SATUAN'!$C$7:$C$1492,0),0))</f>
        <v>36600</v>
      </c>
      <c r="H50" s="361">
        <f t="shared" ca="1" si="24"/>
        <v>0</v>
      </c>
      <c r="I50" s="361">
        <f t="shared" ca="1" si="25"/>
        <v>0</v>
      </c>
      <c r="J50" s="361">
        <f t="shared" ca="1" si="26"/>
        <v>36600</v>
      </c>
      <c r="K50" s="362">
        <f t="shared" ca="1" si="27"/>
        <v>36600</v>
      </c>
      <c r="L50" s="342"/>
      <c r="M50" s="342"/>
      <c r="N50" s="369"/>
      <c r="O50" s="344"/>
      <c r="P50" s="344"/>
      <c r="Q50" s="398"/>
      <c r="R50" s="344"/>
      <c r="S50" s="398"/>
      <c r="T50" s="399"/>
      <c r="U50" s="399"/>
      <c r="V50" s="399"/>
    </row>
    <row r="51" spans="1:22" s="365" customFormat="1">
      <c r="A51" s="336"/>
      <c r="B51" s="373"/>
      <c r="C51" s="374"/>
      <c r="D51" s="358" t="str">
        <f ca="1">IF(ISERROR(OFFSET('HARGA SATUAN'!$D$6,MATCH(RAB!C51,'HARGA SATUAN'!$C$7:$C$1492,0),0)),"",OFFSET('HARGA SATUAN'!$D$6,MATCH(RAB!C51,'HARGA SATUAN'!$C$7:$C$1492,0),0))</f>
        <v/>
      </c>
      <c r="E51" s="359" t="str">
        <f ca="1">IF(B51="+","Unit",IF(ISERROR(OFFSET('HARGA SATUAN'!$E$6,MATCH(RAB!C51,'HARGA SATUAN'!$C$7:$C$1492,0),0)),"",OFFSET('HARGA SATUAN'!$E$6,MATCH(RAB!C51,'HARGA SATUAN'!$C$7:$C$1492,0),0)))</f>
        <v/>
      </c>
      <c r="F51" s="484"/>
      <c r="G51" s="360">
        <f ca="1">IF(ISERROR(OFFSET('HARGA SATUAN'!$I$6,MATCH(RAB!C51,'HARGA SATUAN'!$C$7:$C$1492,0),0)),0,OFFSET('HARGA SATUAN'!$I$6,MATCH(RAB!C51,'HARGA SATUAN'!$C$7:$C$1492,0),0))</f>
        <v>0</v>
      </c>
      <c r="H51" s="361">
        <f t="shared" ca="1" si="24"/>
        <v>0</v>
      </c>
      <c r="I51" s="361">
        <f t="shared" ca="1" si="25"/>
        <v>0</v>
      </c>
      <c r="J51" s="361">
        <f t="shared" ca="1" si="26"/>
        <v>0</v>
      </c>
      <c r="K51" s="362">
        <f t="shared" ca="1" si="27"/>
        <v>0</v>
      </c>
      <c r="L51" s="342"/>
      <c r="M51" s="342"/>
      <c r="N51" s="369"/>
      <c r="O51" s="344"/>
      <c r="P51" s="344"/>
      <c r="Q51" s="398"/>
      <c r="R51" s="344"/>
      <c r="S51" s="398"/>
      <c r="T51" s="399"/>
      <c r="U51" s="399"/>
      <c r="V51" s="399"/>
    </row>
    <row r="52" spans="1:22" s="365" customFormat="1">
      <c r="A52" s="336"/>
      <c r="B52" s="506" t="s">
        <v>1035</v>
      </c>
      <c r="C52" s="507" t="s">
        <v>1625</v>
      </c>
      <c r="D52" s="358" t="str">
        <f ca="1">IF(ISERROR(OFFSET('HARGA SATUAN'!$D$6,MATCH(RAB!C52,'HARGA SATUAN'!$C$7:$C$1492,0),0)),"",OFFSET('HARGA SATUAN'!$D$6,MATCH(RAB!C52,'HARGA SATUAN'!$C$7:$C$1492,0),0))</f>
        <v/>
      </c>
      <c r="E52" s="359" t="str">
        <f ca="1">IF(B52="+","Unit",IF(ISERROR(OFFSET('HARGA SATUAN'!$E$6,MATCH(RAB!C52,'HARGA SATUAN'!$C$7:$C$1492,0),0)),"",OFFSET('HARGA SATUAN'!$E$6,MATCH(RAB!C52,'HARGA SATUAN'!$C$7:$C$1492,0),0)))</f>
        <v>Unit</v>
      </c>
      <c r="F52" s="484">
        <v>1</v>
      </c>
      <c r="G52" s="360">
        <f ca="1">IF(ISERROR(OFFSET('HARGA SATUAN'!$I$6,MATCH(RAB!C52,'HARGA SATUAN'!$C$7:$C$1492,0),0)),0,OFFSET('HARGA SATUAN'!$I$6,MATCH(RAB!C52,'HARGA SATUAN'!$C$7:$C$1492,0),0))</f>
        <v>0</v>
      </c>
      <c r="H52" s="361">
        <f t="shared" ca="1" si="24"/>
        <v>0</v>
      </c>
      <c r="I52" s="361">
        <f t="shared" ca="1" si="25"/>
        <v>0</v>
      </c>
      <c r="J52" s="361">
        <f t="shared" ca="1" si="26"/>
        <v>0</v>
      </c>
      <c r="K52" s="362">
        <f t="shared" ca="1" si="27"/>
        <v>0</v>
      </c>
      <c r="L52" s="342"/>
      <c r="M52" s="342"/>
      <c r="N52" s="369"/>
      <c r="O52" s="344"/>
      <c r="P52" s="344"/>
      <c r="Q52" s="398"/>
      <c r="R52" s="344"/>
      <c r="S52" s="398"/>
      <c r="T52" s="399"/>
      <c r="U52" s="399"/>
      <c r="V52" s="399"/>
    </row>
    <row r="53" spans="1:22" s="365" customFormat="1">
      <c r="A53" s="336"/>
      <c r="B53" s="514">
        <v>1</v>
      </c>
      <c r="C53" s="515" t="s">
        <v>597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484">
        <f>F52*1</f>
        <v>1</v>
      </c>
      <c r="G53" s="360">
        <f ca="1">IF(ISERROR(OFFSET('HARGA SATUAN'!$I$6,MATCH(RAB!C53,'HARGA SATUAN'!$C$7:$C$1492,0),0)),0,OFFSET('HARGA SATUAN'!$I$6,MATCH(RAB!C53,'HARGA SATUAN'!$C$7:$C$1492,0),0))</f>
        <v>120900</v>
      </c>
      <c r="H53" s="361">
        <f t="shared" ca="1" si="24"/>
        <v>0</v>
      </c>
      <c r="I53" s="361">
        <f t="shared" ca="1" si="25"/>
        <v>120900</v>
      </c>
      <c r="J53" s="361">
        <f t="shared" ca="1" si="26"/>
        <v>0</v>
      </c>
      <c r="K53" s="362">
        <f t="shared" ca="1" si="27"/>
        <v>120900</v>
      </c>
      <c r="L53" s="342"/>
      <c r="M53" s="342"/>
      <c r="N53" s="369"/>
      <c r="O53" s="344"/>
      <c r="P53" s="344"/>
      <c r="Q53" s="398"/>
      <c r="R53" s="344"/>
      <c r="S53" s="398"/>
      <c r="T53" s="399"/>
      <c r="U53" s="399"/>
      <c r="V53" s="399"/>
    </row>
    <row r="54" spans="1:22" s="365" customFormat="1">
      <c r="A54" s="336"/>
      <c r="B54" s="510">
        <v>2</v>
      </c>
      <c r="C54" s="513" t="s">
        <v>261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484">
        <f>F52*1</f>
        <v>1</v>
      </c>
      <c r="G54" s="360">
        <f ca="1">IF(ISERROR(OFFSET('HARGA SATUAN'!$I$6,MATCH(RAB!C54,'HARGA SATUAN'!$C$7:$C$1492,0),0)),0,OFFSET('HARGA SATUAN'!$I$6,MATCH(RAB!C54,'HARGA SATUAN'!$C$7:$C$1492,0),0))</f>
        <v>135800</v>
      </c>
      <c r="H54" s="361">
        <f t="shared" ca="1" si="24"/>
        <v>0</v>
      </c>
      <c r="I54" s="361">
        <f t="shared" ca="1" si="25"/>
        <v>135800</v>
      </c>
      <c r="J54" s="361">
        <f t="shared" ca="1" si="26"/>
        <v>0</v>
      </c>
      <c r="K54" s="362">
        <f t="shared" ca="1" si="27"/>
        <v>135800</v>
      </c>
      <c r="L54" s="342"/>
      <c r="M54" s="342"/>
      <c r="N54" s="369"/>
      <c r="O54" s="344"/>
      <c r="P54" s="344"/>
      <c r="Q54" s="398"/>
      <c r="R54" s="344"/>
      <c r="S54" s="398"/>
      <c r="T54" s="399"/>
      <c r="U54" s="399"/>
      <c r="V54" s="399"/>
    </row>
    <row r="55" spans="1:22" s="365" customFormat="1">
      <c r="A55" s="336"/>
      <c r="B55" s="510">
        <v>3</v>
      </c>
      <c r="C55" s="508" t="s">
        <v>214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505">
        <f>F52*1</f>
        <v>1</v>
      </c>
      <c r="G55" s="360">
        <f ca="1">IF(ISERROR(OFFSET('HARGA SATUAN'!$I$6,MATCH(RAB!C55,'HARGA SATUAN'!$C$7:$C$1492,0),0)),0,OFFSET('HARGA SATUAN'!$I$6,MATCH(RAB!C55,'HARGA SATUAN'!$C$7:$C$1492,0),0))</f>
        <v>4500</v>
      </c>
      <c r="H55" s="361">
        <f t="shared" ca="1" si="24"/>
        <v>0</v>
      </c>
      <c r="I55" s="361">
        <f t="shared" ca="1" si="25"/>
        <v>4500</v>
      </c>
      <c r="J55" s="361">
        <f t="shared" ca="1" si="26"/>
        <v>0</v>
      </c>
      <c r="K55" s="362">
        <f t="shared" ca="1" si="27"/>
        <v>4500</v>
      </c>
      <c r="L55" s="342"/>
      <c r="M55" s="342"/>
      <c r="N55" s="369"/>
      <c r="O55" s="344"/>
      <c r="P55" s="344"/>
      <c r="Q55" s="398"/>
      <c r="R55" s="344"/>
      <c r="S55" s="398"/>
      <c r="T55" s="399"/>
      <c r="U55" s="399"/>
      <c r="V55" s="399"/>
    </row>
    <row r="56" spans="1:22" s="365" customFormat="1">
      <c r="A56" s="336"/>
      <c r="B56" s="506">
        <v>4</v>
      </c>
      <c r="C56" s="507" t="s">
        <v>768</v>
      </c>
      <c r="D56" s="358" t="str">
        <f ca="1">IF(ISERROR(OFFSET('HARGA SATUAN'!$D$6,MATCH(RAB!C56,'HARGA SATUAN'!$C$7:$C$1492,0),0)),"",OFFSET('HARGA SATUAN'!$D$6,MATCH(RAB!C56,'HARGA SATUAN'!$C$7:$C$1492,0),0))</f>
        <v>JASA</v>
      </c>
      <c r="E56" s="359" t="str">
        <f ca="1">IF(B56="+","Unit",IF(ISERROR(OFFSET('HARGA SATUAN'!$E$6,MATCH(RAB!C56,'HARGA SATUAN'!$C$7:$C$1492,0),0)),"",OFFSET('HARGA SATUAN'!$E$6,MATCH(RAB!C56,'HARGA SATUAN'!$C$7:$C$1492,0),0)))</f>
        <v>Unit</v>
      </c>
      <c r="F56" s="484">
        <f>F52*1</f>
        <v>1</v>
      </c>
      <c r="G56" s="360">
        <f ca="1">IF(ISERROR(OFFSET('HARGA SATUAN'!$I$6,MATCH(RAB!C56,'HARGA SATUAN'!$C$7:$C$1492,0),0)),0,OFFSET('HARGA SATUAN'!$I$6,MATCH(RAB!C56,'HARGA SATUAN'!$C$7:$C$1492,0),0))</f>
        <v>55500</v>
      </c>
      <c r="H56" s="361">
        <f t="shared" ca="1" si="24"/>
        <v>0</v>
      </c>
      <c r="I56" s="361">
        <f t="shared" ca="1" si="25"/>
        <v>0</v>
      </c>
      <c r="J56" s="361">
        <f t="shared" ca="1" si="26"/>
        <v>55500</v>
      </c>
      <c r="K56" s="362">
        <f t="shared" ca="1" si="27"/>
        <v>55500</v>
      </c>
      <c r="L56" s="342"/>
      <c r="M56" s="342"/>
      <c r="N56" s="369"/>
      <c r="O56" s="344"/>
      <c r="P56" s="344"/>
      <c r="Q56" s="398"/>
      <c r="R56" s="344"/>
      <c r="S56" s="398"/>
      <c r="T56" s="399"/>
      <c r="U56" s="399"/>
      <c r="V56" s="399"/>
    </row>
    <row r="57" spans="1:22" s="365" customFormat="1">
      <c r="A57" s="336"/>
      <c r="B57" s="506"/>
      <c r="C57" s="507"/>
      <c r="D57" s="358"/>
      <c r="E57" s="359"/>
      <c r="F57" s="484"/>
      <c r="G57" s="360"/>
      <c r="H57" s="361"/>
      <c r="I57" s="361"/>
      <c r="J57" s="361"/>
      <c r="K57" s="362"/>
      <c r="L57" s="342"/>
      <c r="M57" s="342"/>
      <c r="N57" s="369"/>
      <c r="O57" s="344"/>
      <c r="P57" s="344"/>
      <c r="Q57" s="398"/>
      <c r="R57" s="344"/>
      <c r="S57" s="398"/>
      <c r="T57" s="399"/>
      <c r="U57" s="399"/>
      <c r="V57" s="399"/>
    </row>
    <row r="58" spans="1:22" s="365" customFormat="1">
      <c r="A58" s="336"/>
      <c r="B58" s="506" t="s">
        <v>1035</v>
      </c>
      <c r="C58" s="507" t="s">
        <v>1626</v>
      </c>
      <c r="D58" s="358" t="str">
        <f ca="1">IF(ISERROR(OFFSET('HARGA SATUAN'!$D$6,MATCH(RAB!C58,'HARGA SATUAN'!$C$7:$C$1492,0),0)),"",OFFSET('HARGA SATUAN'!$D$6,MATCH(RAB!C58,'HARGA SATUAN'!$C$7:$C$1492,0),0))</f>
        <v/>
      </c>
      <c r="E58" s="359" t="str">
        <f ca="1">IF(B58="+","Unit",IF(ISERROR(OFFSET('HARGA SATUAN'!$E$6,MATCH(RAB!C58,'HARGA SATUAN'!$C$7:$C$1492,0),0)),"",OFFSET('HARGA SATUAN'!$E$6,MATCH(RAB!C58,'HARGA SATUAN'!$C$7:$C$1492,0),0)))</f>
        <v>Unit</v>
      </c>
      <c r="F58" s="484">
        <v>1</v>
      </c>
      <c r="G58" s="360">
        <f ca="1">IF(ISERROR(OFFSET('HARGA SATUAN'!$I$6,MATCH(RAB!C58,'HARGA SATUAN'!$C$7:$C$1492,0),0)),0,OFFSET('HARGA SATUAN'!$I$6,MATCH(RAB!C58,'HARGA SATUAN'!$C$7:$C$1492,0),0))</f>
        <v>0</v>
      </c>
      <c r="H58" s="361">
        <f t="shared" ca="1" si="24"/>
        <v>0</v>
      </c>
      <c r="I58" s="361">
        <f t="shared" ca="1" si="25"/>
        <v>0</v>
      </c>
      <c r="J58" s="361">
        <f t="shared" ca="1" si="26"/>
        <v>0</v>
      </c>
      <c r="K58" s="362">
        <f t="shared" ca="1" si="27"/>
        <v>0</v>
      </c>
      <c r="L58" s="342"/>
      <c r="M58" s="342"/>
      <c r="N58" s="369"/>
      <c r="O58" s="344"/>
      <c r="P58" s="344"/>
      <c r="Q58" s="398"/>
      <c r="R58" s="344"/>
      <c r="S58" s="398"/>
      <c r="T58" s="399"/>
      <c r="U58" s="399"/>
      <c r="V58" s="399"/>
    </row>
    <row r="59" spans="1:22" s="365" customFormat="1">
      <c r="A59" s="336"/>
      <c r="B59" s="506">
        <v>1</v>
      </c>
      <c r="C59" s="507" t="s">
        <v>30</v>
      </c>
      <c r="D59" s="358" t="str">
        <f ca="1">IF(ISERROR(OFFSET('HARGA SATUAN'!$D$6,MATCH(RAB!C59,'HARGA SATUAN'!$C$7:$C$1492,0),0)),"",OFFSET('HARGA SATUAN'!$D$6,MATCH(RAB!C59,'HARGA SATUAN'!$C$7:$C$1492,0),0))</f>
        <v>HDW</v>
      </c>
      <c r="E59" s="359" t="str">
        <f ca="1">IF(B59="+","Unit",IF(ISERROR(OFFSET('HARGA SATUAN'!$E$6,MATCH(RAB!C59,'HARGA SATUAN'!$C$7:$C$1492,0),0)),"",OFFSET('HARGA SATUAN'!$E$6,MATCH(RAB!C59,'HARGA SATUAN'!$C$7:$C$1492,0),0)))</f>
        <v>Bh</v>
      </c>
      <c r="F59" s="484">
        <f>F58*1</f>
        <v>1</v>
      </c>
      <c r="G59" s="360">
        <f ca="1">IF(ISERROR(OFFSET('HARGA SATUAN'!$I$6,MATCH(RAB!C59,'HARGA SATUAN'!$C$7:$C$1492,0),0)),0,OFFSET('HARGA SATUAN'!$I$6,MATCH(RAB!C59,'HARGA SATUAN'!$C$7:$C$1492,0),0))</f>
        <v>47459</v>
      </c>
      <c r="H59" s="361">
        <f t="shared" ca="1" si="24"/>
        <v>0</v>
      </c>
      <c r="I59" s="361">
        <f t="shared" ca="1" si="25"/>
        <v>47459</v>
      </c>
      <c r="J59" s="361">
        <f t="shared" ca="1" si="26"/>
        <v>0</v>
      </c>
      <c r="K59" s="362">
        <f t="shared" ca="1" si="27"/>
        <v>47459</v>
      </c>
      <c r="L59" s="342"/>
      <c r="M59" s="342"/>
      <c r="N59" s="369"/>
      <c r="O59" s="344"/>
      <c r="P59" s="344"/>
      <c r="Q59" s="398"/>
      <c r="R59" s="344"/>
      <c r="S59" s="398"/>
      <c r="T59" s="399"/>
      <c r="U59" s="399"/>
      <c r="V59" s="399"/>
    </row>
    <row r="60" spans="1:22" s="365" customFormat="1">
      <c r="A60" s="336"/>
      <c r="B60" s="506">
        <v>2</v>
      </c>
      <c r="C60" s="507" t="s">
        <v>32</v>
      </c>
      <c r="D60" s="358" t="str">
        <f ca="1">IF(ISERROR(OFFSET('HARGA SATUAN'!$D$6,MATCH(RAB!C60,'HARGA SATUAN'!$C$7:$C$1492,0),0)),"",OFFSET('HARGA SATUAN'!$D$6,MATCH(RAB!C60,'HARGA SATUAN'!$C$7:$C$1492,0),0))</f>
        <v>HDW</v>
      </c>
      <c r="E60" s="359" t="str">
        <f ca="1">IF(B60="+","Unit",IF(ISERROR(OFFSET('HARGA SATUAN'!$E$6,MATCH(RAB!C60,'HARGA SATUAN'!$C$7:$C$1492,0),0)),"",OFFSET('HARGA SATUAN'!$E$6,MATCH(RAB!C60,'HARGA SATUAN'!$C$7:$C$1492,0),0)))</f>
        <v>Mtr</v>
      </c>
      <c r="F60" s="484">
        <f>F58*1</f>
        <v>1</v>
      </c>
      <c r="G60" s="360">
        <f ca="1">IF(ISERROR(OFFSET('HARGA SATUAN'!$I$6,MATCH(RAB!C60,'HARGA SATUAN'!$C$7:$C$1492,0),0)),0,OFFSET('HARGA SATUAN'!$I$6,MATCH(RAB!C60,'HARGA SATUAN'!$C$7:$C$1492,0),0))</f>
        <v>30000</v>
      </c>
      <c r="H60" s="361">
        <f t="shared" ca="1" si="24"/>
        <v>0</v>
      </c>
      <c r="I60" s="361">
        <f t="shared" ca="1" si="25"/>
        <v>30000</v>
      </c>
      <c r="J60" s="361">
        <f t="shared" ca="1" si="26"/>
        <v>0</v>
      </c>
      <c r="K60" s="362">
        <f t="shared" ca="1" si="27"/>
        <v>30000</v>
      </c>
      <c r="L60" s="342"/>
      <c r="M60" s="342"/>
      <c r="N60" s="369"/>
      <c r="O60" s="344"/>
      <c r="P60" s="344"/>
      <c r="Q60" s="398"/>
      <c r="R60" s="344"/>
      <c r="S60" s="398"/>
      <c r="T60" s="399"/>
      <c r="U60" s="399"/>
      <c r="V60" s="399"/>
    </row>
    <row r="61" spans="1:22" s="365" customFormat="1">
      <c r="A61" s="336"/>
      <c r="B61" s="506">
        <v>3</v>
      </c>
      <c r="C61" s="507" t="s">
        <v>33</v>
      </c>
      <c r="D61" s="358" t="str">
        <f ca="1">IF(ISERROR(OFFSET('HARGA SATUAN'!$D$6,MATCH(RAB!C61,'HARGA SATUAN'!$C$7:$C$1492,0),0)),"",OFFSET('HARGA SATUAN'!$D$6,MATCH(RAB!C61,'HARGA SATUAN'!$C$7:$C$1492,0),0))</f>
        <v>HDW</v>
      </c>
      <c r="E61" s="359" t="str">
        <f ca="1">IF(B61="+","Unit",IF(ISERROR(OFFSET('HARGA SATUAN'!$E$6,MATCH(RAB!C61,'HARGA SATUAN'!$C$7:$C$1492,0),0)),"",OFFSET('HARGA SATUAN'!$E$6,MATCH(RAB!C61,'HARGA SATUAN'!$C$7:$C$1492,0),0)))</f>
        <v>Bh</v>
      </c>
      <c r="F61" s="484">
        <f>F58*1</f>
        <v>1</v>
      </c>
      <c r="G61" s="360">
        <f ca="1">IF(ISERROR(OFFSET('HARGA SATUAN'!$I$6,MATCH(RAB!C61,'HARGA SATUAN'!$C$7:$C$1492,0),0)),0,OFFSET('HARGA SATUAN'!$I$6,MATCH(RAB!C61,'HARGA SATUAN'!$C$7:$C$1492,0),0))</f>
        <v>9500</v>
      </c>
      <c r="H61" s="361">
        <f t="shared" ca="1" si="24"/>
        <v>0</v>
      </c>
      <c r="I61" s="361">
        <f t="shared" ca="1" si="25"/>
        <v>9500</v>
      </c>
      <c r="J61" s="361">
        <f t="shared" ca="1" si="26"/>
        <v>0</v>
      </c>
      <c r="K61" s="362">
        <f t="shared" ca="1" si="27"/>
        <v>9500</v>
      </c>
      <c r="L61" s="342"/>
      <c r="M61" s="342"/>
      <c r="N61" s="369"/>
      <c r="O61" s="344"/>
      <c r="P61" s="344"/>
      <c r="Q61" s="398"/>
      <c r="R61" s="344"/>
      <c r="S61" s="398"/>
      <c r="T61" s="399"/>
      <c r="U61" s="399"/>
      <c r="V61" s="399"/>
    </row>
    <row r="62" spans="1:22" s="365" customFormat="1">
      <c r="A62" s="336"/>
      <c r="B62" s="506">
        <v>4</v>
      </c>
      <c r="C62" s="507" t="s">
        <v>738</v>
      </c>
      <c r="D62" s="358" t="str">
        <f ca="1">IF(ISERROR(OFFSET('HARGA SATUAN'!$D$6,MATCH(RAB!C62,'HARGA SATUAN'!$C$7:$C$1492,0),0)),"",OFFSET('HARGA SATUAN'!$D$6,MATCH(RAB!C62,'HARGA SATUAN'!$C$7:$C$1492,0),0))</f>
        <v>JASA</v>
      </c>
      <c r="E62" s="359" t="str">
        <f ca="1">IF(B62="+","Unit",IF(ISERROR(OFFSET('HARGA SATUAN'!$E$6,MATCH(RAB!C62,'HARGA SATUAN'!$C$7:$C$1492,0),0)),"",OFFSET('HARGA SATUAN'!$E$6,MATCH(RAB!C62,'HARGA SATUAN'!$C$7:$C$1492,0),0)))</f>
        <v>Unit</v>
      </c>
      <c r="F62" s="484">
        <f>F58*1</f>
        <v>1</v>
      </c>
      <c r="G62" s="360">
        <f ca="1">IF(ISERROR(OFFSET('HARGA SATUAN'!$I$6,MATCH(RAB!C62,'HARGA SATUAN'!$C$7:$C$1492,0),0)),0,OFFSET('HARGA SATUAN'!$I$6,MATCH(RAB!C62,'HARGA SATUAN'!$C$7:$C$1492,0),0))</f>
        <v>21200</v>
      </c>
      <c r="H62" s="361">
        <f t="shared" ca="1" si="24"/>
        <v>0</v>
      </c>
      <c r="I62" s="361">
        <f t="shared" ca="1" si="25"/>
        <v>0</v>
      </c>
      <c r="J62" s="361">
        <f t="shared" ca="1" si="26"/>
        <v>21200</v>
      </c>
      <c r="K62" s="362">
        <f t="shared" ca="1" si="27"/>
        <v>21200</v>
      </c>
      <c r="L62" s="342"/>
      <c r="M62" s="342"/>
      <c r="N62" s="369"/>
      <c r="O62" s="344"/>
      <c r="P62" s="344"/>
      <c r="Q62" s="398"/>
      <c r="R62" s="344"/>
      <c r="S62" s="398"/>
      <c r="T62" s="399"/>
      <c r="U62" s="399"/>
      <c r="V62" s="399"/>
    </row>
    <row r="63" spans="1:22" s="365" customFormat="1">
      <c r="A63" s="336"/>
      <c r="B63" s="506"/>
      <c r="C63" s="507"/>
      <c r="D63" s="358" t="str">
        <f ca="1">IF(ISERROR(OFFSET('HARGA SATUAN'!$D$6,MATCH(RAB!C63,'HARGA SATUAN'!$C$7:$C$1492,0),0)),"",OFFSET('HARGA SATUAN'!$D$6,MATCH(RAB!C63,'HARGA SATUAN'!$C$7:$C$1492,0),0))</f>
        <v/>
      </c>
      <c r="E63" s="359" t="str">
        <f ca="1">IF(B63="+","Unit",IF(ISERROR(OFFSET('HARGA SATUAN'!$E$6,MATCH(RAB!C63,'HARGA SATUAN'!$C$7:$C$1492,0),0)),"",OFFSET('HARGA SATUAN'!$E$6,MATCH(RAB!C63,'HARGA SATUAN'!$C$7:$C$1492,0),0)))</f>
        <v/>
      </c>
      <c r="F63" s="484"/>
      <c r="G63" s="360">
        <f ca="1">IF(ISERROR(OFFSET('HARGA SATUAN'!$I$6,MATCH(RAB!C63,'HARGA SATUAN'!$C$7:$C$1492,0),0)),0,OFFSET('HARGA SATUAN'!$I$6,MATCH(RAB!C63,'HARGA SATUAN'!$C$7:$C$1492,0),0))</f>
        <v>0</v>
      </c>
      <c r="H63" s="361">
        <f t="shared" ref="H63:H66" ca="1" si="28">IF(OR(D63="MDU",D63="MDU-KD"),(IF($O$3="RAB NON MDU","PLN KD",G63*F63)),0)</f>
        <v>0</v>
      </c>
      <c r="I63" s="361">
        <f t="shared" ref="I63:I66" ca="1" si="29">IF(D63="HDW",G63*F63,0)</f>
        <v>0</v>
      </c>
      <c r="J63" s="361">
        <f t="shared" ref="J63:J66" ca="1" si="30">IF(D63="JASA",G63*F63,0)</f>
        <v>0</v>
      </c>
      <c r="K63" s="362">
        <f t="shared" ref="K63:K66" ca="1" si="31">SUM(H63:J63)</f>
        <v>0</v>
      </c>
      <c r="L63" s="342"/>
      <c r="M63" s="342"/>
      <c r="N63" s="369"/>
      <c r="O63" s="344"/>
      <c r="P63" s="344"/>
      <c r="Q63" s="398"/>
      <c r="R63" s="344"/>
      <c r="S63" s="398"/>
      <c r="T63" s="399"/>
      <c r="U63" s="399"/>
      <c r="V63" s="399"/>
    </row>
    <row r="64" spans="1:22" s="365" customFormat="1">
      <c r="A64" s="336"/>
      <c r="B64" s="373" t="s">
        <v>1549</v>
      </c>
      <c r="C64" s="374" t="s">
        <v>1616</v>
      </c>
      <c r="D64" s="358" t="str">
        <f ca="1">IF(ISERROR(OFFSET('HARGA SATUAN'!$D$6,MATCH(RAB!C64,'HARGA SATUAN'!$C$7:$C$1492,0),0)),"",OFFSET('HARGA SATUAN'!$D$6,MATCH(RAB!C64,'HARGA SATUAN'!$C$7:$C$1492,0),0))</f>
        <v/>
      </c>
      <c r="E64" s="359" t="str">
        <f ca="1">IF(B64="+","Unit",IF(ISERROR(OFFSET('HARGA SATUAN'!$E$6,MATCH(RAB!C64,'HARGA SATUAN'!$C$7:$C$1492,0),0)),"",OFFSET('HARGA SATUAN'!$E$6,MATCH(RAB!C64,'HARGA SATUAN'!$C$7:$C$1492,0),0)))</f>
        <v/>
      </c>
      <c r="F64" s="484"/>
      <c r="G64" s="360">
        <f ca="1">IF(ISERROR(OFFSET('HARGA SATUAN'!$I$6,MATCH(RAB!C64,'HARGA SATUAN'!$C$7:$C$1492,0),0)),0,OFFSET('HARGA SATUAN'!$I$6,MATCH(RAB!C64,'HARGA SATUAN'!$C$7:$C$1492,0),0))</f>
        <v>0</v>
      </c>
      <c r="H64" s="361">
        <f t="shared" ca="1" si="28"/>
        <v>0</v>
      </c>
      <c r="I64" s="361">
        <f t="shared" ca="1" si="29"/>
        <v>0</v>
      </c>
      <c r="J64" s="361">
        <f t="shared" ca="1" si="30"/>
        <v>0</v>
      </c>
      <c r="K64" s="362">
        <f t="shared" ca="1" si="31"/>
        <v>0</v>
      </c>
      <c r="L64" s="342"/>
      <c r="M64" s="342"/>
      <c r="N64" s="369"/>
      <c r="O64" s="344"/>
      <c r="P64" s="344"/>
      <c r="Q64" s="398"/>
      <c r="R64" s="344"/>
      <c r="S64" s="398"/>
      <c r="T64" s="399"/>
      <c r="U64" s="399"/>
      <c r="V64" s="399"/>
    </row>
    <row r="65" spans="1:22" s="365" customFormat="1">
      <c r="A65" s="336"/>
      <c r="B65" s="373"/>
      <c r="C65" s="374"/>
      <c r="D65" s="358" t="str">
        <f ca="1">IF(ISERROR(OFFSET('HARGA SATUAN'!$D$6,MATCH(RAB!C65,'HARGA SATUAN'!$C$7:$C$1492,0),0)),"",OFFSET('HARGA SATUAN'!$D$6,MATCH(RAB!C65,'HARGA SATUAN'!$C$7:$C$1492,0),0))</f>
        <v/>
      </c>
      <c r="E65" s="359" t="str">
        <f ca="1">IF(B65="+","Unit",IF(ISERROR(OFFSET('HARGA SATUAN'!$E$6,MATCH(RAB!C65,'HARGA SATUAN'!$C$7:$C$1492,0),0)),"",OFFSET('HARGA SATUAN'!$E$6,MATCH(RAB!C65,'HARGA SATUAN'!$C$7:$C$1492,0),0)))</f>
        <v/>
      </c>
      <c r="F65" s="484"/>
      <c r="G65" s="360">
        <f ca="1">IF(ISERROR(OFFSET('HARGA SATUAN'!$I$6,MATCH(RAB!C65,'HARGA SATUAN'!$C$7:$C$1492,0),0)),0,OFFSET('HARGA SATUAN'!$I$6,MATCH(RAB!C65,'HARGA SATUAN'!$C$7:$C$1492,0),0))</f>
        <v>0</v>
      </c>
      <c r="H65" s="361">
        <f t="shared" ca="1" si="28"/>
        <v>0</v>
      </c>
      <c r="I65" s="361">
        <f t="shared" ca="1" si="29"/>
        <v>0</v>
      </c>
      <c r="J65" s="361">
        <f t="shared" ca="1" si="30"/>
        <v>0</v>
      </c>
      <c r="K65" s="362">
        <f t="shared" ca="1" si="31"/>
        <v>0</v>
      </c>
      <c r="L65" s="342"/>
      <c r="M65" s="342"/>
      <c r="N65" s="369"/>
      <c r="O65" s="344"/>
      <c r="P65" s="344"/>
      <c r="Q65" s="398"/>
      <c r="R65" s="344"/>
      <c r="S65" s="398"/>
      <c r="T65" s="399"/>
      <c r="U65" s="399"/>
      <c r="V65" s="399"/>
    </row>
    <row r="66" spans="1:22" s="365" customFormat="1">
      <c r="A66" s="336"/>
      <c r="B66" s="516" t="s">
        <v>1035</v>
      </c>
      <c r="C66" s="517" t="s">
        <v>1627</v>
      </c>
      <c r="D66" s="358" t="str">
        <f ca="1">IF(ISERROR(OFFSET('HARGA SATUAN'!$D$6,MATCH(RAB!C66,'HARGA SATUAN'!$C$7:$C$1492,0),0)),"",OFFSET('HARGA SATUAN'!$D$6,MATCH(RAB!C66,'HARGA SATUAN'!$C$7:$C$1492,0),0))</f>
        <v/>
      </c>
      <c r="E66" s="359" t="str">
        <f ca="1">IF(B66="+","Unit",IF(ISERROR(OFFSET('HARGA SATUAN'!$E$6,MATCH(RAB!C66,'HARGA SATUAN'!$C$7:$C$1492,0),0)),"",OFFSET('HARGA SATUAN'!$E$6,MATCH(RAB!C66,'HARGA SATUAN'!$C$7:$C$1492,0),0)))</f>
        <v>Unit</v>
      </c>
      <c r="F66" s="484">
        <v>1</v>
      </c>
      <c r="G66" s="360">
        <f ca="1">IF(ISERROR(OFFSET('HARGA SATUAN'!$I$6,MATCH(RAB!C66,'HARGA SATUAN'!$C$7:$C$1492,0),0)),0,OFFSET('HARGA SATUAN'!$I$6,MATCH(RAB!C66,'HARGA SATUAN'!$C$7:$C$1492,0),0))</f>
        <v>0</v>
      </c>
      <c r="H66" s="361">
        <f t="shared" ca="1" si="28"/>
        <v>0</v>
      </c>
      <c r="I66" s="361">
        <f t="shared" ca="1" si="29"/>
        <v>0</v>
      </c>
      <c r="J66" s="361">
        <f t="shared" ca="1" si="30"/>
        <v>0</v>
      </c>
      <c r="K66" s="362">
        <f t="shared" ca="1" si="31"/>
        <v>0</v>
      </c>
      <c r="L66" s="342"/>
      <c r="M66" s="342"/>
      <c r="N66" s="369"/>
      <c r="O66" s="344"/>
      <c r="P66" s="344"/>
      <c r="Q66" s="344"/>
      <c r="R66" s="344"/>
      <c r="S66" s="344"/>
      <c r="T66" s="403"/>
      <c r="U66" s="403"/>
      <c r="V66" s="403"/>
    </row>
    <row r="67" spans="1:22" s="365" customFormat="1">
      <c r="A67" s="336"/>
      <c r="B67" s="516">
        <v>1</v>
      </c>
      <c r="C67" s="109" t="s">
        <v>1150</v>
      </c>
      <c r="D67" s="358" t="str">
        <f ca="1">IF(ISERROR(OFFSET('HARGA SATUAN'!$D$6,MATCH(RAB!C67,'HARGA SATUAN'!$C$7:$C$1492,0),0)),"",OFFSET('HARGA SATUAN'!$D$6,MATCH(RAB!C67,'HARGA SATUAN'!$C$7:$C$1492,0),0))</f>
        <v>MDU-KD</v>
      </c>
      <c r="E67" s="359" t="str">
        <f ca="1">IF(B67="+","Unit",IF(ISERROR(OFFSET('HARGA SATUAN'!$E$6,MATCH(RAB!C67,'HARGA SATUAN'!$C$7:$C$1492,0),0)),"",OFFSET('HARGA SATUAN'!$E$6,MATCH(RAB!C67,'HARGA SATUAN'!$C$7:$C$1492,0),0)))</f>
        <v>Bh</v>
      </c>
      <c r="F67" s="484">
        <f>F66*1</f>
        <v>1</v>
      </c>
      <c r="G67" s="360">
        <f ca="1">IF(ISERROR(OFFSET('HARGA SATUAN'!$I$6,MATCH(RAB!C67,'HARGA SATUAN'!$C$7:$C$1492,0),0)),0,OFFSET('HARGA SATUAN'!$I$6,MATCH(RAB!C67,'HARGA SATUAN'!$C$7:$C$1492,0),0))</f>
        <v>31630800</v>
      </c>
      <c r="H67" s="361">
        <f t="shared" ref="H67:H130" ca="1" si="32">IF(OR(D67="MDU",D67="MDU-KD"),(IF($O$3="RAB NON MDU","PLN KD",G67*F67)),0)</f>
        <v>31630800</v>
      </c>
      <c r="I67" s="361">
        <f t="shared" ref="I67:I130" ca="1" si="33">IF(D67="HDW",G67*F67,0)</f>
        <v>0</v>
      </c>
      <c r="J67" s="361">
        <f t="shared" ref="J67:J130" ca="1" si="34">IF(D67="JASA",G67*F67,0)</f>
        <v>0</v>
      </c>
      <c r="K67" s="362">
        <f t="shared" ref="K67:K130" ca="1" si="35">SUM(H67:J67)</f>
        <v>31630800</v>
      </c>
      <c r="L67" s="342"/>
      <c r="M67" s="342"/>
      <c r="N67" s="369"/>
      <c r="O67" s="344"/>
      <c r="P67" s="344"/>
      <c r="Q67" s="344"/>
      <c r="R67" s="344"/>
      <c r="S67" s="344"/>
      <c r="T67" s="399"/>
      <c r="U67" s="399"/>
      <c r="V67" s="399"/>
    </row>
    <row r="68" spans="1:22" s="365" customFormat="1">
      <c r="A68" s="336"/>
      <c r="B68" s="510">
        <v>2</v>
      </c>
      <c r="C68" s="511" t="s">
        <v>1619</v>
      </c>
      <c r="D68" s="358" t="str">
        <f ca="1">IF(ISERROR(OFFSET('HARGA SATUAN'!$D$6,MATCH(RAB!C68,'HARGA SATUAN'!$C$7:$C$1492,0),0)),"",OFFSET('HARGA SATUAN'!$D$6,MATCH(RAB!C68,'HARGA SATUAN'!$C$7:$C$1492,0),0))</f>
        <v/>
      </c>
      <c r="E68" s="359" t="str">
        <f ca="1">IF(B68="+","Unit",IF(ISERROR(OFFSET('HARGA SATUAN'!$E$6,MATCH(RAB!C68,'HARGA SATUAN'!$C$7:$C$1492,0),0)),"",OFFSET('HARGA SATUAN'!$E$6,MATCH(RAB!C68,'HARGA SATUAN'!$C$7:$C$1492,0),0)))</f>
        <v/>
      </c>
      <c r="F68" s="512"/>
      <c r="G68" s="360">
        <f ca="1">IF(ISERROR(OFFSET('HARGA SATUAN'!$I$6,MATCH(RAB!C68,'HARGA SATUAN'!$C$7:$C$1492,0),0)),0,OFFSET('HARGA SATUAN'!$I$6,MATCH(RAB!C68,'HARGA SATUAN'!$C$7:$C$1492,0),0))</f>
        <v>0</v>
      </c>
      <c r="H68" s="361">
        <f t="shared" ca="1" si="32"/>
        <v>0</v>
      </c>
      <c r="I68" s="361">
        <f t="shared" ca="1" si="33"/>
        <v>0</v>
      </c>
      <c r="J68" s="361">
        <f t="shared" ca="1" si="34"/>
        <v>0</v>
      </c>
      <c r="K68" s="362">
        <f t="shared" ca="1" si="35"/>
        <v>0</v>
      </c>
      <c r="L68" s="342"/>
      <c r="M68" s="342"/>
      <c r="N68" s="369"/>
      <c r="O68" s="344"/>
      <c r="P68" s="344"/>
      <c r="Q68" s="344"/>
      <c r="R68" s="344"/>
      <c r="S68" s="344"/>
      <c r="T68" s="399"/>
      <c r="U68" s="399"/>
      <c r="V68" s="399"/>
    </row>
    <row r="69" spans="1:22" s="365" customFormat="1">
      <c r="A69" s="336"/>
      <c r="B69" s="516"/>
      <c r="C69" s="511" t="s">
        <v>65</v>
      </c>
      <c r="D69" s="358" t="str">
        <f ca="1">IF(ISERROR(OFFSET('HARGA SATUAN'!$D$6,MATCH(RAB!C69,'HARGA SATUAN'!$C$7:$C$1492,0),0)),"",OFFSET('HARGA SATUAN'!$D$6,MATCH(RAB!C69,'HARGA SATUAN'!$C$7:$C$1492,0),0))</f>
        <v>MDU-KD</v>
      </c>
      <c r="E69" s="359" t="str">
        <f ca="1">IF(B69="+","Unit",IF(ISERROR(OFFSET('HARGA SATUAN'!$E$6,MATCH(RAB!C69,'HARGA SATUAN'!$C$7:$C$1492,0),0)),"",OFFSET('HARGA SATUAN'!$E$6,MATCH(RAB!C69,'HARGA SATUAN'!$C$7:$C$1492,0),0)))</f>
        <v>Mtr</v>
      </c>
      <c r="F69" s="484">
        <f>F66*(3*3)</f>
        <v>9</v>
      </c>
      <c r="G69" s="360">
        <f ca="1">IF(ISERROR(OFFSET('HARGA SATUAN'!$I$6,MATCH(RAB!C69,'HARGA SATUAN'!$C$7:$C$1492,0),0)),0,OFFSET('HARGA SATUAN'!$I$6,MATCH(RAB!C69,'HARGA SATUAN'!$C$7:$C$1492,0),0))</f>
        <v>14200</v>
      </c>
      <c r="H69" s="361">
        <f t="shared" ca="1" si="32"/>
        <v>127800</v>
      </c>
      <c r="I69" s="361">
        <f t="shared" ca="1" si="33"/>
        <v>0</v>
      </c>
      <c r="J69" s="361">
        <f t="shared" ca="1" si="34"/>
        <v>0</v>
      </c>
      <c r="K69" s="362">
        <f t="shared" ca="1" si="35"/>
        <v>127800</v>
      </c>
      <c r="L69" s="342"/>
      <c r="M69" s="342"/>
      <c r="N69" s="369"/>
      <c r="O69" s="344"/>
      <c r="P69" s="344"/>
      <c r="Q69" s="344"/>
      <c r="R69" s="344"/>
      <c r="S69" s="344"/>
      <c r="T69" s="403"/>
      <c r="U69" s="403"/>
      <c r="V69" s="403"/>
    </row>
    <row r="70" spans="1:22" s="365" customFormat="1">
      <c r="A70" s="336"/>
      <c r="B70" s="516"/>
      <c r="C70" s="109" t="s">
        <v>1402</v>
      </c>
      <c r="D70" s="358" t="str">
        <f ca="1">IF(ISERROR(OFFSET('HARGA SATUAN'!$D$6,MATCH(RAB!C70,'HARGA SATUAN'!$C$7:$C$1492,0),0)),"",OFFSET('HARGA SATUAN'!$D$6,MATCH(RAB!C70,'HARGA SATUAN'!$C$7:$C$1492,0),0))</f>
        <v>MDU-KD</v>
      </c>
      <c r="E70" s="359" t="str">
        <f ca="1">IF(B70="+","Unit",IF(ISERROR(OFFSET('HARGA SATUAN'!$E$6,MATCH(RAB!C70,'HARGA SATUAN'!$C$7:$C$1492,0),0)),"",OFFSET('HARGA SATUAN'!$E$6,MATCH(RAB!C70,'HARGA SATUAN'!$C$7:$C$1492,0),0)))</f>
        <v>Mtr</v>
      </c>
      <c r="F70" s="484">
        <f>F66*3</f>
        <v>3</v>
      </c>
      <c r="G70" s="360">
        <f ca="1">IF(ISERROR(OFFSET('HARGA SATUAN'!$I$6,MATCH(RAB!C70,'HARGA SATUAN'!$C$7:$C$1492,0),0)),0,OFFSET('HARGA SATUAN'!$I$6,MATCH(RAB!C70,'HARGA SATUAN'!$C$7:$C$1492,0),0))</f>
        <v>53300</v>
      </c>
      <c r="H70" s="361">
        <f t="shared" ca="1" si="32"/>
        <v>159900</v>
      </c>
      <c r="I70" s="361">
        <f t="shared" ca="1" si="33"/>
        <v>0</v>
      </c>
      <c r="J70" s="361">
        <f t="shared" ca="1" si="34"/>
        <v>0</v>
      </c>
      <c r="K70" s="362">
        <f t="shared" ca="1" si="35"/>
        <v>159900</v>
      </c>
      <c r="L70" s="406" t="e">
        <f ca="1">PROPER([94]!terbilang(K136))</f>
        <v>#NAME?</v>
      </c>
      <c r="M70" s="406"/>
      <c r="N70" s="369"/>
      <c r="O70" s="344"/>
      <c r="P70" s="344"/>
      <c r="Q70" s="344"/>
    </row>
    <row r="71" spans="1:22">
      <c r="B71" s="516">
        <v>3</v>
      </c>
      <c r="C71" s="109" t="s">
        <v>559</v>
      </c>
      <c r="D71" s="358" t="str">
        <f ca="1">IF(ISERROR(OFFSET('HARGA SATUAN'!$D$6,MATCH(RAB!C71,'HARGA SATUAN'!$C$7:$C$1492,0),0)),"",OFFSET('HARGA SATUAN'!$D$6,MATCH(RAB!C71,'HARGA SATUAN'!$C$7:$C$1492,0),0))</f>
        <v>MDU-KD</v>
      </c>
      <c r="E71" s="359" t="str">
        <f ca="1">IF(B71="+","Unit",IF(ISERROR(OFFSET('HARGA SATUAN'!$E$6,MATCH(RAB!C71,'HARGA SATUAN'!$C$7:$C$1492,0),0)),"",OFFSET('HARGA SATUAN'!$E$6,MATCH(RAB!C71,'HARGA SATUAN'!$C$7:$C$1492,0),0)))</f>
        <v>Bh</v>
      </c>
      <c r="F71" s="484">
        <f>F66*3</f>
        <v>3</v>
      </c>
      <c r="G71" s="360">
        <f ca="1">IF(ISERROR(OFFSET('HARGA SATUAN'!$I$6,MATCH(RAB!C71,'HARGA SATUAN'!$C$7:$C$1492,0),0)),0,OFFSET('HARGA SATUAN'!$I$6,MATCH(RAB!C71,'HARGA SATUAN'!$C$7:$C$1492,0),0))</f>
        <v>725900</v>
      </c>
      <c r="H71" s="361">
        <f t="shared" ca="1" si="32"/>
        <v>2177700</v>
      </c>
      <c r="I71" s="361">
        <f t="shared" ca="1" si="33"/>
        <v>0</v>
      </c>
      <c r="J71" s="361">
        <f t="shared" ca="1" si="34"/>
        <v>0</v>
      </c>
      <c r="K71" s="362">
        <f t="shared" ca="1" si="35"/>
        <v>2177700</v>
      </c>
    </row>
    <row r="72" spans="1:22">
      <c r="B72" s="516">
        <v>4</v>
      </c>
      <c r="C72" s="517" t="s">
        <v>535</v>
      </c>
      <c r="D72" s="358" t="str">
        <f ca="1">IF(ISERROR(OFFSET('HARGA SATUAN'!$D$6,MATCH(RAB!C72,'HARGA SATUAN'!$C$7:$C$1492,0),0)),"",OFFSET('HARGA SATUAN'!$D$6,MATCH(RAB!C72,'HARGA SATUAN'!$C$7:$C$1492,0),0))</f>
        <v>MDU-KD</v>
      </c>
      <c r="E72" s="359" t="str">
        <f ca="1">IF(B72="+","Unit",IF(ISERROR(OFFSET('HARGA SATUAN'!$E$6,MATCH(RAB!C72,'HARGA SATUAN'!$C$7:$C$1492,0),0)),"",OFFSET('HARGA SATUAN'!$E$6,MATCH(RAB!C72,'HARGA SATUAN'!$C$7:$C$1492,0),0)))</f>
        <v>Bh</v>
      </c>
      <c r="F72" s="484">
        <f>F66*3</f>
        <v>3</v>
      </c>
      <c r="G72" s="360">
        <f ca="1">IF(ISERROR(OFFSET('HARGA SATUAN'!$I$6,MATCH(RAB!C72,'HARGA SATUAN'!$C$7:$C$1492,0),0)),0,OFFSET('HARGA SATUAN'!$I$6,MATCH(RAB!C72,'HARGA SATUAN'!$C$7:$C$1492,0),0))</f>
        <v>848250</v>
      </c>
      <c r="H72" s="361">
        <f t="shared" ca="1" si="32"/>
        <v>2544750</v>
      </c>
      <c r="I72" s="361">
        <f t="shared" ca="1" si="33"/>
        <v>0</v>
      </c>
      <c r="J72" s="361">
        <f t="shared" ca="1" si="34"/>
        <v>0</v>
      </c>
      <c r="K72" s="362">
        <f t="shared" ca="1" si="35"/>
        <v>2544750</v>
      </c>
    </row>
    <row r="73" spans="1:22">
      <c r="B73" s="516">
        <v>5</v>
      </c>
      <c r="C73" s="517" t="s">
        <v>55</v>
      </c>
      <c r="D73" s="358" t="str">
        <f ca="1">IF(ISERROR(OFFSET('HARGA SATUAN'!$D$6,MATCH(RAB!C73,'HARGA SATUAN'!$C$7:$C$1492,0),0)),"",OFFSET('HARGA SATUAN'!$D$6,MATCH(RAB!C73,'HARGA SATUAN'!$C$7:$C$1492,0),0))</f>
        <v>HDW</v>
      </c>
      <c r="E73" s="359" t="str">
        <f ca="1">IF(B73="+","Unit",IF(ISERROR(OFFSET('HARGA SATUAN'!$E$6,MATCH(RAB!C73,'HARGA SATUAN'!$C$7:$C$1492,0),0)),"",OFFSET('HARGA SATUAN'!$E$6,MATCH(RAB!C73,'HARGA SATUAN'!$C$7:$C$1492,0),0)))</f>
        <v>Bh</v>
      </c>
      <c r="F73" s="484">
        <f>F66*3</f>
        <v>3</v>
      </c>
      <c r="G73" s="360">
        <f ca="1">IF(ISERROR(OFFSET('HARGA SATUAN'!$I$6,MATCH(RAB!C73,'HARGA SATUAN'!$C$7:$C$1492,0),0)),0,OFFSET('HARGA SATUAN'!$I$6,MATCH(RAB!C73,'HARGA SATUAN'!$C$7:$C$1492,0),0))</f>
        <v>18000</v>
      </c>
      <c r="H73" s="361">
        <f t="shared" ca="1" si="32"/>
        <v>0</v>
      </c>
      <c r="I73" s="361">
        <f t="shared" ca="1" si="33"/>
        <v>54000</v>
      </c>
      <c r="J73" s="361">
        <f t="shared" ca="1" si="34"/>
        <v>0</v>
      </c>
      <c r="K73" s="362">
        <f t="shared" ca="1" si="35"/>
        <v>54000</v>
      </c>
    </row>
    <row r="74" spans="1:22">
      <c r="B74" s="516">
        <v>6</v>
      </c>
      <c r="C74" s="109" t="s">
        <v>1579</v>
      </c>
      <c r="D74" s="358" t="str">
        <f ca="1">IF(ISERROR(OFFSET('HARGA SATUAN'!$D$6,MATCH(RAB!C74,'HARGA SATUAN'!$C$7:$C$1492,0),0)),"",OFFSET('HARGA SATUAN'!$D$6,MATCH(RAB!C74,'HARGA SATUAN'!$C$7:$C$1492,0),0))</f>
        <v>HDW</v>
      </c>
      <c r="E74" s="359" t="str">
        <f ca="1">IF(B74="+","Unit",IF(ISERROR(OFFSET('HARGA SATUAN'!$E$6,MATCH(RAB!C74,'HARGA SATUAN'!$C$7:$C$1492,0),0)),"",OFFSET('HARGA SATUAN'!$E$6,MATCH(RAB!C74,'HARGA SATUAN'!$C$7:$C$1492,0),0)))</f>
        <v>Bh</v>
      </c>
      <c r="F74" s="484">
        <f>F66*13</f>
        <v>13</v>
      </c>
      <c r="G74" s="360">
        <f ca="1">IF(ISERROR(OFFSET('HARGA SATUAN'!$I$6,MATCH(RAB!C74,'HARGA SATUAN'!$C$7:$C$1492,0),0)),0,OFFSET('HARGA SATUAN'!$I$6,MATCH(RAB!C74,'HARGA SATUAN'!$C$7:$C$1492,0),0))</f>
        <v>73300</v>
      </c>
      <c r="H74" s="361">
        <f t="shared" ca="1" si="32"/>
        <v>0</v>
      </c>
      <c r="I74" s="361">
        <f t="shared" ca="1" si="33"/>
        <v>952900</v>
      </c>
      <c r="J74" s="361">
        <f t="shared" ca="1" si="34"/>
        <v>0</v>
      </c>
      <c r="K74" s="362">
        <f t="shared" ca="1" si="35"/>
        <v>952900</v>
      </c>
    </row>
    <row r="75" spans="1:22">
      <c r="B75" s="516">
        <v>7</v>
      </c>
      <c r="C75" s="517" t="s">
        <v>163</v>
      </c>
      <c r="D75" s="358" t="str">
        <f ca="1">IF(ISERROR(OFFSET('HARGA SATUAN'!$D$6,MATCH(RAB!C75,'HARGA SATUAN'!$C$7:$C$1492,0),0)),"",OFFSET('HARGA SATUAN'!$D$6,MATCH(RAB!C75,'HARGA SATUAN'!$C$7:$C$1492,0),0))</f>
        <v>HDW</v>
      </c>
      <c r="E75" s="359" t="str">
        <f ca="1">IF(B75="+","Unit",IF(ISERROR(OFFSET('HARGA SATUAN'!$E$6,MATCH(RAB!C75,'HARGA SATUAN'!$C$7:$C$1492,0),0)),"",OFFSET('HARGA SATUAN'!$E$6,MATCH(RAB!C75,'HARGA SATUAN'!$C$7:$C$1492,0),0)))</f>
        <v>Bh</v>
      </c>
      <c r="F75" s="484">
        <f>F66*28</f>
        <v>28</v>
      </c>
      <c r="G75" s="360">
        <f ca="1">IF(ISERROR(OFFSET('HARGA SATUAN'!$I$6,MATCH(RAB!C75,'HARGA SATUAN'!$C$7:$C$1492,0),0)),0,OFFSET('HARGA SATUAN'!$I$6,MATCH(RAB!C75,'HARGA SATUAN'!$C$7:$C$1492,0),0))</f>
        <v>7938</v>
      </c>
      <c r="H75" s="361">
        <f t="shared" ca="1" si="32"/>
        <v>0</v>
      </c>
      <c r="I75" s="361">
        <f t="shared" ca="1" si="33"/>
        <v>222264</v>
      </c>
      <c r="J75" s="361">
        <f t="shared" ca="1" si="34"/>
        <v>0</v>
      </c>
      <c r="K75" s="362">
        <f t="shared" ca="1" si="35"/>
        <v>222264</v>
      </c>
    </row>
    <row r="76" spans="1:22">
      <c r="B76" s="516">
        <v>8</v>
      </c>
      <c r="C76" s="517" t="s">
        <v>176</v>
      </c>
      <c r="D76" s="358" t="str">
        <f ca="1">IF(ISERROR(OFFSET('HARGA SATUAN'!$D$6,MATCH(RAB!C76,'HARGA SATUAN'!$C$7:$C$1492,0),0)),"",OFFSET('HARGA SATUAN'!$D$6,MATCH(RAB!C76,'HARGA SATUAN'!$C$7:$C$1492,0),0))</f>
        <v>HDW</v>
      </c>
      <c r="E76" s="359" t="str">
        <f ca="1">IF(B76="+","Unit",IF(ISERROR(OFFSET('HARGA SATUAN'!$E$6,MATCH(RAB!C76,'HARGA SATUAN'!$C$7:$C$1492,0),0)),"",OFFSET('HARGA SATUAN'!$E$6,MATCH(RAB!C76,'HARGA SATUAN'!$C$7:$C$1492,0),0)))</f>
        <v>Bh</v>
      </c>
      <c r="F76" s="484">
        <f>F66*2</f>
        <v>2</v>
      </c>
      <c r="G76" s="360">
        <f ca="1">IF(ISERROR(OFFSET('HARGA SATUAN'!$I$6,MATCH(RAB!C76,'HARGA SATUAN'!$C$7:$C$1492,0),0)),0,OFFSET('HARGA SATUAN'!$I$6,MATCH(RAB!C76,'HARGA SATUAN'!$C$7:$C$1492,0),0))</f>
        <v>404600</v>
      </c>
      <c r="H76" s="361">
        <f t="shared" ca="1" si="32"/>
        <v>0</v>
      </c>
      <c r="I76" s="361">
        <f t="shared" ca="1" si="33"/>
        <v>809200</v>
      </c>
      <c r="J76" s="361">
        <f t="shared" ca="1" si="34"/>
        <v>0</v>
      </c>
      <c r="K76" s="362">
        <f t="shared" ca="1" si="35"/>
        <v>809200</v>
      </c>
    </row>
    <row r="77" spans="1:22">
      <c r="B77" s="516">
        <v>9</v>
      </c>
      <c r="C77" s="517" t="s">
        <v>184</v>
      </c>
      <c r="D77" s="358" t="str">
        <f ca="1">IF(ISERROR(OFFSET('HARGA SATUAN'!$D$6,MATCH(RAB!C77,'HARGA SATUAN'!$C$7:$C$1492,0),0)),"",OFFSET('HARGA SATUAN'!$D$6,MATCH(RAB!C77,'HARGA SATUAN'!$C$7:$C$1492,0),0))</f>
        <v>HDW</v>
      </c>
      <c r="E77" s="359" t="str">
        <f ca="1">IF(B77="+","Unit",IF(ISERROR(OFFSET('HARGA SATUAN'!$E$6,MATCH(RAB!C77,'HARGA SATUAN'!$C$7:$C$1492,0),0)),"",OFFSET('HARGA SATUAN'!$E$6,MATCH(RAB!C77,'HARGA SATUAN'!$C$7:$C$1492,0),0)))</f>
        <v>Bh</v>
      </c>
      <c r="F77" s="484">
        <f>F66*3</f>
        <v>3</v>
      </c>
      <c r="G77" s="360">
        <f ca="1">IF(ISERROR(OFFSET('HARGA SATUAN'!$I$6,MATCH(RAB!C77,'HARGA SATUAN'!$C$7:$C$1492,0),0)),0,OFFSET('HARGA SATUAN'!$I$6,MATCH(RAB!C77,'HARGA SATUAN'!$C$7:$C$1492,0),0))</f>
        <v>15900</v>
      </c>
      <c r="H77" s="361">
        <f t="shared" ca="1" si="32"/>
        <v>0</v>
      </c>
      <c r="I77" s="361">
        <f t="shared" ca="1" si="33"/>
        <v>47700</v>
      </c>
      <c r="J77" s="361">
        <f t="shared" ca="1" si="34"/>
        <v>0</v>
      </c>
      <c r="K77" s="362">
        <f t="shared" ca="1" si="35"/>
        <v>47700</v>
      </c>
    </row>
    <row r="78" spans="1:22">
      <c r="B78" s="516">
        <v>10</v>
      </c>
      <c r="C78" s="517" t="s">
        <v>593</v>
      </c>
      <c r="D78" s="358" t="str">
        <f ca="1">IF(ISERROR(OFFSET('HARGA SATUAN'!$D$6,MATCH(RAB!C78,'HARGA SATUAN'!$C$7:$C$1492,0),0)),"",OFFSET('HARGA SATUAN'!$D$6,MATCH(RAB!C78,'HARGA SATUAN'!$C$7:$C$1492,0),0))</f>
        <v>HDW</v>
      </c>
      <c r="E78" s="359" t="str">
        <f ca="1">IF(B78="+","Unit",IF(ISERROR(OFFSET('HARGA SATUAN'!$E$6,MATCH(RAB!C78,'HARGA SATUAN'!$C$7:$C$1492,0),0)),"",OFFSET('HARGA SATUAN'!$E$6,MATCH(RAB!C78,'HARGA SATUAN'!$C$7:$C$1492,0),0)))</f>
        <v>Bh</v>
      </c>
      <c r="F78" s="484">
        <f>F66*5</f>
        <v>5</v>
      </c>
      <c r="G78" s="360">
        <f ca="1">IF(ISERROR(OFFSET('HARGA SATUAN'!$I$6,MATCH(RAB!C78,'HARGA SATUAN'!$C$7:$C$1492,0),0)),0,OFFSET('HARGA SATUAN'!$I$6,MATCH(RAB!C78,'HARGA SATUAN'!$C$7:$C$1492,0),0))</f>
        <v>380500</v>
      </c>
      <c r="H78" s="361">
        <f t="shared" ca="1" si="32"/>
        <v>0</v>
      </c>
      <c r="I78" s="361">
        <f t="shared" ca="1" si="33"/>
        <v>1902500</v>
      </c>
      <c r="J78" s="361">
        <f t="shared" ca="1" si="34"/>
        <v>0</v>
      </c>
      <c r="K78" s="362">
        <f t="shared" ca="1" si="35"/>
        <v>1902500</v>
      </c>
    </row>
    <row r="79" spans="1:22">
      <c r="B79" s="516">
        <v>11</v>
      </c>
      <c r="C79" s="517" t="s">
        <v>594</v>
      </c>
      <c r="D79" s="358" t="str">
        <f ca="1">IF(ISERROR(OFFSET('HARGA SATUAN'!$D$6,MATCH(RAB!C79,'HARGA SATUAN'!$C$7:$C$1492,0),0)),"",OFFSET('HARGA SATUAN'!$D$6,MATCH(RAB!C79,'HARGA SATUAN'!$C$7:$C$1492,0),0))</f>
        <v>HDW</v>
      </c>
      <c r="E79" s="359" t="str">
        <f ca="1">IF(B79="+","Unit",IF(ISERROR(OFFSET('HARGA SATUAN'!$E$6,MATCH(RAB!C79,'HARGA SATUAN'!$C$7:$C$1492,0),0)),"",OFFSET('HARGA SATUAN'!$E$6,MATCH(RAB!C79,'HARGA SATUAN'!$C$7:$C$1492,0),0)))</f>
        <v>Bh</v>
      </c>
      <c r="F79" s="484">
        <f>F66*4</f>
        <v>4</v>
      </c>
      <c r="G79" s="360">
        <f ca="1">IF(ISERROR(OFFSET('HARGA SATUAN'!$I$6,MATCH(RAB!C79,'HARGA SATUAN'!$C$7:$C$1492,0),0)),0,OFFSET('HARGA SATUAN'!$I$6,MATCH(RAB!C79,'HARGA SATUAN'!$C$7:$C$1492,0),0))</f>
        <v>559200</v>
      </c>
      <c r="H79" s="361">
        <f t="shared" ca="1" si="32"/>
        <v>0</v>
      </c>
      <c r="I79" s="361">
        <f t="shared" ca="1" si="33"/>
        <v>2236800</v>
      </c>
      <c r="J79" s="361">
        <f t="shared" ca="1" si="34"/>
        <v>0</v>
      </c>
      <c r="K79" s="362">
        <f t="shared" ca="1" si="35"/>
        <v>2236800</v>
      </c>
    </row>
    <row r="80" spans="1:22">
      <c r="B80" s="516">
        <v>12</v>
      </c>
      <c r="C80" s="517" t="s">
        <v>208</v>
      </c>
      <c r="D80" s="358" t="str">
        <f ca="1">IF(ISERROR(OFFSET('HARGA SATUAN'!$D$6,MATCH(RAB!C80,'HARGA SATUAN'!$C$7:$C$1492,0),0)),"",OFFSET('HARGA SATUAN'!$D$6,MATCH(RAB!C80,'HARGA SATUAN'!$C$7:$C$1492,0),0))</f>
        <v>HDW</v>
      </c>
      <c r="E80" s="359" t="str">
        <f ca="1">IF(B80="+","Unit",IF(ISERROR(OFFSET('HARGA SATUAN'!$E$6,MATCH(RAB!C80,'HARGA SATUAN'!$C$7:$C$1492,0),0)),"",OFFSET('HARGA SATUAN'!$E$6,MATCH(RAB!C80,'HARGA SATUAN'!$C$7:$C$1492,0),0)))</f>
        <v>Bh</v>
      </c>
      <c r="F80" s="484">
        <f>F66*3</f>
        <v>3</v>
      </c>
      <c r="G80" s="360">
        <f ca="1">IF(ISERROR(OFFSET('HARGA SATUAN'!$I$6,MATCH(RAB!C80,'HARGA SATUAN'!$C$7:$C$1492,0),0)),0,OFFSET('HARGA SATUAN'!$I$6,MATCH(RAB!C80,'HARGA SATUAN'!$C$7:$C$1492,0),0))</f>
        <v>173400</v>
      </c>
      <c r="H80" s="361">
        <f t="shared" ca="1" si="32"/>
        <v>0</v>
      </c>
      <c r="I80" s="361">
        <f t="shared" ca="1" si="33"/>
        <v>520200</v>
      </c>
      <c r="J80" s="361">
        <f t="shared" ca="1" si="34"/>
        <v>0</v>
      </c>
      <c r="K80" s="362">
        <f t="shared" ca="1" si="35"/>
        <v>520200</v>
      </c>
    </row>
    <row r="81" spans="2:11">
      <c r="B81" s="516">
        <v>13</v>
      </c>
      <c r="C81" s="517" t="s">
        <v>247</v>
      </c>
      <c r="D81" s="358" t="str">
        <f ca="1">IF(ISERROR(OFFSET('HARGA SATUAN'!$D$6,MATCH(RAB!C81,'HARGA SATUAN'!$C$7:$C$1492,0),0)),"",OFFSET('HARGA SATUAN'!$D$6,MATCH(RAB!C81,'HARGA SATUAN'!$C$7:$C$1492,0),0))</f>
        <v>HDW</v>
      </c>
      <c r="E81" s="359" t="str">
        <f ca="1">IF(B81="+","Unit",IF(ISERROR(OFFSET('HARGA SATUAN'!$E$6,MATCH(RAB!C81,'HARGA SATUAN'!$C$7:$C$1492,0),0)),"",OFFSET('HARGA SATUAN'!$E$6,MATCH(RAB!C81,'HARGA SATUAN'!$C$7:$C$1492,0),0)))</f>
        <v>Bh</v>
      </c>
      <c r="F81" s="484">
        <f>F66*2</f>
        <v>2</v>
      </c>
      <c r="G81" s="360">
        <f ca="1">IF(ISERROR(OFFSET('HARGA SATUAN'!$I$6,MATCH(RAB!C81,'HARGA SATUAN'!$C$7:$C$1492,0),0)),0,OFFSET('HARGA SATUAN'!$I$6,MATCH(RAB!C81,'HARGA SATUAN'!$C$7:$C$1492,0),0))</f>
        <v>57690</v>
      </c>
      <c r="H81" s="361">
        <f t="shared" ca="1" si="32"/>
        <v>0</v>
      </c>
      <c r="I81" s="361">
        <f t="shared" ca="1" si="33"/>
        <v>115380</v>
      </c>
      <c r="J81" s="361">
        <f t="shared" ca="1" si="34"/>
        <v>0</v>
      </c>
      <c r="K81" s="362">
        <f t="shared" ca="1" si="35"/>
        <v>115380</v>
      </c>
    </row>
    <row r="82" spans="2:11">
      <c r="B82" s="516">
        <v>14</v>
      </c>
      <c r="C82" s="517" t="s">
        <v>248</v>
      </c>
      <c r="D82" s="358" t="str">
        <f ca="1">IF(ISERROR(OFFSET('HARGA SATUAN'!$D$6,MATCH(RAB!C82,'HARGA SATUAN'!$C$7:$C$1492,0),0)),"",OFFSET('HARGA SATUAN'!$D$6,MATCH(RAB!C82,'HARGA SATUAN'!$C$7:$C$1492,0),0))</f>
        <v>HDW</v>
      </c>
      <c r="E82" s="359" t="str">
        <f ca="1">IF(B82="+","Unit",IF(ISERROR(OFFSET('HARGA SATUAN'!$E$6,MATCH(RAB!C82,'HARGA SATUAN'!$C$7:$C$1492,0),0)),"",OFFSET('HARGA SATUAN'!$E$6,MATCH(RAB!C82,'HARGA SATUAN'!$C$7:$C$1492,0),0)))</f>
        <v>Bh</v>
      </c>
      <c r="F82" s="484">
        <f>F66*2</f>
        <v>2</v>
      </c>
      <c r="G82" s="360">
        <f ca="1">IF(ISERROR(OFFSET('HARGA SATUAN'!$I$6,MATCH(RAB!C82,'HARGA SATUAN'!$C$7:$C$1492,0),0)),0,OFFSET('HARGA SATUAN'!$I$6,MATCH(RAB!C82,'HARGA SATUAN'!$C$7:$C$1492,0),0))</f>
        <v>60300</v>
      </c>
      <c r="H82" s="361">
        <f t="shared" ca="1" si="32"/>
        <v>0</v>
      </c>
      <c r="I82" s="361">
        <f t="shared" ca="1" si="33"/>
        <v>120600</v>
      </c>
      <c r="J82" s="361">
        <f t="shared" ca="1" si="34"/>
        <v>0</v>
      </c>
      <c r="K82" s="362">
        <f t="shared" ca="1" si="35"/>
        <v>120600</v>
      </c>
    </row>
    <row r="83" spans="2:11">
      <c r="B83" s="516">
        <v>15</v>
      </c>
      <c r="C83" s="517" t="s">
        <v>267</v>
      </c>
      <c r="D83" s="358" t="str">
        <f ca="1">IF(ISERROR(OFFSET('HARGA SATUAN'!$D$6,MATCH(RAB!C83,'HARGA SATUAN'!$C$7:$C$1492,0),0)),"",OFFSET('HARGA SATUAN'!$D$6,MATCH(RAB!C83,'HARGA SATUAN'!$C$7:$C$1492,0),0))</f>
        <v>HDW</v>
      </c>
      <c r="E83" s="359" t="str">
        <f ca="1">IF(B83="+","Unit",IF(ISERROR(OFFSET('HARGA SATUAN'!$E$6,MATCH(RAB!C83,'HARGA SATUAN'!$C$7:$C$1492,0),0)),"",OFFSET('HARGA SATUAN'!$E$6,MATCH(RAB!C83,'HARGA SATUAN'!$C$7:$C$1492,0),0)))</f>
        <v>Bh</v>
      </c>
      <c r="F83" s="484">
        <f>F66*4</f>
        <v>4</v>
      </c>
      <c r="G83" s="360">
        <f ca="1">IF(ISERROR(OFFSET('HARGA SATUAN'!$I$6,MATCH(RAB!C83,'HARGA SATUAN'!$C$7:$C$1492,0),0)),0,OFFSET('HARGA SATUAN'!$I$6,MATCH(RAB!C83,'HARGA SATUAN'!$C$7:$C$1492,0),0))</f>
        <v>129000</v>
      </c>
      <c r="H83" s="361">
        <f t="shared" ca="1" si="32"/>
        <v>0</v>
      </c>
      <c r="I83" s="361">
        <f t="shared" ca="1" si="33"/>
        <v>516000</v>
      </c>
      <c r="J83" s="361">
        <f t="shared" ca="1" si="34"/>
        <v>0</v>
      </c>
      <c r="K83" s="362">
        <f t="shared" ca="1" si="35"/>
        <v>516000</v>
      </c>
    </row>
    <row r="84" spans="2:11">
      <c r="B84" s="516">
        <v>16</v>
      </c>
      <c r="C84" s="517" t="s">
        <v>786</v>
      </c>
      <c r="D84" s="358" t="str">
        <f ca="1">IF(ISERROR(OFFSET('HARGA SATUAN'!$D$6,MATCH(RAB!C84,'HARGA SATUAN'!$C$7:$C$1492,0),0)),"",OFFSET('HARGA SATUAN'!$D$6,MATCH(RAB!C84,'HARGA SATUAN'!$C$7:$C$1492,0),0))</f>
        <v>JASA</v>
      </c>
      <c r="E84" s="359" t="str">
        <f ca="1">IF(B84="+","Unit",IF(ISERROR(OFFSET('HARGA SATUAN'!$E$6,MATCH(RAB!C84,'HARGA SATUAN'!$C$7:$C$1492,0),0)),"",OFFSET('HARGA SATUAN'!$E$6,MATCH(RAB!C84,'HARGA SATUAN'!$C$7:$C$1492,0),0)))</f>
        <v>Unit</v>
      </c>
      <c r="F84" s="484">
        <f>F66*1</f>
        <v>1</v>
      </c>
      <c r="G84" s="360">
        <f ca="1">IF(ISERROR(OFFSET('HARGA SATUAN'!$I$6,MATCH(RAB!C84,'HARGA SATUAN'!$C$7:$C$1492,0),0)),0,OFFSET('HARGA SATUAN'!$I$6,MATCH(RAB!C84,'HARGA SATUAN'!$C$7:$C$1492,0),0))</f>
        <v>3686500</v>
      </c>
      <c r="H84" s="361">
        <f t="shared" ca="1" si="32"/>
        <v>0</v>
      </c>
      <c r="I84" s="361">
        <f t="shared" ca="1" si="33"/>
        <v>0</v>
      </c>
      <c r="J84" s="361">
        <f t="shared" ca="1" si="34"/>
        <v>3686500</v>
      </c>
      <c r="K84" s="362">
        <f t="shared" ca="1" si="35"/>
        <v>3686500</v>
      </c>
    </row>
    <row r="85" spans="2:11">
      <c r="B85" s="503"/>
      <c r="C85" s="109"/>
      <c r="D85" s="358" t="str">
        <f ca="1">IF(ISERROR(OFFSET('HARGA SATUAN'!$D$6,MATCH(RAB!C85,'HARGA SATUAN'!$C$7:$C$1492,0),0)),"",OFFSET('HARGA SATUAN'!$D$6,MATCH(RAB!C85,'HARGA SATUAN'!$C$7:$C$1492,0),0))</f>
        <v/>
      </c>
      <c r="E85" s="359" t="str">
        <f ca="1">IF(B85="+","Unit",IF(ISERROR(OFFSET('HARGA SATUAN'!$E$6,MATCH(RAB!C85,'HARGA SATUAN'!$C$7:$C$1492,0),0)),"",OFFSET('HARGA SATUAN'!$E$6,MATCH(RAB!C85,'HARGA SATUAN'!$C$7:$C$1492,0),0)))</f>
        <v/>
      </c>
      <c r="F85" s="484"/>
      <c r="G85" s="360">
        <f ca="1">IF(ISERROR(OFFSET('HARGA SATUAN'!$I$6,MATCH(RAB!C85,'HARGA SATUAN'!$C$7:$C$1492,0),0)),0,OFFSET('HARGA SATUAN'!$I$6,MATCH(RAB!C85,'HARGA SATUAN'!$C$7:$C$1492,0),0))</f>
        <v>0</v>
      </c>
      <c r="H85" s="361">
        <f t="shared" ca="1" si="32"/>
        <v>0</v>
      </c>
      <c r="I85" s="361">
        <f t="shared" ca="1" si="33"/>
        <v>0</v>
      </c>
      <c r="J85" s="361">
        <f t="shared" ca="1" si="34"/>
        <v>0</v>
      </c>
      <c r="K85" s="362">
        <f t="shared" ca="1" si="35"/>
        <v>0</v>
      </c>
    </row>
    <row r="86" spans="2:11">
      <c r="B86" s="510" t="s">
        <v>1035</v>
      </c>
      <c r="C86" s="513" t="s">
        <v>1620</v>
      </c>
      <c r="D86" s="358" t="str">
        <f ca="1">IF(ISERROR(OFFSET('HARGA SATUAN'!$D$6,MATCH(RAB!C86,'HARGA SATUAN'!$C$7:$C$1492,0),0)),"",OFFSET('HARGA SATUAN'!$D$6,MATCH(RAB!C86,'HARGA SATUAN'!$C$7:$C$1492,0),0))</f>
        <v/>
      </c>
      <c r="E86" s="359" t="str">
        <f ca="1">IF(B86="+","Unit",IF(ISERROR(OFFSET('HARGA SATUAN'!$E$6,MATCH(RAB!C86,'HARGA SATUAN'!$C$7:$C$1492,0),0)),"",OFFSET('HARGA SATUAN'!$E$6,MATCH(RAB!C86,'HARGA SATUAN'!$C$7:$C$1492,0),0)))</f>
        <v>Unit</v>
      </c>
      <c r="F86" s="484">
        <v>1</v>
      </c>
      <c r="G86" s="360">
        <f ca="1">IF(ISERROR(OFFSET('HARGA SATUAN'!$I$6,MATCH(RAB!C86,'HARGA SATUAN'!$C$7:$C$1492,0),0)),0,OFFSET('HARGA SATUAN'!$I$6,MATCH(RAB!C86,'HARGA SATUAN'!$C$7:$C$1492,0),0))</f>
        <v>0</v>
      </c>
      <c r="H86" s="361">
        <f t="shared" ca="1" si="32"/>
        <v>0</v>
      </c>
      <c r="I86" s="361">
        <f t="shared" ca="1" si="33"/>
        <v>0</v>
      </c>
      <c r="J86" s="361">
        <f t="shared" ca="1" si="34"/>
        <v>0</v>
      </c>
      <c r="K86" s="362">
        <f t="shared" ca="1" si="35"/>
        <v>0</v>
      </c>
    </row>
    <row r="87" spans="2:11">
      <c r="B87" s="510">
        <v>1</v>
      </c>
      <c r="C87" s="508" t="s">
        <v>29</v>
      </c>
      <c r="D87" s="358" t="str">
        <f ca="1">IF(ISERROR(OFFSET('HARGA SATUAN'!$D$6,MATCH(RAB!C87,'HARGA SATUAN'!$C$7:$C$1492,0),0)),"",OFFSET('HARGA SATUAN'!$D$6,MATCH(RAB!C87,'HARGA SATUAN'!$C$7:$C$1492,0),0))</f>
        <v>HDW</v>
      </c>
      <c r="E87" s="359" t="str">
        <f ca="1">IF(B87="+","Unit",IF(ISERROR(OFFSET('HARGA SATUAN'!$E$6,MATCH(RAB!C87,'HARGA SATUAN'!$C$7:$C$1492,0),0)),"",OFFSET('HARGA SATUAN'!$E$6,MATCH(RAB!C87,'HARGA SATUAN'!$C$7:$C$1492,0),0)))</f>
        <v>Bh</v>
      </c>
      <c r="F87" s="484">
        <f>F86*1</f>
        <v>1</v>
      </c>
      <c r="G87" s="360">
        <f ca="1">IF(ISERROR(OFFSET('HARGA SATUAN'!$I$6,MATCH(RAB!C87,'HARGA SATUAN'!$C$7:$C$1492,0),0)),0,OFFSET('HARGA SATUAN'!$I$6,MATCH(RAB!C87,'HARGA SATUAN'!$C$7:$C$1492,0),0))</f>
        <v>185200</v>
      </c>
      <c r="H87" s="361">
        <f t="shared" ca="1" si="32"/>
        <v>0</v>
      </c>
      <c r="I87" s="361">
        <f t="shared" ca="1" si="33"/>
        <v>185200</v>
      </c>
      <c r="J87" s="361">
        <f t="shared" ca="1" si="34"/>
        <v>0</v>
      </c>
      <c r="K87" s="362">
        <f t="shared" ca="1" si="35"/>
        <v>185200</v>
      </c>
    </row>
    <row r="88" spans="2:11">
      <c r="B88" s="506">
        <v>2</v>
      </c>
      <c r="C88" s="507" t="s">
        <v>30</v>
      </c>
      <c r="D88" s="358" t="str">
        <f ca="1">IF(ISERROR(OFFSET('HARGA SATUAN'!$D$6,MATCH(RAB!C88,'HARGA SATUAN'!$C$7:$C$1492,0),0)),"",OFFSET('HARGA SATUAN'!$D$6,MATCH(RAB!C88,'HARGA SATUAN'!$C$7:$C$1492,0),0))</f>
        <v>HDW</v>
      </c>
      <c r="E88" s="359" t="str">
        <f ca="1">IF(B88="+","Unit",IF(ISERROR(OFFSET('HARGA SATUAN'!$E$6,MATCH(RAB!C88,'HARGA SATUAN'!$C$7:$C$1492,0),0)),"",OFFSET('HARGA SATUAN'!$E$6,MATCH(RAB!C88,'HARGA SATUAN'!$C$7:$C$1492,0),0)))</f>
        <v>Bh</v>
      </c>
      <c r="F88" s="484">
        <f>F86*1</f>
        <v>1</v>
      </c>
      <c r="G88" s="360">
        <f ca="1">IF(ISERROR(OFFSET('HARGA SATUAN'!$I$6,MATCH(RAB!C88,'HARGA SATUAN'!$C$7:$C$1492,0),0)),0,OFFSET('HARGA SATUAN'!$I$6,MATCH(RAB!C88,'HARGA SATUAN'!$C$7:$C$1492,0),0))</f>
        <v>47459</v>
      </c>
      <c r="H88" s="361">
        <f t="shared" ca="1" si="32"/>
        <v>0</v>
      </c>
      <c r="I88" s="361">
        <f t="shared" ca="1" si="33"/>
        <v>47459</v>
      </c>
      <c r="J88" s="361">
        <f t="shared" ca="1" si="34"/>
        <v>0</v>
      </c>
      <c r="K88" s="362">
        <f t="shared" ca="1" si="35"/>
        <v>47459</v>
      </c>
    </row>
    <row r="89" spans="2:11">
      <c r="B89" s="506">
        <v>3</v>
      </c>
      <c r="C89" s="507" t="s">
        <v>31</v>
      </c>
      <c r="D89" s="358" t="str">
        <f ca="1">IF(ISERROR(OFFSET('HARGA SATUAN'!$D$6,MATCH(RAB!C89,'HARGA SATUAN'!$C$7:$C$1492,0),0)),"",OFFSET('HARGA SATUAN'!$D$6,MATCH(RAB!C89,'HARGA SATUAN'!$C$7:$C$1492,0),0))</f>
        <v>HDW</v>
      </c>
      <c r="E89" s="359" t="str">
        <f ca="1">IF(B89="+","Unit",IF(ISERROR(OFFSET('HARGA SATUAN'!$E$6,MATCH(RAB!C89,'HARGA SATUAN'!$C$7:$C$1492,0),0)),"",OFFSET('HARGA SATUAN'!$E$6,MATCH(RAB!C89,'HARGA SATUAN'!$C$7:$C$1492,0),0)))</f>
        <v>Bh</v>
      </c>
      <c r="F89" s="484">
        <f>F86*1</f>
        <v>1</v>
      </c>
      <c r="G89" s="360">
        <f ca="1">IF(ISERROR(OFFSET('HARGA SATUAN'!$I$6,MATCH(RAB!C89,'HARGA SATUAN'!$C$7:$C$1492,0),0)),0,OFFSET('HARGA SATUAN'!$I$6,MATCH(RAB!C89,'HARGA SATUAN'!$C$7:$C$1492,0),0))</f>
        <v>4880</v>
      </c>
      <c r="H89" s="361">
        <f t="shared" ca="1" si="32"/>
        <v>0</v>
      </c>
      <c r="I89" s="361">
        <f t="shared" ca="1" si="33"/>
        <v>4880</v>
      </c>
      <c r="J89" s="361">
        <f t="shared" ca="1" si="34"/>
        <v>0</v>
      </c>
      <c r="K89" s="362">
        <f t="shared" ca="1" si="35"/>
        <v>4880</v>
      </c>
    </row>
    <row r="90" spans="2:11">
      <c r="B90" s="506">
        <v>4</v>
      </c>
      <c r="C90" s="507" t="s">
        <v>32</v>
      </c>
      <c r="D90" s="358" t="str">
        <f ca="1">IF(ISERROR(OFFSET('HARGA SATUAN'!$D$6,MATCH(RAB!C90,'HARGA SATUAN'!$C$7:$C$1492,0),0)),"",OFFSET('HARGA SATUAN'!$D$6,MATCH(RAB!C90,'HARGA SATUAN'!$C$7:$C$1492,0),0))</f>
        <v>HDW</v>
      </c>
      <c r="E90" s="359" t="str">
        <f ca="1">IF(B90="+","Unit",IF(ISERROR(OFFSET('HARGA SATUAN'!$E$6,MATCH(RAB!C90,'HARGA SATUAN'!$C$7:$C$1492,0),0)),"",OFFSET('HARGA SATUAN'!$E$6,MATCH(RAB!C90,'HARGA SATUAN'!$C$7:$C$1492,0),0)))</f>
        <v>Mtr</v>
      </c>
      <c r="F90" s="484">
        <f>F86*10</f>
        <v>10</v>
      </c>
      <c r="G90" s="360">
        <f ca="1">IF(ISERROR(OFFSET('HARGA SATUAN'!$I$6,MATCH(RAB!C90,'HARGA SATUAN'!$C$7:$C$1492,0),0)),0,OFFSET('HARGA SATUAN'!$I$6,MATCH(RAB!C90,'HARGA SATUAN'!$C$7:$C$1492,0),0))</f>
        <v>30000</v>
      </c>
      <c r="H90" s="361">
        <f t="shared" ca="1" si="32"/>
        <v>0</v>
      </c>
      <c r="I90" s="361">
        <f t="shared" ca="1" si="33"/>
        <v>300000</v>
      </c>
      <c r="J90" s="361">
        <f t="shared" ca="1" si="34"/>
        <v>0</v>
      </c>
      <c r="K90" s="362">
        <f t="shared" ca="1" si="35"/>
        <v>300000</v>
      </c>
    </row>
    <row r="91" spans="2:11">
      <c r="B91" s="506">
        <v>5</v>
      </c>
      <c r="C91" s="507" t="s">
        <v>33</v>
      </c>
      <c r="D91" s="358" t="str">
        <f ca="1">IF(ISERROR(OFFSET('HARGA SATUAN'!$D$6,MATCH(RAB!C91,'HARGA SATUAN'!$C$7:$C$1492,0),0)),"",OFFSET('HARGA SATUAN'!$D$6,MATCH(RAB!C91,'HARGA SATUAN'!$C$7:$C$1492,0),0))</f>
        <v>HDW</v>
      </c>
      <c r="E91" s="359" t="str">
        <f ca="1">IF(B91="+","Unit",IF(ISERROR(OFFSET('HARGA SATUAN'!$E$6,MATCH(RAB!C91,'HARGA SATUAN'!$C$7:$C$1492,0),0)),"",OFFSET('HARGA SATUAN'!$E$6,MATCH(RAB!C91,'HARGA SATUAN'!$C$7:$C$1492,0),0)))</f>
        <v>Bh</v>
      </c>
      <c r="F91" s="484">
        <f>F86*2</f>
        <v>2</v>
      </c>
      <c r="G91" s="360">
        <f ca="1">IF(ISERROR(OFFSET('HARGA SATUAN'!$I$6,MATCH(RAB!C91,'HARGA SATUAN'!$C$7:$C$1492,0),0)),0,OFFSET('HARGA SATUAN'!$I$6,MATCH(RAB!C91,'HARGA SATUAN'!$C$7:$C$1492,0),0))</f>
        <v>9500</v>
      </c>
      <c r="H91" s="361">
        <f t="shared" ca="1" si="32"/>
        <v>0</v>
      </c>
      <c r="I91" s="361">
        <f t="shared" ca="1" si="33"/>
        <v>19000</v>
      </c>
      <c r="J91" s="361">
        <f t="shared" ca="1" si="34"/>
        <v>0</v>
      </c>
      <c r="K91" s="362">
        <f t="shared" ca="1" si="35"/>
        <v>19000</v>
      </c>
    </row>
    <row r="92" spans="2:11">
      <c r="B92" s="506">
        <v>6</v>
      </c>
      <c r="C92" s="507" t="s">
        <v>34</v>
      </c>
      <c r="D92" s="358" t="str">
        <f ca="1">IF(ISERROR(OFFSET('HARGA SATUAN'!$D$6,MATCH(RAB!C92,'HARGA SATUAN'!$C$7:$C$1492,0),0)),"",OFFSET('HARGA SATUAN'!$D$6,MATCH(RAB!C92,'HARGA SATUAN'!$C$7:$C$1492,0),0))</f>
        <v>HDW</v>
      </c>
      <c r="E92" s="359" t="str">
        <f ca="1">IF(B92="+","Unit",IF(ISERROR(OFFSET('HARGA SATUAN'!$E$6,MATCH(RAB!C92,'HARGA SATUAN'!$C$7:$C$1492,0),0)),"",OFFSET('HARGA SATUAN'!$E$6,MATCH(RAB!C92,'HARGA SATUAN'!$C$7:$C$1492,0),0)))</f>
        <v>Bh</v>
      </c>
      <c r="F92" s="484">
        <f>F86*5.5</f>
        <v>5.5</v>
      </c>
      <c r="G92" s="360">
        <f ca="1">IF(ISERROR(OFFSET('HARGA SATUAN'!$I$6,MATCH(RAB!C92,'HARGA SATUAN'!$C$7:$C$1492,0),0)),0,OFFSET('HARGA SATUAN'!$I$6,MATCH(RAB!C92,'HARGA SATUAN'!$C$7:$C$1492,0),0))</f>
        <v>6100</v>
      </c>
      <c r="H92" s="361">
        <f t="shared" ca="1" si="32"/>
        <v>0</v>
      </c>
      <c r="I92" s="361">
        <f t="shared" ca="1" si="33"/>
        <v>33550</v>
      </c>
      <c r="J92" s="361">
        <f t="shared" ca="1" si="34"/>
        <v>0</v>
      </c>
      <c r="K92" s="362">
        <f t="shared" ca="1" si="35"/>
        <v>33550</v>
      </c>
    </row>
    <row r="93" spans="2:11">
      <c r="B93" s="506">
        <v>7</v>
      </c>
      <c r="C93" s="507" t="s">
        <v>35</v>
      </c>
      <c r="D93" s="358" t="str">
        <f ca="1">IF(ISERROR(OFFSET('HARGA SATUAN'!$D$6,MATCH(RAB!C93,'HARGA SATUAN'!$C$7:$C$1492,0),0)),"",OFFSET('HARGA SATUAN'!$D$6,MATCH(RAB!C93,'HARGA SATUAN'!$C$7:$C$1492,0),0))</f>
        <v>HDW</v>
      </c>
      <c r="E93" s="359" t="str">
        <f ca="1">IF(B93="+","Unit",IF(ISERROR(OFFSET('HARGA SATUAN'!$E$6,MATCH(RAB!C93,'HARGA SATUAN'!$C$7:$C$1492,0),0)),"",OFFSET('HARGA SATUAN'!$E$6,MATCH(RAB!C93,'HARGA SATUAN'!$C$7:$C$1492,0),0)))</f>
        <v>Bh</v>
      </c>
      <c r="F93" s="484">
        <f>F86*6</f>
        <v>6</v>
      </c>
      <c r="G93" s="360">
        <f ca="1">IF(ISERROR(OFFSET('HARGA SATUAN'!$I$6,MATCH(RAB!C93,'HARGA SATUAN'!$C$7:$C$1492,0),0)),0,OFFSET('HARGA SATUAN'!$I$6,MATCH(RAB!C93,'HARGA SATUAN'!$C$7:$C$1492,0),0))</f>
        <v>2300</v>
      </c>
      <c r="H93" s="361">
        <f t="shared" ca="1" si="32"/>
        <v>0</v>
      </c>
      <c r="I93" s="361">
        <f t="shared" ca="1" si="33"/>
        <v>13800</v>
      </c>
      <c r="J93" s="361">
        <f t="shared" ca="1" si="34"/>
        <v>0</v>
      </c>
      <c r="K93" s="362">
        <f t="shared" ca="1" si="35"/>
        <v>13800</v>
      </c>
    </row>
    <row r="94" spans="2:11">
      <c r="B94" s="506">
        <v>8</v>
      </c>
      <c r="C94" s="507" t="s">
        <v>1621</v>
      </c>
      <c r="D94" s="358" t="str">
        <f ca="1">IF(ISERROR(OFFSET('HARGA SATUAN'!$D$6,MATCH(RAB!C94,'HARGA SATUAN'!$C$7:$C$1492,0),0)),"",OFFSET('HARGA SATUAN'!$D$6,MATCH(RAB!C94,'HARGA SATUAN'!$C$7:$C$1492,0),0))</f>
        <v>HDW</v>
      </c>
      <c r="E94" s="359" t="str">
        <f ca="1">IF(B94="+","Unit",IF(ISERROR(OFFSET('HARGA SATUAN'!$E$6,MATCH(RAB!C94,'HARGA SATUAN'!$C$7:$C$1492,0),0)),"",OFFSET('HARGA SATUAN'!$E$6,MATCH(RAB!C94,'HARGA SATUAN'!$C$7:$C$1492,0),0)))</f>
        <v>Mtr</v>
      </c>
      <c r="F94" s="484">
        <f>F86*4.8</f>
        <v>4.8</v>
      </c>
      <c r="G94" s="360">
        <f ca="1">IF(ISERROR(OFFSET('HARGA SATUAN'!$I$6,MATCH(RAB!C94,'HARGA SATUAN'!$C$7:$C$1492,0),0)),0,OFFSET('HARGA SATUAN'!$I$6,MATCH(RAB!C94,'HARGA SATUAN'!$C$7:$C$1492,0),0))</f>
        <v>23310</v>
      </c>
      <c r="H94" s="361">
        <f t="shared" ca="1" si="32"/>
        <v>0</v>
      </c>
      <c r="I94" s="361">
        <f t="shared" ca="1" si="33"/>
        <v>111888</v>
      </c>
      <c r="J94" s="361">
        <f t="shared" ca="1" si="34"/>
        <v>0</v>
      </c>
      <c r="K94" s="362">
        <f t="shared" ca="1" si="35"/>
        <v>111888</v>
      </c>
    </row>
    <row r="95" spans="2:11">
      <c r="B95" s="506">
        <v>9</v>
      </c>
      <c r="C95" s="507" t="s">
        <v>736</v>
      </c>
      <c r="D95" s="358" t="str">
        <f ca="1">IF(ISERROR(OFFSET('HARGA SATUAN'!$D$6,MATCH(RAB!C95,'HARGA SATUAN'!$C$7:$C$1492,0),0)),"",OFFSET('HARGA SATUAN'!$D$6,MATCH(RAB!C95,'HARGA SATUAN'!$C$7:$C$1492,0),0))</f>
        <v>JASA</v>
      </c>
      <c r="E95" s="359" t="str">
        <f ca="1">IF(B95="+","Unit",IF(ISERROR(OFFSET('HARGA SATUAN'!$E$6,MATCH(RAB!C95,'HARGA SATUAN'!$C$7:$C$1492,0),0)),"",OFFSET('HARGA SATUAN'!$E$6,MATCH(RAB!C95,'HARGA SATUAN'!$C$7:$C$1492,0),0)))</f>
        <v>Unit</v>
      </c>
      <c r="F95" s="484">
        <f>F86*1</f>
        <v>1</v>
      </c>
      <c r="G95" s="360">
        <f ca="1">IF(ISERROR(OFFSET('HARGA SATUAN'!$I$6,MATCH(RAB!C95,'HARGA SATUAN'!$C$7:$C$1492,0),0)),0,OFFSET('HARGA SATUAN'!$I$6,MATCH(RAB!C95,'HARGA SATUAN'!$C$7:$C$1492,0),0))</f>
        <v>65400</v>
      </c>
      <c r="H95" s="361">
        <f t="shared" ca="1" si="32"/>
        <v>0</v>
      </c>
      <c r="I95" s="361">
        <f t="shared" ca="1" si="33"/>
        <v>0</v>
      </c>
      <c r="J95" s="361">
        <f t="shared" ca="1" si="34"/>
        <v>65400</v>
      </c>
      <c r="K95" s="362">
        <f t="shared" ca="1" si="35"/>
        <v>65400</v>
      </c>
    </row>
    <row r="96" spans="2:11">
      <c r="B96" s="506"/>
      <c r="C96" s="507"/>
      <c r="D96" s="358" t="str">
        <f ca="1">IF(ISERROR(OFFSET('HARGA SATUAN'!$D$6,MATCH(RAB!C96,'HARGA SATUAN'!$C$7:$C$1492,0),0)),"",OFFSET('HARGA SATUAN'!$D$6,MATCH(RAB!C96,'HARGA SATUAN'!$C$7:$C$1492,0),0))</f>
        <v/>
      </c>
      <c r="E96" s="359" t="str">
        <f ca="1">IF(B96="+","Unit",IF(ISERROR(OFFSET('HARGA SATUAN'!$E$6,MATCH(RAB!C96,'HARGA SATUAN'!$C$7:$C$1492,0),0)),"",OFFSET('HARGA SATUAN'!$E$6,MATCH(RAB!C96,'HARGA SATUAN'!$C$7:$C$1492,0),0)))</f>
        <v/>
      </c>
      <c r="F96" s="484"/>
      <c r="G96" s="360">
        <f ca="1">IF(ISERROR(OFFSET('HARGA SATUAN'!$I$6,MATCH(RAB!C96,'HARGA SATUAN'!$C$7:$C$1492,0),0)),0,OFFSET('HARGA SATUAN'!$I$6,MATCH(RAB!C96,'HARGA SATUAN'!$C$7:$C$1492,0),0))</f>
        <v>0</v>
      </c>
      <c r="H96" s="361">
        <f t="shared" ref="H96:H129" ca="1" si="36">IF(OR(D96="MDU",D96="MDU-KD"),(IF($O$3="RAB NON MDU","PLN KD",G96*F96)),0)</f>
        <v>0</v>
      </c>
      <c r="I96" s="361">
        <f t="shared" ref="I96:I129" ca="1" si="37">IF(D96="HDW",G96*F96,0)</f>
        <v>0</v>
      </c>
      <c r="J96" s="361">
        <f t="shared" ref="J96:J129" ca="1" si="38">IF(D96="JASA",G96*F96,0)</f>
        <v>0</v>
      </c>
      <c r="K96" s="362">
        <f t="shared" ref="K96:K129" ca="1" si="39">SUM(H96:J96)</f>
        <v>0</v>
      </c>
    </row>
    <row r="97" spans="2:11">
      <c r="B97" s="519" t="s">
        <v>1035</v>
      </c>
      <c r="C97" s="522" t="s">
        <v>1636</v>
      </c>
      <c r="D97" s="358" t="str">
        <f ca="1">IF(ISERROR(OFFSET('HARGA SATUAN'!$D$6,MATCH(RAB!C97,'HARGA SATUAN'!$C$7:$C$1492,0),0)),"",OFFSET('HARGA SATUAN'!$D$6,MATCH(RAB!C97,'HARGA SATUAN'!$C$7:$C$1492,0),0))</f>
        <v/>
      </c>
      <c r="E97" s="359" t="str">
        <f ca="1">IF(B97="+","Unit",IF(ISERROR(OFFSET('HARGA SATUAN'!$E$6,MATCH(RAB!C97,'HARGA SATUAN'!$C$7:$C$1492,0),0)),"",OFFSET('HARGA SATUAN'!$E$6,MATCH(RAB!C97,'HARGA SATUAN'!$C$7:$C$1492,0),0)))</f>
        <v>Unit</v>
      </c>
      <c r="F97" s="518">
        <v>1</v>
      </c>
      <c r="G97" s="360">
        <f ca="1">IF(ISERROR(OFFSET('HARGA SATUAN'!$I$6,MATCH(RAB!C97,'HARGA SATUAN'!$C$7:$C$1492,0),0)),0,OFFSET('HARGA SATUAN'!$I$6,MATCH(RAB!C97,'HARGA SATUAN'!$C$7:$C$1492,0),0))</f>
        <v>0</v>
      </c>
      <c r="H97" s="361">
        <f t="shared" ref="H97:H104" ca="1" si="40">IF(OR(D97="MDU",D97="MDU-KD"),(IF($O$3="RAB NON MDU","PLN KD",G97*F97)),0)</f>
        <v>0</v>
      </c>
      <c r="I97" s="361">
        <f t="shared" ref="I97:I104" ca="1" si="41">IF(D97="HDW",G97*F97,0)</f>
        <v>0</v>
      </c>
      <c r="J97" s="361">
        <f t="shared" ref="J97:J104" ca="1" si="42">IF(D97="JASA",G97*F97,0)</f>
        <v>0</v>
      </c>
      <c r="K97" s="362">
        <f t="shared" ref="K97:K104" ca="1" si="43">SUM(H97:J97)</f>
        <v>0</v>
      </c>
    </row>
    <row r="98" spans="2:11">
      <c r="B98" s="519">
        <v>1</v>
      </c>
      <c r="C98" s="109" t="s">
        <v>1565</v>
      </c>
      <c r="D98" s="358" t="str">
        <f ca="1">IF(ISERROR(OFFSET('HARGA SATUAN'!$D$6,MATCH(RAB!C98,'HARGA SATUAN'!$C$7:$C$1492,0),0)),"",OFFSET('HARGA SATUAN'!$D$6,MATCH(RAB!C98,'HARGA SATUAN'!$C$7:$C$1492,0),0))</f>
        <v>MDU-KD</v>
      </c>
      <c r="E98" s="359" t="str">
        <f ca="1">IF(B98="+","Unit",IF(ISERROR(OFFSET('HARGA SATUAN'!$E$6,MATCH(RAB!C98,'HARGA SATUAN'!$C$7:$C$1492,0),0)),"",OFFSET('HARGA SATUAN'!$E$6,MATCH(RAB!C98,'HARGA SATUAN'!$C$7:$C$1492,0),0)))</f>
        <v>Bh</v>
      </c>
      <c r="F98" s="518">
        <f>F97*1</f>
        <v>1</v>
      </c>
      <c r="G98" s="360">
        <f ca="1">IF(ISERROR(OFFSET('HARGA SATUAN'!$I$6,MATCH(RAB!C98,'HARGA SATUAN'!$C$7:$C$1492,0),0)),0,OFFSET('HARGA SATUAN'!$I$6,MATCH(RAB!C98,'HARGA SATUAN'!$C$7:$C$1492,0),0))</f>
        <v>235900</v>
      </c>
      <c r="H98" s="361">
        <f t="shared" ca="1" si="40"/>
        <v>235900</v>
      </c>
      <c r="I98" s="361">
        <f t="shared" ca="1" si="41"/>
        <v>0</v>
      </c>
      <c r="J98" s="361">
        <f t="shared" ca="1" si="42"/>
        <v>0</v>
      </c>
      <c r="K98" s="362">
        <f t="shared" ca="1" si="43"/>
        <v>235900</v>
      </c>
    </row>
    <row r="99" spans="2:11">
      <c r="B99" s="519">
        <v>2</v>
      </c>
      <c r="C99" s="522" t="s">
        <v>37</v>
      </c>
      <c r="D99" s="358" t="str">
        <f ca="1">IF(ISERROR(OFFSET('HARGA SATUAN'!$D$6,MATCH(RAB!C99,'HARGA SATUAN'!$C$7:$C$1492,0),0)),"",OFFSET('HARGA SATUAN'!$D$6,MATCH(RAB!C99,'HARGA SATUAN'!$C$7:$C$1492,0),0))</f>
        <v>HDW</v>
      </c>
      <c r="E99" s="359" t="str">
        <f ca="1">IF(B99="+","Unit",IF(ISERROR(OFFSET('HARGA SATUAN'!$E$6,MATCH(RAB!C99,'HARGA SATUAN'!$C$7:$C$1492,0),0)),"",OFFSET('HARGA SATUAN'!$E$6,MATCH(RAB!C99,'HARGA SATUAN'!$C$7:$C$1492,0),0)))</f>
        <v>Bh</v>
      </c>
      <c r="F99" s="518">
        <f>F97*1</f>
        <v>1</v>
      </c>
      <c r="G99" s="360">
        <f ca="1">IF(ISERROR(OFFSET('HARGA SATUAN'!$I$6,MATCH(RAB!C99,'HARGA SATUAN'!$C$7:$C$1492,0),0)),0,OFFSET('HARGA SATUAN'!$I$6,MATCH(RAB!C99,'HARGA SATUAN'!$C$7:$C$1492,0),0))</f>
        <v>63500</v>
      </c>
      <c r="H99" s="361">
        <f t="shared" ca="1" si="40"/>
        <v>0</v>
      </c>
      <c r="I99" s="361">
        <f t="shared" ca="1" si="41"/>
        <v>63500</v>
      </c>
      <c r="J99" s="361">
        <f t="shared" ca="1" si="42"/>
        <v>0</v>
      </c>
      <c r="K99" s="362">
        <f t="shared" ca="1" si="43"/>
        <v>63500</v>
      </c>
    </row>
    <row r="100" spans="2:11">
      <c r="B100" s="519">
        <v>3</v>
      </c>
      <c r="C100" s="522" t="s">
        <v>38</v>
      </c>
      <c r="D100" s="358" t="str">
        <f ca="1">IF(ISERROR(OFFSET('HARGA SATUAN'!$D$6,MATCH(RAB!C100,'HARGA SATUAN'!$C$7:$C$1492,0),0)),"",OFFSET('HARGA SATUAN'!$D$6,MATCH(RAB!C100,'HARGA SATUAN'!$C$7:$C$1492,0),0))</f>
        <v>HDW</v>
      </c>
      <c r="E100" s="359" t="str">
        <f ca="1">IF(B100="+","Unit",IF(ISERROR(OFFSET('HARGA SATUAN'!$E$6,MATCH(RAB!C100,'HARGA SATUAN'!$C$7:$C$1492,0),0)),"",OFFSET('HARGA SATUAN'!$E$6,MATCH(RAB!C100,'HARGA SATUAN'!$C$7:$C$1492,0),0)))</f>
        <v>Mtr</v>
      </c>
      <c r="F100" s="518">
        <f>F98*1.8</f>
        <v>1.8</v>
      </c>
      <c r="G100" s="360">
        <f ca="1">IF(ISERROR(OFFSET('HARGA SATUAN'!$I$6,MATCH(RAB!C100,'HARGA SATUAN'!$C$7:$C$1492,0),0)),0,OFFSET('HARGA SATUAN'!$I$6,MATCH(RAB!C100,'HARGA SATUAN'!$C$7:$C$1492,0),0))</f>
        <v>8550</v>
      </c>
      <c r="H100" s="361">
        <f t="shared" ca="1" si="40"/>
        <v>0</v>
      </c>
      <c r="I100" s="361">
        <f t="shared" ca="1" si="41"/>
        <v>15390</v>
      </c>
      <c r="J100" s="361">
        <f t="shared" ca="1" si="42"/>
        <v>0</v>
      </c>
      <c r="K100" s="362">
        <f t="shared" ca="1" si="43"/>
        <v>15390</v>
      </c>
    </row>
    <row r="101" spans="2:11">
      <c r="B101" s="519">
        <v>4</v>
      </c>
      <c r="C101" s="522" t="s">
        <v>743</v>
      </c>
      <c r="D101" s="358" t="str">
        <f ca="1">IF(ISERROR(OFFSET('HARGA SATUAN'!$D$6,MATCH(RAB!C101,'HARGA SATUAN'!$C$7:$C$1492,0),0)),"",OFFSET('HARGA SATUAN'!$D$6,MATCH(RAB!C101,'HARGA SATUAN'!$C$7:$C$1492,0),0))</f>
        <v>JASA</v>
      </c>
      <c r="E101" s="359" t="str">
        <f ca="1">IF(B101="+","Unit",IF(ISERROR(OFFSET('HARGA SATUAN'!$E$6,MATCH(RAB!C101,'HARGA SATUAN'!$C$7:$C$1492,0),0)),"",OFFSET('HARGA SATUAN'!$E$6,MATCH(RAB!C101,'HARGA SATUAN'!$C$7:$C$1492,0),0)))</f>
        <v>Unit</v>
      </c>
      <c r="F101" s="518">
        <f>F97*1</f>
        <v>1</v>
      </c>
      <c r="G101" s="360">
        <f ca="1">IF(ISERROR(OFFSET('HARGA SATUAN'!$I$6,MATCH(RAB!C101,'HARGA SATUAN'!$C$7:$C$1492,0),0)),0,OFFSET('HARGA SATUAN'!$I$6,MATCH(RAB!C101,'HARGA SATUAN'!$C$7:$C$1492,0),0))</f>
        <v>31200</v>
      </c>
      <c r="H101" s="361">
        <f t="shared" ca="1" si="40"/>
        <v>0</v>
      </c>
      <c r="I101" s="361">
        <f t="shared" ca="1" si="41"/>
        <v>0</v>
      </c>
      <c r="J101" s="361">
        <f t="shared" ca="1" si="42"/>
        <v>31200</v>
      </c>
      <c r="K101" s="362">
        <f t="shared" ca="1" si="43"/>
        <v>31200</v>
      </c>
    </row>
    <row r="102" spans="2:11">
      <c r="B102" s="506"/>
      <c r="C102" s="507"/>
      <c r="D102" s="358" t="str">
        <f ca="1">IF(ISERROR(OFFSET('HARGA SATUAN'!$D$6,MATCH(RAB!C102,'HARGA SATUAN'!$C$7:$C$1492,0),0)),"",OFFSET('HARGA SATUAN'!$D$6,MATCH(RAB!C102,'HARGA SATUAN'!$C$7:$C$1492,0),0))</f>
        <v/>
      </c>
      <c r="E102" s="359" t="str">
        <f ca="1">IF(B102="+","Unit",IF(ISERROR(OFFSET('HARGA SATUAN'!$E$6,MATCH(RAB!C102,'HARGA SATUAN'!$C$7:$C$1492,0),0)),"",OFFSET('HARGA SATUAN'!$E$6,MATCH(RAB!C102,'HARGA SATUAN'!$C$7:$C$1492,0),0)))</f>
        <v/>
      </c>
      <c r="F102" s="484"/>
      <c r="G102" s="360">
        <f ca="1">IF(ISERROR(OFFSET('HARGA SATUAN'!$I$6,MATCH(RAB!C102,'HARGA SATUAN'!$C$7:$C$1492,0),0)),0,OFFSET('HARGA SATUAN'!$I$6,MATCH(RAB!C102,'HARGA SATUAN'!$C$7:$C$1492,0),0))</f>
        <v>0</v>
      </c>
      <c r="H102" s="361">
        <f t="shared" ca="1" si="40"/>
        <v>0</v>
      </c>
      <c r="I102" s="361">
        <f t="shared" ca="1" si="41"/>
        <v>0</v>
      </c>
      <c r="J102" s="361">
        <f t="shared" ca="1" si="42"/>
        <v>0</v>
      </c>
      <c r="K102" s="362">
        <f t="shared" ca="1" si="43"/>
        <v>0</v>
      </c>
    </row>
    <row r="103" spans="2:11">
      <c r="B103" s="373" t="s">
        <v>1550</v>
      </c>
      <c r="C103" s="374" t="s">
        <v>1457</v>
      </c>
      <c r="D103" s="358" t="str">
        <f ca="1">IF(ISERROR(OFFSET('HARGA SATUAN'!$D$6,MATCH(RAB!C103,'HARGA SATUAN'!$C$7:$C$1492,0),0)),"",OFFSET('HARGA SATUAN'!$D$6,MATCH(RAB!C103,'HARGA SATUAN'!$C$7:$C$1492,0),0))</f>
        <v/>
      </c>
      <c r="E103" s="359" t="str">
        <f ca="1">IF(B103="+","Unit",IF(ISERROR(OFFSET('HARGA SATUAN'!$E$6,MATCH(RAB!C103,'HARGA SATUAN'!$C$7:$C$1492,0),0)),"",OFFSET('HARGA SATUAN'!$E$6,MATCH(RAB!C103,'HARGA SATUAN'!$C$7:$C$1492,0),0)))</f>
        <v/>
      </c>
      <c r="F103" s="484"/>
      <c r="G103" s="360">
        <f ca="1">IF(ISERROR(OFFSET('HARGA SATUAN'!$I$6,MATCH(RAB!C103,'HARGA SATUAN'!$C$7:$C$1492,0),0)),0,OFFSET('HARGA SATUAN'!$I$6,MATCH(RAB!C103,'HARGA SATUAN'!$C$7:$C$1492,0),0))</f>
        <v>0</v>
      </c>
      <c r="H103" s="361">
        <f t="shared" ca="1" si="40"/>
        <v>0</v>
      </c>
      <c r="I103" s="361">
        <f t="shared" ca="1" si="41"/>
        <v>0</v>
      </c>
      <c r="J103" s="361">
        <f t="shared" ca="1" si="42"/>
        <v>0</v>
      </c>
      <c r="K103" s="362">
        <f t="shared" ca="1" si="43"/>
        <v>0</v>
      </c>
    </row>
    <row r="104" spans="2:11">
      <c r="B104" s="506"/>
      <c r="C104" s="507"/>
      <c r="D104" s="358" t="str">
        <f ca="1">IF(ISERROR(OFFSET('HARGA SATUAN'!$D$6,MATCH(RAB!C104,'HARGA SATUAN'!$C$7:$C$1492,0),0)),"",OFFSET('HARGA SATUAN'!$D$6,MATCH(RAB!C104,'HARGA SATUAN'!$C$7:$C$1492,0),0))</f>
        <v/>
      </c>
      <c r="E104" s="359" t="str">
        <f ca="1">IF(B104="+","Unit",IF(ISERROR(OFFSET('HARGA SATUAN'!$E$6,MATCH(RAB!C104,'HARGA SATUAN'!$C$7:$C$1492,0),0)),"",OFFSET('HARGA SATUAN'!$E$6,MATCH(RAB!C104,'HARGA SATUAN'!$C$7:$C$1492,0),0)))</f>
        <v/>
      </c>
      <c r="F104" s="484"/>
      <c r="G104" s="360">
        <f ca="1">IF(ISERROR(OFFSET('HARGA SATUAN'!$I$6,MATCH(RAB!C104,'HARGA SATUAN'!$C$7:$C$1492,0),0)),0,OFFSET('HARGA SATUAN'!$I$6,MATCH(RAB!C104,'HARGA SATUAN'!$C$7:$C$1492,0),0))</f>
        <v>0</v>
      </c>
      <c r="H104" s="361">
        <f t="shared" ca="1" si="40"/>
        <v>0</v>
      </c>
      <c r="I104" s="361">
        <f t="shared" ca="1" si="41"/>
        <v>0</v>
      </c>
      <c r="J104" s="361">
        <f t="shared" ca="1" si="42"/>
        <v>0</v>
      </c>
      <c r="K104" s="362">
        <f t="shared" ca="1" si="43"/>
        <v>0</v>
      </c>
    </row>
    <row r="105" spans="2:11">
      <c r="B105" s="500" t="s">
        <v>1035</v>
      </c>
      <c r="C105" s="501" t="s">
        <v>1632</v>
      </c>
      <c r="D105" s="358" t="str">
        <f ca="1">IF(ISERROR(OFFSET('HARGA SATUAN'!$D$6,MATCH(RAB!C105,'HARGA SATUAN'!$C$7:$C$1492,0),0)),"",OFFSET('HARGA SATUAN'!$D$6,MATCH(RAB!C105,'HARGA SATUAN'!$C$7:$C$1492,0),0))</f>
        <v/>
      </c>
      <c r="E105" s="359" t="str">
        <f ca="1">IF(B105="+","Unit",IF(ISERROR(OFFSET('HARGA SATUAN'!$E$6,MATCH(RAB!C105,'HARGA SATUAN'!$C$7:$C$1492,0),0)),"",OFFSET('HARGA SATUAN'!$E$6,MATCH(RAB!C105,'HARGA SATUAN'!$C$7:$C$1492,0),0)))</f>
        <v>Unit</v>
      </c>
      <c r="F105" s="505">
        <v>1</v>
      </c>
      <c r="G105" s="360">
        <f ca="1">IF(ISERROR(OFFSET('HARGA SATUAN'!$I$6,MATCH(RAB!C105,'HARGA SATUAN'!$C$7:$C$1492,0),0)),0,OFFSET('HARGA SATUAN'!$I$6,MATCH(RAB!C105,'HARGA SATUAN'!$C$7:$C$1492,0),0))</f>
        <v>0</v>
      </c>
      <c r="H105" s="361">
        <f t="shared" ca="1" si="36"/>
        <v>0</v>
      </c>
      <c r="I105" s="361">
        <f t="shared" ca="1" si="37"/>
        <v>0</v>
      </c>
      <c r="J105" s="361">
        <f t="shared" ca="1" si="38"/>
        <v>0</v>
      </c>
      <c r="K105" s="362">
        <f t="shared" ca="1" si="39"/>
        <v>0</v>
      </c>
    </row>
    <row r="106" spans="2:11" ht="30">
      <c r="B106" s="519">
        <v>1</v>
      </c>
      <c r="C106" s="109" t="s">
        <v>1196</v>
      </c>
      <c r="D106" s="358" t="str">
        <f ca="1">IF(ISERROR(OFFSET('HARGA SATUAN'!$D$6,MATCH(RAB!C106,'HARGA SATUAN'!$C$7:$C$1492,0),0)),"",OFFSET('HARGA SATUAN'!$D$6,MATCH(RAB!C106,'HARGA SATUAN'!$C$7:$C$1492,0),0))</f>
        <v>MDU-KD</v>
      </c>
      <c r="E106" s="359" t="str">
        <f ca="1">IF(B106="+","Unit",IF(ISERROR(OFFSET('HARGA SATUAN'!$E$6,MATCH(RAB!C106,'HARGA SATUAN'!$C$7:$C$1492,0),0)),"",OFFSET('HARGA SATUAN'!$E$6,MATCH(RAB!C106,'HARGA SATUAN'!$C$7:$C$1492,0),0)))</f>
        <v>Bh</v>
      </c>
      <c r="F106" s="505">
        <f>F105*1</f>
        <v>1</v>
      </c>
      <c r="G106" s="360">
        <f ca="1">IF(ISERROR(OFFSET('HARGA SATUAN'!$I$6,MATCH(RAB!C106,'HARGA SATUAN'!$C$7:$C$1492,0),0)),0,OFFSET('HARGA SATUAN'!$I$6,MATCH(RAB!C106,'HARGA SATUAN'!$C$7:$C$1492,0),0))</f>
        <v>1504200</v>
      </c>
      <c r="H106" s="361">
        <f t="shared" ca="1" si="36"/>
        <v>1504200</v>
      </c>
      <c r="I106" s="361">
        <f t="shared" ca="1" si="37"/>
        <v>0</v>
      </c>
      <c r="J106" s="361">
        <f t="shared" ca="1" si="38"/>
        <v>0</v>
      </c>
      <c r="K106" s="362">
        <f t="shared" ca="1" si="39"/>
        <v>1504200</v>
      </c>
    </row>
    <row r="107" spans="2:11">
      <c r="B107" s="519">
        <v>2</v>
      </c>
      <c r="C107" s="520" t="s">
        <v>516</v>
      </c>
      <c r="D107" s="358" t="str">
        <f ca="1">IF(ISERROR(OFFSET('HARGA SATUAN'!$D$6,MATCH(RAB!C107,'HARGA SATUAN'!$C$7:$C$1492,0),0)),"",OFFSET('HARGA SATUAN'!$D$6,MATCH(RAB!C107,'HARGA SATUAN'!$C$7:$C$1492,0),0))</f>
        <v>MDU-KD</v>
      </c>
      <c r="E107" s="359" t="str">
        <f ca="1">IF(B107="+","Unit",IF(ISERROR(OFFSET('HARGA SATUAN'!$E$6,MATCH(RAB!C107,'HARGA SATUAN'!$C$7:$C$1492,0),0)),"",OFFSET('HARGA SATUAN'!$E$6,MATCH(RAB!C107,'HARGA SATUAN'!$C$7:$C$1492,0),0)))</f>
        <v>Unit</v>
      </c>
      <c r="F107" s="505">
        <f>F105*1</f>
        <v>1</v>
      </c>
      <c r="G107" s="360">
        <f ca="1">IF(ISERROR(OFFSET('HARGA SATUAN'!$I$6,MATCH(RAB!C107,'HARGA SATUAN'!$C$7:$C$1492,0),0)),0,OFFSET('HARGA SATUAN'!$I$6,MATCH(RAB!C107,'HARGA SATUAN'!$C$7:$C$1492,0),0))</f>
        <v>13644300</v>
      </c>
      <c r="H107" s="361">
        <f t="shared" ca="1" si="36"/>
        <v>13644300</v>
      </c>
      <c r="I107" s="361">
        <f t="shared" ca="1" si="37"/>
        <v>0</v>
      </c>
      <c r="J107" s="361">
        <f t="shared" ca="1" si="38"/>
        <v>0</v>
      </c>
      <c r="K107" s="362">
        <f t="shared" ca="1" si="39"/>
        <v>13644300</v>
      </c>
    </row>
    <row r="108" spans="2:11">
      <c r="B108" s="519">
        <v>3</v>
      </c>
      <c r="C108" s="520" t="s">
        <v>1142</v>
      </c>
      <c r="D108" s="358" t="str">
        <f ca="1">IF(ISERROR(OFFSET('HARGA SATUAN'!$D$6,MATCH(RAB!C108,'HARGA SATUAN'!$C$7:$C$1492,0),0)),"",OFFSET('HARGA SATUAN'!$D$6,MATCH(RAB!C108,'HARGA SATUAN'!$C$7:$C$1492,0),0))</f>
        <v>HDW</v>
      </c>
      <c r="E108" s="359" t="str">
        <f ca="1">IF(B108="+","Unit",IF(ISERROR(OFFSET('HARGA SATUAN'!$E$6,MATCH(RAB!C108,'HARGA SATUAN'!$C$7:$C$1492,0),0)),"",OFFSET('HARGA SATUAN'!$E$6,MATCH(RAB!C108,'HARGA SATUAN'!$C$7:$C$1492,0),0)))</f>
        <v>Unit</v>
      </c>
      <c r="F108" s="505">
        <f>F105*1</f>
        <v>1</v>
      </c>
      <c r="G108" s="360">
        <f ca="1">IF(ISERROR(OFFSET('HARGA SATUAN'!$I$6,MATCH(RAB!C108,'HARGA SATUAN'!$C$7:$C$1492,0),0)),0,OFFSET('HARGA SATUAN'!$I$6,MATCH(RAB!C108,'HARGA SATUAN'!$C$7:$C$1492,0),0))</f>
        <v>1113900</v>
      </c>
      <c r="H108" s="361">
        <f t="shared" ca="1" si="36"/>
        <v>0</v>
      </c>
      <c r="I108" s="361">
        <f t="shared" ca="1" si="37"/>
        <v>1113900</v>
      </c>
      <c r="J108" s="361">
        <f t="shared" ca="1" si="38"/>
        <v>0</v>
      </c>
      <c r="K108" s="362">
        <f t="shared" ca="1" si="39"/>
        <v>1113900</v>
      </c>
    </row>
    <row r="109" spans="2:11">
      <c r="B109" s="519">
        <v>4</v>
      </c>
      <c r="C109" s="520" t="s">
        <v>574</v>
      </c>
      <c r="D109" s="358" t="str">
        <f ca="1">IF(ISERROR(OFFSET('HARGA SATUAN'!$D$6,MATCH(RAB!C109,'HARGA SATUAN'!$C$7:$C$1492,0),0)),"",OFFSET('HARGA SATUAN'!$D$6,MATCH(RAB!C109,'HARGA SATUAN'!$C$7:$C$1492,0),0))</f>
        <v>MDU-KD</v>
      </c>
      <c r="E109" s="359" t="str">
        <f ca="1">IF(B109="+","Unit",IF(ISERROR(OFFSET('HARGA SATUAN'!$E$6,MATCH(RAB!C109,'HARGA SATUAN'!$C$7:$C$1492,0),0)),"",OFFSET('HARGA SATUAN'!$E$6,MATCH(RAB!C109,'HARGA SATUAN'!$C$7:$C$1492,0),0)))</f>
        <v>Mtr</v>
      </c>
      <c r="F109" s="505">
        <v>12</v>
      </c>
      <c r="G109" s="360">
        <f ca="1">IF(ISERROR(OFFSET('HARGA SATUAN'!$I$6,MATCH(RAB!C109,'HARGA SATUAN'!$C$7:$C$1492,0),0)),0,OFFSET('HARGA SATUAN'!$I$6,MATCH(RAB!C109,'HARGA SATUAN'!$C$7:$C$1492,0),0))</f>
        <v>421400</v>
      </c>
      <c r="H109" s="361">
        <f t="shared" ca="1" si="36"/>
        <v>5056800</v>
      </c>
      <c r="I109" s="361">
        <f t="shared" ca="1" si="37"/>
        <v>0</v>
      </c>
      <c r="J109" s="361">
        <f t="shared" ca="1" si="38"/>
        <v>0</v>
      </c>
      <c r="K109" s="362">
        <f t="shared" ca="1" si="39"/>
        <v>5056800</v>
      </c>
    </row>
    <row r="110" spans="2:11">
      <c r="B110" s="519">
        <v>5</v>
      </c>
      <c r="C110" s="520" t="s">
        <v>799</v>
      </c>
      <c r="D110" s="358" t="str">
        <f ca="1">IF(ISERROR(OFFSET('HARGA SATUAN'!$D$6,MATCH(RAB!C110,'HARGA SATUAN'!$C$7:$C$1492,0),0)),"",OFFSET('HARGA SATUAN'!$D$6,MATCH(RAB!C110,'HARGA SATUAN'!$C$7:$C$1492,0),0))</f>
        <v>JASA</v>
      </c>
      <c r="E110" s="359" t="str">
        <f ca="1">IF(B110="+","Unit",IF(ISERROR(OFFSET('HARGA SATUAN'!$E$6,MATCH(RAB!C110,'HARGA SATUAN'!$C$7:$C$1492,0),0)),"",OFFSET('HARGA SATUAN'!$E$6,MATCH(RAB!C110,'HARGA SATUAN'!$C$7:$C$1492,0),0)))</f>
        <v>Unit</v>
      </c>
      <c r="F110" s="505">
        <f>F105*1</f>
        <v>1</v>
      </c>
      <c r="G110" s="360">
        <f ca="1">IF(ISERROR(OFFSET('HARGA SATUAN'!$I$6,MATCH(RAB!C110,'HARGA SATUAN'!$C$7:$C$1492,0),0)),0,OFFSET('HARGA SATUAN'!$I$6,MATCH(RAB!C110,'HARGA SATUAN'!$C$7:$C$1492,0),0))</f>
        <v>106400</v>
      </c>
      <c r="H110" s="361">
        <f t="shared" ca="1" si="36"/>
        <v>0</v>
      </c>
      <c r="I110" s="361">
        <f t="shared" ca="1" si="37"/>
        <v>0</v>
      </c>
      <c r="J110" s="361">
        <f t="shared" ca="1" si="38"/>
        <v>106400</v>
      </c>
      <c r="K110" s="362">
        <f t="shared" ca="1" si="39"/>
        <v>106400</v>
      </c>
    </row>
    <row r="111" spans="2:11">
      <c r="B111" s="506"/>
      <c r="C111" s="507"/>
      <c r="D111" s="358" t="str">
        <f ca="1">IF(ISERROR(OFFSET('HARGA SATUAN'!$D$6,MATCH(RAB!C111,'HARGA SATUAN'!$C$7:$C$1492,0),0)),"",OFFSET('HARGA SATUAN'!$D$6,MATCH(RAB!C111,'HARGA SATUAN'!$C$7:$C$1492,0),0))</f>
        <v/>
      </c>
      <c r="E111" s="359" t="str">
        <f ca="1">IF(B111="+","Unit",IF(ISERROR(OFFSET('HARGA SATUAN'!$E$6,MATCH(RAB!C111,'HARGA SATUAN'!$C$7:$C$1492,0),0)),"",OFFSET('HARGA SATUAN'!$E$6,MATCH(RAB!C111,'HARGA SATUAN'!$C$7:$C$1492,0),0)))</f>
        <v/>
      </c>
      <c r="F111" s="484"/>
      <c r="G111" s="360">
        <f ca="1">IF(ISERROR(OFFSET('HARGA SATUAN'!$I$6,MATCH(RAB!C111,'HARGA SATUAN'!$C$7:$C$1492,0),0)),0,OFFSET('HARGA SATUAN'!$I$6,MATCH(RAB!C111,'HARGA SATUAN'!$C$7:$C$1492,0),0))</f>
        <v>0</v>
      </c>
      <c r="H111" s="361">
        <f t="shared" ca="1" si="36"/>
        <v>0</v>
      </c>
      <c r="I111" s="361">
        <f t="shared" ca="1" si="37"/>
        <v>0</v>
      </c>
      <c r="J111" s="361">
        <f t="shared" ca="1" si="38"/>
        <v>0</v>
      </c>
      <c r="K111" s="362">
        <f t="shared" ca="1" si="39"/>
        <v>0</v>
      </c>
    </row>
    <row r="112" spans="2:11">
      <c r="B112" s="519" t="s">
        <v>1035</v>
      </c>
      <c r="C112" s="520" t="s">
        <v>1633</v>
      </c>
      <c r="D112" s="358" t="str">
        <f ca="1">IF(ISERROR(OFFSET('HARGA SATUAN'!$D$6,MATCH(RAB!C112,'HARGA SATUAN'!$C$7:$C$1492,0),0)),"",OFFSET('HARGA SATUAN'!$D$6,MATCH(RAB!C112,'HARGA SATUAN'!$C$7:$C$1492,0),0))</f>
        <v/>
      </c>
      <c r="E112" s="359" t="str">
        <f ca="1">IF(B112="+","Unit",IF(ISERROR(OFFSET('HARGA SATUAN'!$E$6,MATCH(RAB!C112,'HARGA SATUAN'!$C$7:$C$1492,0),0)),"",OFFSET('HARGA SATUAN'!$E$6,MATCH(RAB!C112,'HARGA SATUAN'!$C$7:$C$1492,0),0)))</f>
        <v>Unit</v>
      </c>
      <c r="F112" s="521">
        <v>1</v>
      </c>
      <c r="G112" s="360">
        <f ca="1">IF(ISERROR(OFFSET('HARGA SATUAN'!$I$6,MATCH(RAB!C112,'HARGA SATUAN'!$C$7:$C$1492,0),0)),0,OFFSET('HARGA SATUAN'!$I$6,MATCH(RAB!C112,'HARGA SATUAN'!$C$7:$C$1492,0),0))</f>
        <v>0</v>
      </c>
      <c r="H112" s="361">
        <f t="shared" ca="1" si="36"/>
        <v>0</v>
      </c>
      <c r="I112" s="361">
        <f t="shared" ca="1" si="37"/>
        <v>0</v>
      </c>
      <c r="J112" s="361">
        <f t="shared" ca="1" si="38"/>
        <v>0</v>
      </c>
      <c r="K112" s="362">
        <f t="shared" ca="1" si="39"/>
        <v>0</v>
      </c>
    </row>
    <row r="113" spans="2:11">
      <c r="B113" s="519">
        <v>1</v>
      </c>
      <c r="C113" s="520" t="s">
        <v>115</v>
      </c>
      <c r="D113" s="358" t="str">
        <f ca="1">IF(ISERROR(OFFSET('HARGA SATUAN'!$D$6,MATCH(RAB!C113,'HARGA SATUAN'!$C$7:$C$1492,0),0)),"",OFFSET('HARGA SATUAN'!$D$6,MATCH(RAB!C113,'HARGA SATUAN'!$C$7:$C$1492,0),0))</f>
        <v>HDW</v>
      </c>
      <c r="E113" s="359" t="str">
        <f ca="1">IF(B113="+","Unit",IF(ISERROR(OFFSET('HARGA SATUAN'!$E$6,MATCH(RAB!C113,'HARGA SATUAN'!$C$7:$C$1492,0),0)),"",OFFSET('HARGA SATUAN'!$E$6,MATCH(RAB!C113,'HARGA SATUAN'!$C$7:$C$1492,0),0)))</f>
        <v>Set</v>
      </c>
      <c r="F113" s="521">
        <f>F112*1</f>
        <v>1</v>
      </c>
      <c r="G113" s="360">
        <f ca="1">IF(ISERROR(OFFSET('HARGA SATUAN'!$I$6,MATCH(RAB!C113,'HARGA SATUAN'!$C$7:$C$1492,0),0)),0,OFFSET('HARGA SATUAN'!$I$6,MATCH(RAB!C113,'HARGA SATUAN'!$C$7:$C$1492,0),0))</f>
        <v>11500</v>
      </c>
      <c r="H113" s="361">
        <f t="shared" ca="1" si="36"/>
        <v>0</v>
      </c>
      <c r="I113" s="361">
        <f t="shared" ca="1" si="37"/>
        <v>11500</v>
      </c>
      <c r="J113" s="361">
        <f t="shared" ca="1" si="38"/>
        <v>0</v>
      </c>
      <c r="K113" s="362">
        <f t="shared" ca="1" si="39"/>
        <v>11500</v>
      </c>
    </row>
    <row r="114" spans="2:11">
      <c r="B114" s="519">
        <v>2</v>
      </c>
      <c r="C114" s="520" t="s">
        <v>145</v>
      </c>
      <c r="D114" s="358" t="str">
        <f ca="1">IF(ISERROR(OFFSET('HARGA SATUAN'!$D$6,MATCH(RAB!C114,'HARGA SATUAN'!$C$7:$C$1492,0),0)),"",OFFSET('HARGA SATUAN'!$D$6,MATCH(RAB!C114,'HARGA SATUAN'!$C$7:$C$1492,0),0))</f>
        <v>HDW</v>
      </c>
      <c r="E114" s="359" t="str">
        <f ca="1">IF(B114="+","Unit",IF(ISERROR(OFFSET('HARGA SATUAN'!$E$6,MATCH(RAB!C114,'HARGA SATUAN'!$C$7:$C$1492,0),0)),"",OFFSET('HARGA SATUAN'!$E$6,MATCH(RAB!C114,'HARGA SATUAN'!$C$7:$C$1492,0),0)))</f>
        <v>Set</v>
      </c>
      <c r="F114" s="521">
        <f>F112*1</f>
        <v>1</v>
      </c>
      <c r="G114" s="360">
        <f ca="1">IF(ISERROR(OFFSET('HARGA SATUAN'!$I$6,MATCH(RAB!C114,'HARGA SATUAN'!$C$7:$C$1492,0),0)),0,OFFSET('HARGA SATUAN'!$I$6,MATCH(RAB!C114,'HARGA SATUAN'!$C$7:$C$1492,0),0))</f>
        <v>6200</v>
      </c>
      <c r="H114" s="361">
        <f t="shared" ca="1" si="36"/>
        <v>0</v>
      </c>
      <c r="I114" s="361">
        <f t="shared" ca="1" si="37"/>
        <v>6200</v>
      </c>
      <c r="J114" s="361">
        <f t="shared" ca="1" si="38"/>
        <v>0</v>
      </c>
      <c r="K114" s="362">
        <f t="shared" ca="1" si="39"/>
        <v>6200</v>
      </c>
    </row>
    <row r="115" spans="2:11">
      <c r="B115" s="519">
        <v>3</v>
      </c>
      <c r="C115" s="520" t="s">
        <v>587</v>
      </c>
      <c r="D115" s="358" t="str">
        <f ca="1">IF(ISERROR(OFFSET('HARGA SATUAN'!$D$6,MATCH(RAB!C115,'HARGA SATUAN'!$C$7:$C$1492,0),0)),"",OFFSET('HARGA SATUAN'!$D$6,MATCH(RAB!C115,'HARGA SATUAN'!$C$7:$C$1492,0),0))</f>
        <v>HDW</v>
      </c>
      <c r="E115" s="359" t="str">
        <f ca="1">IF(B115="+","Unit",IF(ISERROR(OFFSET('HARGA SATUAN'!$E$6,MATCH(RAB!C115,'HARGA SATUAN'!$C$7:$C$1492,0),0)),"",OFFSET('HARGA SATUAN'!$E$6,MATCH(RAB!C115,'HARGA SATUAN'!$C$7:$C$1492,0),0)))</f>
        <v>Btg</v>
      </c>
      <c r="F115" s="521">
        <f>F112*1</f>
        <v>1</v>
      </c>
      <c r="G115" s="360">
        <f ca="1">IF(ISERROR(OFFSET('HARGA SATUAN'!$I$6,MATCH(RAB!C115,'HARGA SATUAN'!$C$7:$C$1492,0),0)),0,OFFSET('HARGA SATUAN'!$I$6,MATCH(RAB!C115,'HARGA SATUAN'!$C$7:$C$1492,0),0))</f>
        <v>45796</v>
      </c>
      <c r="H115" s="361">
        <f t="shared" ca="1" si="36"/>
        <v>0</v>
      </c>
      <c r="I115" s="361">
        <f t="shared" ca="1" si="37"/>
        <v>45796</v>
      </c>
      <c r="J115" s="361">
        <f t="shared" ca="1" si="38"/>
        <v>0</v>
      </c>
      <c r="K115" s="362">
        <f t="shared" ca="1" si="39"/>
        <v>45796</v>
      </c>
    </row>
    <row r="116" spans="2:11">
      <c r="B116" s="519">
        <v>4</v>
      </c>
      <c r="C116" s="520" t="s">
        <v>118</v>
      </c>
      <c r="D116" s="358" t="str">
        <f ca="1">IF(ISERROR(OFFSET('HARGA SATUAN'!$D$6,MATCH(RAB!C116,'HARGA SATUAN'!$C$7:$C$1492,0),0)),"",OFFSET('HARGA SATUAN'!$D$6,MATCH(RAB!C116,'HARGA SATUAN'!$C$7:$C$1492,0),0))</f>
        <v>HDW</v>
      </c>
      <c r="E116" s="359" t="str">
        <f ca="1">IF(B116="+","Unit",IF(ISERROR(OFFSET('HARGA SATUAN'!$E$6,MATCH(RAB!C116,'HARGA SATUAN'!$C$7:$C$1492,0),0)),"",OFFSET('HARGA SATUAN'!$E$6,MATCH(RAB!C116,'HARGA SATUAN'!$C$7:$C$1492,0),0)))</f>
        <v>Set</v>
      </c>
      <c r="F116" s="521">
        <f>F112*1</f>
        <v>1</v>
      </c>
      <c r="G116" s="360">
        <f ca="1">IF(ISERROR(OFFSET('HARGA SATUAN'!$I$6,MATCH(RAB!C116,'HARGA SATUAN'!$C$7:$C$1492,0),0)),0,OFFSET('HARGA SATUAN'!$I$6,MATCH(RAB!C116,'HARGA SATUAN'!$C$7:$C$1492,0),0))</f>
        <v>5300</v>
      </c>
      <c r="H116" s="361">
        <f t="shared" ca="1" si="36"/>
        <v>0</v>
      </c>
      <c r="I116" s="361">
        <f t="shared" ca="1" si="37"/>
        <v>5300</v>
      </c>
      <c r="J116" s="361">
        <f t="shared" ca="1" si="38"/>
        <v>0</v>
      </c>
      <c r="K116" s="362">
        <f t="shared" ca="1" si="39"/>
        <v>5300</v>
      </c>
    </row>
    <row r="117" spans="2:11">
      <c r="B117" s="519">
        <v>5</v>
      </c>
      <c r="C117" s="520" t="s">
        <v>117</v>
      </c>
      <c r="D117" s="358" t="str">
        <f ca="1">IF(ISERROR(OFFSET('HARGA SATUAN'!$D$6,MATCH(RAB!C117,'HARGA SATUAN'!$C$7:$C$1492,0),0)),"",OFFSET('HARGA SATUAN'!$D$6,MATCH(RAB!C117,'HARGA SATUAN'!$C$7:$C$1492,0),0))</f>
        <v>HDW</v>
      </c>
      <c r="E117" s="359" t="str">
        <f ca="1">IF(B117="+","Unit",IF(ISERROR(OFFSET('HARGA SATUAN'!$E$6,MATCH(RAB!C117,'HARGA SATUAN'!$C$7:$C$1492,0),0)),"",OFFSET('HARGA SATUAN'!$E$6,MATCH(RAB!C117,'HARGA SATUAN'!$C$7:$C$1492,0),0)))</f>
        <v>Bh</v>
      </c>
      <c r="F117" s="521">
        <f>F112*1</f>
        <v>1</v>
      </c>
      <c r="G117" s="360">
        <f ca="1">IF(ISERROR(OFFSET('HARGA SATUAN'!$I$6,MATCH(RAB!C117,'HARGA SATUAN'!$C$7:$C$1492,0),0)),0,OFFSET('HARGA SATUAN'!$I$6,MATCH(RAB!C117,'HARGA SATUAN'!$C$7:$C$1492,0),0))</f>
        <v>58600</v>
      </c>
      <c r="H117" s="361">
        <f t="shared" ca="1" si="36"/>
        <v>0</v>
      </c>
      <c r="I117" s="361">
        <f t="shared" ca="1" si="37"/>
        <v>58600</v>
      </c>
      <c r="J117" s="361">
        <f t="shared" ca="1" si="38"/>
        <v>0</v>
      </c>
      <c r="K117" s="362">
        <f t="shared" ca="1" si="39"/>
        <v>58600</v>
      </c>
    </row>
    <row r="118" spans="2:11">
      <c r="B118" s="519">
        <v>6</v>
      </c>
      <c r="C118" s="109" t="s">
        <v>1155</v>
      </c>
      <c r="D118" s="358" t="str">
        <f ca="1">IF(ISERROR(OFFSET('HARGA SATUAN'!$D$6,MATCH(RAB!C118,'HARGA SATUAN'!$C$7:$C$1492,0),0)),"",OFFSET('HARGA SATUAN'!$D$6,MATCH(RAB!C118,'HARGA SATUAN'!$C$7:$C$1492,0),0))</f>
        <v>HDW</v>
      </c>
      <c r="E118" s="359" t="str">
        <f ca="1">IF(B118="+","Unit",IF(ISERROR(OFFSET('HARGA SATUAN'!$E$6,MATCH(RAB!C118,'HARGA SATUAN'!$C$7:$C$1492,0),0)),"",OFFSET('HARGA SATUAN'!$E$6,MATCH(RAB!C118,'HARGA SATUAN'!$C$7:$C$1492,0),0)))</f>
        <v>Set</v>
      </c>
      <c r="F118" s="521">
        <f>F112*2</f>
        <v>2</v>
      </c>
      <c r="G118" s="360">
        <f ca="1">IF(ISERROR(OFFSET('HARGA SATUAN'!$I$6,MATCH(RAB!C118,'HARGA SATUAN'!$C$7:$C$1492,0),0)),0,OFFSET('HARGA SATUAN'!$I$6,MATCH(RAB!C118,'HARGA SATUAN'!$C$7:$C$1492,0),0))</f>
        <v>2900</v>
      </c>
      <c r="H118" s="361">
        <f t="shared" ca="1" si="36"/>
        <v>0</v>
      </c>
      <c r="I118" s="361">
        <f t="shared" ca="1" si="37"/>
        <v>5800</v>
      </c>
      <c r="J118" s="361">
        <f t="shared" ca="1" si="38"/>
        <v>0</v>
      </c>
      <c r="K118" s="362">
        <f t="shared" ca="1" si="39"/>
        <v>5800</v>
      </c>
    </row>
    <row r="119" spans="2:11">
      <c r="B119" s="519">
        <v>7</v>
      </c>
      <c r="C119" s="520" t="s">
        <v>119</v>
      </c>
      <c r="D119" s="358" t="str">
        <f ca="1">IF(ISERROR(OFFSET('HARGA SATUAN'!$D$6,MATCH(RAB!C119,'HARGA SATUAN'!$C$7:$C$1492,0),0)),"",OFFSET('HARGA SATUAN'!$D$6,MATCH(RAB!C119,'HARGA SATUAN'!$C$7:$C$1492,0),0))</f>
        <v>HDW</v>
      </c>
      <c r="E119" s="359" t="str">
        <f ca="1">IF(B119="+","Unit",IF(ISERROR(OFFSET('HARGA SATUAN'!$E$6,MATCH(RAB!C119,'HARGA SATUAN'!$C$7:$C$1492,0),0)),"",OFFSET('HARGA SATUAN'!$E$6,MATCH(RAB!C119,'HARGA SATUAN'!$C$7:$C$1492,0),0)))</f>
        <v>Set</v>
      </c>
      <c r="F119" s="521">
        <f>F112*4</f>
        <v>4</v>
      </c>
      <c r="G119" s="360">
        <f ca="1">IF(ISERROR(OFFSET('HARGA SATUAN'!$I$6,MATCH(RAB!C119,'HARGA SATUAN'!$C$7:$C$1492,0),0)),0,OFFSET('HARGA SATUAN'!$I$6,MATCH(RAB!C119,'HARGA SATUAN'!$C$7:$C$1492,0),0))</f>
        <v>8900</v>
      </c>
      <c r="H119" s="361">
        <f t="shared" ca="1" si="36"/>
        <v>0</v>
      </c>
      <c r="I119" s="361">
        <f t="shared" ca="1" si="37"/>
        <v>35600</v>
      </c>
      <c r="J119" s="361">
        <f t="shared" ca="1" si="38"/>
        <v>0</v>
      </c>
      <c r="K119" s="362">
        <f t="shared" ca="1" si="39"/>
        <v>35600</v>
      </c>
    </row>
    <row r="120" spans="2:11">
      <c r="B120" s="506"/>
      <c r="C120" s="507"/>
      <c r="D120" s="358"/>
      <c r="E120" s="359"/>
      <c r="F120" s="484"/>
      <c r="G120" s="360"/>
      <c r="H120" s="361"/>
      <c r="I120" s="361"/>
      <c r="J120" s="361"/>
      <c r="K120" s="362"/>
    </row>
    <row r="121" spans="2:11">
      <c r="B121" s="506" t="s">
        <v>1035</v>
      </c>
      <c r="C121" s="507" t="s">
        <v>1622</v>
      </c>
      <c r="D121" s="358" t="str">
        <f ca="1">IF(ISERROR(OFFSET('HARGA SATUAN'!$D$6,MATCH(RAB!C121,'HARGA SATUAN'!$C$7:$C$1492,0),0)),"",OFFSET('HARGA SATUAN'!$D$6,MATCH(RAB!C121,'HARGA SATUAN'!$C$7:$C$1492,0),0))</f>
        <v/>
      </c>
      <c r="E121" s="359" t="str">
        <f ca="1">IF(B121="+","Unit",IF(ISERROR(OFFSET('HARGA SATUAN'!$E$6,MATCH(RAB!C121,'HARGA SATUAN'!$C$7:$C$1492,0),0)),"",OFFSET('HARGA SATUAN'!$E$6,MATCH(RAB!C121,'HARGA SATUAN'!$C$7:$C$1492,0),0)))</f>
        <v>Unit</v>
      </c>
      <c r="F121" s="484">
        <v>1</v>
      </c>
      <c r="G121" s="360">
        <f ca="1">IF(ISERROR(OFFSET('HARGA SATUAN'!$I$6,MATCH(RAB!C121,'HARGA SATUAN'!$C$7:$C$1492,0),0)),0,OFFSET('HARGA SATUAN'!$I$6,MATCH(RAB!C121,'HARGA SATUAN'!$C$7:$C$1492,0),0))</f>
        <v>0</v>
      </c>
      <c r="H121" s="361">
        <f t="shared" ca="1" si="36"/>
        <v>0</v>
      </c>
      <c r="I121" s="361">
        <f t="shared" ca="1" si="37"/>
        <v>0</v>
      </c>
      <c r="J121" s="361">
        <f t="shared" ca="1" si="38"/>
        <v>0</v>
      </c>
      <c r="K121" s="362">
        <f t="shared" ca="1" si="39"/>
        <v>0</v>
      </c>
    </row>
    <row r="122" spans="2:11">
      <c r="B122" s="506">
        <v>1</v>
      </c>
      <c r="C122" s="507" t="s">
        <v>29</v>
      </c>
      <c r="D122" s="358" t="str">
        <f ca="1">IF(ISERROR(OFFSET('HARGA SATUAN'!$D$6,MATCH(RAB!C122,'HARGA SATUAN'!$C$7:$C$1492,0),0)),"",OFFSET('HARGA SATUAN'!$D$6,MATCH(RAB!C122,'HARGA SATUAN'!$C$7:$C$1492,0),0))</f>
        <v>HDW</v>
      </c>
      <c r="E122" s="359" t="str">
        <f ca="1">IF(B122="+","Unit",IF(ISERROR(OFFSET('HARGA SATUAN'!$E$6,MATCH(RAB!C122,'HARGA SATUAN'!$C$7:$C$1492,0),0)),"",OFFSET('HARGA SATUAN'!$E$6,MATCH(RAB!C122,'HARGA SATUAN'!$C$7:$C$1492,0),0)))</f>
        <v>Bh</v>
      </c>
      <c r="F122" s="484">
        <f>F121*1</f>
        <v>1</v>
      </c>
      <c r="G122" s="360">
        <f ca="1">IF(ISERROR(OFFSET('HARGA SATUAN'!$I$6,MATCH(RAB!C122,'HARGA SATUAN'!$C$7:$C$1492,0),0)),0,OFFSET('HARGA SATUAN'!$I$6,MATCH(RAB!C122,'HARGA SATUAN'!$C$7:$C$1492,0),0))</f>
        <v>185200</v>
      </c>
      <c r="H122" s="361">
        <f t="shared" ca="1" si="36"/>
        <v>0</v>
      </c>
      <c r="I122" s="361">
        <f t="shared" ca="1" si="37"/>
        <v>185200</v>
      </c>
      <c r="J122" s="361">
        <f t="shared" ca="1" si="38"/>
        <v>0</v>
      </c>
      <c r="K122" s="362">
        <f t="shared" ca="1" si="39"/>
        <v>185200</v>
      </c>
    </row>
    <row r="123" spans="2:11">
      <c r="B123" s="506">
        <v>2</v>
      </c>
      <c r="C123" s="507" t="s">
        <v>30</v>
      </c>
      <c r="D123" s="358" t="str">
        <f ca="1">IF(ISERROR(OFFSET('HARGA SATUAN'!$D$6,MATCH(RAB!C123,'HARGA SATUAN'!$C$7:$C$1492,0),0)),"",OFFSET('HARGA SATUAN'!$D$6,MATCH(RAB!C123,'HARGA SATUAN'!$C$7:$C$1492,0),0))</f>
        <v>HDW</v>
      </c>
      <c r="E123" s="359" t="str">
        <f ca="1">IF(B123="+","Unit",IF(ISERROR(OFFSET('HARGA SATUAN'!$E$6,MATCH(RAB!C123,'HARGA SATUAN'!$C$7:$C$1492,0),0)),"",OFFSET('HARGA SATUAN'!$E$6,MATCH(RAB!C123,'HARGA SATUAN'!$C$7:$C$1492,0),0)))</f>
        <v>Bh</v>
      </c>
      <c r="F123" s="484">
        <f>F121*1</f>
        <v>1</v>
      </c>
      <c r="G123" s="360">
        <f ca="1">IF(ISERROR(OFFSET('HARGA SATUAN'!$I$6,MATCH(RAB!C123,'HARGA SATUAN'!$C$7:$C$1492,0),0)),0,OFFSET('HARGA SATUAN'!$I$6,MATCH(RAB!C123,'HARGA SATUAN'!$C$7:$C$1492,0),0))</f>
        <v>47459</v>
      </c>
      <c r="H123" s="361">
        <f t="shared" ca="1" si="36"/>
        <v>0</v>
      </c>
      <c r="I123" s="361">
        <f t="shared" ca="1" si="37"/>
        <v>47459</v>
      </c>
      <c r="J123" s="361">
        <f t="shared" ca="1" si="38"/>
        <v>0</v>
      </c>
      <c r="K123" s="362">
        <f t="shared" ca="1" si="39"/>
        <v>47459</v>
      </c>
    </row>
    <row r="124" spans="2:11">
      <c r="B124" s="506">
        <v>3</v>
      </c>
      <c r="C124" s="507" t="s">
        <v>32</v>
      </c>
      <c r="D124" s="358" t="str">
        <f ca="1">IF(ISERROR(OFFSET('HARGA SATUAN'!$D$6,MATCH(RAB!C124,'HARGA SATUAN'!$C$7:$C$1492,0),0)),"",OFFSET('HARGA SATUAN'!$D$6,MATCH(RAB!C124,'HARGA SATUAN'!$C$7:$C$1492,0),0))</f>
        <v>HDW</v>
      </c>
      <c r="E124" s="359" t="str">
        <f ca="1">IF(B124="+","Unit",IF(ISERROR(OFFSET('HARGA SATUAN'!$E$6,MATCH(RAB!C124,'HARGA SATUAN'!$C$7:$C$1492,0),0)),"",OFFSET('HARGA SATUAN'!$E$6,MATCH(RAB!C124,'HARGA SATUAN'!$C$7:$C$1492,0),0)))</f>
        <v>Mtr</v>
      </c>
      <c r="F124" s="484">
        <f>F121*1.5</f>
        <v>1.5</v>
      </c>
      <c r="G124" s="360">
        <f ca="1">IF(ISERROR(OFFSET('HARGA SATUAN'!$I$6,MATCH(RAB!C124,'HARGA SATUAN'!$C$7:$C$1492,0),0)),0,OFFSET('HARGA SATUAN'!$I$6,MATCH(RAB!C124,'HARGA SATUAN'!$C$7:$C$1492,0),0))</f>
        <v>30000</v>
      </c>
      <c r="H124" s="361">
        <f t="shared" ca="1" si="36"/>
        <v>0</v>
      </c>
      <c r="I124" s="361">
        <f t="shared" ca="1" si="37"/>
        <v>45000</v>
      </c>
      <c r="J124" s="361">
        <f t="shared" ca="1" si="38"/>
        <v>0</v>
      </c>
      <c r="K124" s="362">
        <f t="shared" ca="1" si="39"/>
        <v>45000</v>
      </c>
    </row>
    <row r="125" spans="2:11">
      <c r="B125" s="506">
        <v>4</v>
      </c>
      <c r="C125" s="507" t="s">
        <v>33</v>
      </c>
      <c r="D125" s="358" t="str">
        <f ca="1">IF(ISERROR(OFFSET('HARGA SATUAN'!$D$6,MATCH(RAB!C125,'HARGA SATUAN'!$C$7:$C$1492,0),0)),"",OFFSET('HARGA SATUAN'!$D$6,MATCH(RAB!C125,'HARGA SATUAN'!$C$7:$C$1492,0),0))</f>
        <v>HDW</v>
      </c>
      <c r="E125" s="359" t="str">
        <f ca="1">IF(B125="+","Unit",IF(ISERROR(OFFSET('HARGA SATUAN'!$E$6,MATCH(RAB!C125,'HARGA SATUAN'!$C$7:$C$1492,0),0)),"",OFFSET('HARGA SATUAN'!$E$6,MATCH(RAB!C125,'HARGA SATUAN'!$C$7:$C$1492,0),0)))</f>
        <v>Bh</v>
      </c>
      <c r="F125" s="484">
        <f>F121*2</f>
        <v>2</v>
      </c>
      <c r="G125" s="360">
        <f ca="1">IF(ISERROR(OFFSET('HARGA SATUAN'!$I$6,MATCH(RAB!C125,'HARGA SATUAN'!$C$7:$C$1492,0),0)),0,OFFSET('HARGA SATUAN'!$I$6,MATCH(RAB!C125,'HARGA SATUAN'!$C$7:$C$1492,0),0))</f>
        <v>9500</v>
      </c>
      <c r="H125" s="361">
        <f t="shared" ca="1" si="36"/>
        <v>0</v>
      </c>
      <c r="I125" s="361">
        <f t="shared" ca="1" si="37"/>
        <v>19000</v>
      </c>
      <c r="J125" s="361">
        <f t="shared" ca="1" si="38"/>
        <v>0</v>
      </c>
      <c r="K125" s="362">
        <f t="shared" ca="1" si="39"/>
        <v>19000</v>
      </c>
    </row>
    <row r="126" spans="2:11">
      <c r="B126" s="506">
        <v>5</v>
      </c>
      <c r="C126" s="507" t="s">
        <v>735</v>
      </c>
      <c r="D126" s="358" t="str">
        <f ca="1">IF(ISERROR(OFFSET('HARGA SATUAN'!$D$6,MATCH(RAB!C126,'HARGA SATUAN'!$C$7:$C$1492,0),0)),"",OFFSET('HARGA SATUAN'!$D$6,MATCH(RAB!C126,'HARGA SATUAN'!$C$7:$C$1492,0),0))</f>
        <v>JASA</v>
      </c>
      <c r="E126" s="359" t="str">
        <f ca="1">IF(B126="+","Unit",IF(ISERROR(OFFSET('HARGA SATUAN'!$E$6,MATCH(RAB!C126,'HARGA SATUAN'!$C$7:$C$1492,0),0)),"",OFFSET('HARGA SATUAN'!$E$6,MATCH(RAB!C126,'HARGA SATUAN'!$C$7:$C$1492,0),0)))</f>
        <v>Unit</v>
      </c>
      <c r="F126" s="484">
        <f>F121*1</f>
        <v>1</v>
      </c>
      <c r="G126" s="360">
        <f ca="1">IF(ISERROR(OFFSET('HARGA SATUAN'!$I$6,MATCH(RAB!C126,'HARGA SATUAN'!$C$7:$C$1492,0),0)),0,OFFSET('HARGA SATUAN'!$I$6,MATCH(RAB!C126,'HARGA SATUAN'!$C$7:$C$1492,0),0))</f>
        <v>56400</v>
      </c>
      <c r="H126" s="361">
        <f t="shared" ca="1" si="36"/>
        <v>0</v>
      </c>
      <c r="I126" s="361">
        <f t="shared" ca="1" si="37"/>
        <v>0</v>
      </c>
      <c r="J126" s="361">
        <f t="shared" ca="1" si="38"/>
        <v>56400</v>
      </c>
      <c r="K126" s="362">
        <f t="shared" ca="1" si="39"/>
        <v>56400</v>
      </c>
    </row>
    <row r="127" spans="2:11">
      <c r="B127" s="506"/>
      <c r="C127" s="507"/>
      <c r="D127" s="358" t="str">
        <f ca="1">IF(ISERROR(OFFSET('HARGA SATUAN'!$D$6,MATCH(RAB!C127,'HARGA SATUAN'!$C$7:$C$1492,0),0)),"",OFFSET('HARGA SATUAN'!$D$6,MATCH(RAB!C127,'HARGA SATUAN'!$C$7:$C$1492,0),0))</f>
        <v/>
      </c>
      <c r="E127" s="359" t="str">
        <f ca="1">IF(B127="+","Unit",IF(ISERROR(OFFSET('HARGA SATUAN'!$E$6,MATCH(RAB!C127,'HARGA SATUAN'!$C$7:$C$1492,0),0)),"",OFFSET('HARGA SATUAN'!$E$6,MATCH(RAB!C127,'HARGA SATUAN'!$C$7:$C$1492,0),0)))</f>
        <v/>
      </c>
      <c r="F127" s="484"/>
      <c r="G127" s="360">
        <f ca="1">IF(ISERROR(OFFSET('HARGA SATUAN'!$I$6,MATCH(RAB!C127,'HARGA SATUAN'!$C$7:$C$1492,0),0)),0,OFFSET('HARGA SATUAN'!$I$6,MATCH(RAB!C127,'HARGA SATUAN'!$C$7:$C$1492,0),0))</f>
        <v>0</v>
      </c>
      <c r="H127" s="361">
        <f t="shared" ca="1" si="36"/>
        <v>0</v>
      </c>
      <c r="I127" s="361">
        <f t="shared" ca="1" si="37"/>
        <v>0</v>
      </c>
      <c r="J127" s="361">
        <f t="shared" ca="1" si="38"/>
        <v>0</v>
      </c>
      <c r="K127" s="362">
        <f t="shared" ca="1" si="39"/>
        <v>0</v>
      </c>
    </row>
    <row r="128" spans="2:11">
      <c r="B128" s="373" t="s">
        <v>1550</v>
      </c>
      <c r="C128" s="374" t="s">
        <v>1612</v>
      </c>
      <c r="D128" s="358" t="str">
        <f ca="1">IF(ISERROR(OFFSET('HARGA SATUAN'!$D$6,MATCH(RAB!C128,'HARGA SATUAN'!$C$7:$C$1492,0),0)),"",OFFSET('HARGA SATUAN'!$D$6,MATCH(RAB!C128,'HARGA SATUAN'!$C$7:$C$1492,0),0))</f>
        <v/>
      </c>
      <c r="E128" s="359" t="str">
        <f ca="1">IF(B128="+","Unit",IF(ISERROR(OFFSET('HARGA SATUAN'!$E$6,MATCH(RAB!C128,'HARGA SATUAN'!$C$7:$C$1492,0),0)),"",OFFSET('HARGA SATUAN'!$E$6,MATCH(RAB!C128,'HARGA SATUAN'!$C$7:$C$1492,0),0)))</f>
        <v/>
      </c>
      <c r="F128" s="484"/>
      <c r="G128" s="360">
        <f ca="1">IF(ISERROR(OFFSET('HARGA SATUAN'!$I$6,MATCH(RAB!C128,'HARGA SATUAN'!$C$7:$C$1492,0),0)),0,OFFSET('HARGA SATUAN'!$I$6,MATCH(RAB!C128,'HARGA SATUAN'!$C$7:$C$1492,0),0))</f>
        <v>0</v>
      </c>
      <c r="H128" s="361">
        <f t="shared" ca="1" si="36"/>
        <v>0</v>
      </c>
      <c r="I128" s="361">
        <f t="shared" ca="1" si="37"/>
        <v>0</v>
      </c>
      <c r="J128" s="361">
        <f t="shared" ca="1" si="38"/>
        <v>0</v>
      </c>
      <c r="K128" s="362">
        <f t="shared" ca="1" si="39"/>
        <v>0</v>
      </c>
    </row>
    <row r="129" spans="2:13">
      <c r="B129" s="375"/>
      <c r="C129" s="109"/>
      <c r="D129" s="358" t="str">
        <f ca="1">IF(ISERROR(OFFSET('HARGA SATUAN'!$D$6,MATCH(RAB!C129,'HARGA SATUAN'!$C$7:$C$1492,0),0)),"",OFFSET('HARGA SATUAN'!$D$6,MATCH(RAB!C129,'HARGA SATUAN'!$C$7:$C$1492,0),0))</f>
        <v/>
      </c>
      <c r="E129" s="359" t="str">
        <f ca="1">IF(B129="+","Unit",IF(ISERROR(OFFSET('HARGA SATUAN'!$E$6,MATCH(RAB!C129,'HARGA SATUAN'!$C$7:$C$1492,0),0)),"",OFFSET('HARGA SATUAN'!$E$6,MATCH(RAB!C129,'HARGA SATUAN'!$C$7:$C$1492,0),0)))</f>
        <v/>
      </c>
      <c r="F129" s="484"/>
      <c r="G129" s="360">
        <f ca="1">IF(ISERROR(OFFSET('HARGA SATUAN'!$I$6,MATCH(RAB!C129,'HARGA SATUAN'!$C$7:$C$1492,0),0)),0,OFFSET('HARGA SATUAN'!$I$6,MATCH(RAB!C129,'HARGA SATUAN'!$C$7:$C$1492,0),0))</f>
        <v>0</v>
      </c>
      <c r="H129" s="361">
        <f t="shared" ca="1" si="36"/>
        <v>0</v>
      </c>
      <c r="I129" s="361">
        <f t="shared" ca="1" si="37"/>
        <v>0</v>
      </c>
      <c r="J129" s="361">
        <f t="shared" ca="1" si="38"/>
        <v>0</v>
      </c>
      <c r="K129" s="362">
        <f t="shared" ca="1" si="39"/>
        <v>0</v>
      </c>
    </row>
    <row r="130" spans="2:13">
      <c r="B130" s="376"/>
      <c r="C130" s="377" t="s">
        <v>475</v>
      </c>
      <c r="D130" s="358" t="str">
        <f ca="1">IF(ISERROR(OFFSET('HARGA SATUAN'!$D$6,MATCH(RAB!C130,'HARGA SATUAN'!$C$7:$C$1492,0),0)),"",OFFSET('HARGA SATUAN'!$D$6,MATCH(RAB!C130,'HARGA SATUAN'!$C$7:$C$1492,0),0))</f>
        <v/>
      </c>
      <c r="E130" s="359" t="str">
        <f ca="1">IF(B130="+","Unit",IF(ISERROR(OFFSET('HARGA SATUAN'!$E$6,MATCH(RAB!C130,'HARGA SATUAN'!$C$7:$C$1492,0),0)),"",OFFSET('HARGA SATUAN'!$E$6,MATCH(RAB!C130,'HARGA SATUAN'!$C$7:$C$1492,0),0)))</f>
        <v/>
      </c>
      <c r="F130" s="484"/>
      <c r="G130" s="360">
        <f ca="1">IF(ISERROR(OFFSET('HARGA SATUAN'!$I$6,MATCH(RAB!C130,'HARGA SATUAN'!$C$7:$C$1492,0),0)),0,OFFSET('HARGA SATUAN'!$I$6,MATCH(RAB!C130,'HARGA SATUAN'!$C$7:$C$1492,0),0))</f>
        <v>0</v>
      </c>
      <c r="H130" s="361">
        <f t="shared" ca="1" si="32"/>
        <v>0</v>
      </c>
      <c r="I130" s="361">
        <f t="shared" ca="1" si="33"/>
        <v>0</v>
      </c>
      <c r="J130" s="361">
        <f t="shared" ca="1" si="34"/>
        <v>0</v>
      </c>
      <c r="K130" s="362">
        <f t="shared" ca="1" si="35"/>
        <v>0</v>
      </c>
    </row>
    <row r="131" spans="2:13">
      <c r="B131" s="379">
        <v>1</v>
      </c>
      <c r="C131" s="380" t="s">
        <v>1091</v>
      </c>
      <c r="D131" s="381" t="str">
        <f ca="1">IF(ISERROR(OFFSET('HARGA SATUAN'!$D$6,MATCH(RAB!C131,'HARGA SATUAN'!$C$7:$C$1492,0),0)),"",OFFSET('HARGA SATUAN'!$D$6,MATCH(RAB!C131,'HARGA SATUAN'!$C$7:$C$1492,0),0))</f>
        <v>JASA</v>
      </c>
      <c r="E131" s="382" t="str">
        <f ca="1">IF(ISERROR(OFFSET('HARGA SATUAN'!$E$6,MATCH(RAB!C131,'HARGA SATUAN'!$C$7:$C$1492,0),0)),"",OFFSET('HARGA SATUAN'!$E$6,MATCH(RAB!C131,'HARGA SATUAN'!$C$7:$C$1492,0),0))</f>
        <v>Lot</v>
      </c>
      <c r="F131" s="383">
        <v>1</v>
      </c>
      <c r="G131" s="384">
        <f ca="1">IF(ISERROR(OFFSET('HARGA SATUAN'!$I$6,MATCH(RAB!C131,'HARGA SATUAN'!$C$7:$C$1492,0),0)),0,OFFSET('HARGA SATUAN'!$I$6,MATCH(RAB!C131,'HARGA SATUAN'!$C$7:$C$1492,0),0))</f>
        <v>2.5000000000000001E-2</v>
      </c>
      <c r="H131" s="385">
        <f ca="1">2.5%*(SUM(H14:H130))</f>
        <v>1590553.75</v>
      </c>
      <c r="I131" s="385">
        <f t="shared" ref="I131" ca="1" si="44">2.5%*(SUM(I14:I130))</f>
        <v>522361.52500000002</v>
      </c>
      <c r="J131" s="385">
        <f ca="1">2.5%*(SUM(J14:J130))</f>
        <v>118805.83333333333</v>
      </c>
      <c r="K131" s="386">
        <f ca="1">SUM(H131:J131)</f>
        <v>2231721.1083333334</v>
      </c>
    </row>
    <row r="132" spans="2:13">
      <c r="B132" s="387"/>
      <c r="C132" s="388"/>
      <c r="D132" s="358" t="str">
        <f ca="1">IF(ISERROR(OFFSET('HARGA SATUAN'!$D$6,MATCH(RAB!C132,'HARGA SATUAN'!$C$7:$C$1492,0),0)),"",OFFSET('HARGA SATUAN'!$D$6,MATCH(RAB!C132,'HARGA SATUAN'!$C$7:$C$1492,0),0))</f>
        <v/>
      </c>
      <c r="E132" s="359" t="str">
        <f ca="1">IF(ISERROR(OFFSET('HARGA SATUAN'!$E$6,MATCH(RAB!C132,'HARGA SATUAN'!$C$7:$C$1492,0),0)),"",OFFSET('HARGA SATUAN'!$E$6,MATCH(RAB!C132,'HARGA SATUAN'!$C$7:$C$1492,0),0))</f>
        <v/>
      </c>
      <c r="F132" s="378"/>
      <c r="G132" s="360" t="str">
        <f ca="1">IF(ISERROR(OFFSET('HARGA SATUAN'!$I$6,MATCH(RAB!C132,'HARGA SATUAN'!$C$7:$C$1492,0),0)),"",OFFSET('HARGA SATUAN'!$I$6,MATCH(RAB!C132,'HARGA SATUAN'!$C$7:$C$1492,0),0))</f>
        <v/>
      </c>
      <c r="H132" s="361">
        <f ca="1">IF(OR(D132="MDU",D132="MDU-KD"),IF(G132="PLN",0,G132*F132),0)</f>
        <v>0</v>
      </c>
      <c r="I132" s="361">
        <f ca="1">IF(D132="HDW",IF(G132="PLN",0,G132*F132),0)</f>
        <v>0</v>
      </c>
      <c r="J132" s="361">
        <f ca="1">IF(D132="JASA",IF(G132="PLN",0,G132*F132),0)</f>
        <v>0</v>
      </c>
      <c r="K132" s="362">
        <f ca="1">SUM(H132:J132)</f>
        <v>0</v>
      </c>
    </row>
    <row r="133" spans="2:13" ht="15.75" thickBot="1">
      <c r="B133" s="389"/>
      <c r="C133" s="390"/>
      <c r="D133" s="391"/>
      <c r="E133" s="392"/>
      <c r="F133" s="392"/>
      <c r="G133" s="392"/>
      <c r="H133" s="393"/>
      <c r="I133" s="393"/>
      <c r="J133" s="393"/>
      <c r="K133" s="394"/>
    </row>
    <row r="134" spans="2:13">
      <c r="B134" s="395"/>
      <c r="C134" s="623" t="s">
        <v>1008</v>
      </c>
      <c r="D134" s="623"/>
      <c r="E134" s="623"/>
      <c r="F134" s="623"/>
      <c r="G134" s="396" t="s">
        <v>9</v>
      </c>
      <c r="H134" s="397">
        <f ca="1">SUM(H14:H132)</f>
        <v>65212703.75</v>
      </c>
      <c r="I134" s="397">
        <f ca="1">SUM(I14:I132)</f>
        <v>21416822.524999999</v>
      </c>
      <c r="J134" s="397">
        <f ca="1">SUM(J14:J132)</f>
        <v>4871039.166666666</v>
      </c>
      <c r="K134" s="397">
        <f ca="1">SUM(K14:K132)</f>
        <v>91500565.441666678</v>
      </c>
    </row>
    <row r="135" spans="2:13">
      <c r="B135" s="400"/>
      <c r="C135" s="639" t="s">
        <v>1460</v>
      </c>
      <c r="D135" s="639"/>
      <c r="E135" s="639"/>
      <c r="F135" s="639"/>
      <c r="G135" s="401" t="s">
        <v>9</v>
      </c>
      <c r="H135" s="402">
        <f ca="1">H134*0.11</f>
        <v>7173397.4124999996</v>
      </c>
      <c r="I135" s="402">
        <f ca="1">I134*0.11</f>
        <v>2355850.4777500001</v>
      </c>
      <c r="J135" s="402">
        <f ca="1">J134*0.11</f>
        <v>535814.30833333323</v>
      </c>
      <c r="K135" s="402">
        <f ca="1">K134*0.11</f>
        <v>10065062.198583335</v>
      </c>
    </row>
    <row r="136" spans="2:13" ht="15.75" thickBot="1">
      <c r="B136" s="400"/>
      <c r="C136" s="637" t="s">
        <v>463</v>
      </c>
      <c r="D136" s="637"/>
      <c r="E136" s="637"/>
      <c r="F136" s="637"/>
      <c r="G136" s="404" t="s">
        <v>9</v>
      </c>
      <c r="H136" s="405">
        <f ca="1">SUM(H134:H135)</f>
        <v>72386101.162499994</v>
      </c>
      <c r="I136" s="405">
        <f ca="1">SUM(I134:I135)</f>
        <v>23772673.002749998</v>
      </c>
      <c r="J136" s="404">
        <f ca="1">SUM(J134:J135)</f>
        <v>5406853.4749999996</v>
      </c>
      <c r="K136" s="404">
        <f ca="1">SUM(K134:K135)</f>
        <v>101565627.64025001</v>
      </c>
      <c r="M136" s="489"/>
    </row>
    <row r="137" spans="2:13">
      <c r="B137" s="640" t="str">
        <f ca="1">"Terbilang : "&amp;PROPER(IF(K136=0,"nol",IF(K136&lt;0,"minus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IF(--MID(TEXT(ABS(K136),"000000000000000"),1,3)=0,"",MID(TEXT(ABS(K136),"000000000000000"),1,1)&amp;" ratus "&amp;MID(TEXT(ABS(K136),"000000000000000"),2,1)&amp;" puluh "&amp;MID(TEXT(ABS(K136),"000000000000000"),3,1)&amp;" trilyun ")&amp; IF(--MID(TEXT(ABS(K136),"000000000000000"),4,3)=0,"",MID(TEXT(ABS(K136),"000000000000000"),4,1)&amp;" ratus "&amp;MID(TEXT(ABS(K136),"000000000000000"),5,1)&amp;" puluh "&amp;MID(TEXT(ABS(K136),"000000000000000"),6,1)&amp;" milyar ")&amp; IF(--MID(TEXT(ABS(K136),"000000000000000"),7,3)=0,"",MID(TEXT(ABS(K136),"000000000000000"),7,1)&amp;" ratus "&amp;MID(TEXT(ABS(K136),"000000000000000"),8,1)&amp;" puluh "&amp;MID(TEXT(ABS(K136),"000000000000000"),9,1)&amp;" juta ")&amp; IF(--MID(TEXT(ABS(K136),"000000000000000"),10,3)=0,"",IF(--MID(TEXT(ABS(K136),"000000000000000"),10,3)=1,"*",MID(TEXT(ABS(K136),"000000000000000"),10,1)&amp;" ratus "&amp;MID(TEXT(ABS(K136),"000000000000000"),11,1)&amp;" puluh ")&amp;MID(TEXT(ABS(K136),"000000000000000"),12,1)&amp;" ribu ")&amp; IF(--MID(TEXT(ABS(K136),"000000000000000"),13,3)=0,"",MID(TEXT(ABS(K136),"000000000000000"),13,1)&amp;" ratus "&amp;MID(TEXT(ABS(K136),"000000000000000"),14,1)&amp;" puluh "&amp;MID(TEXT(ABS(K136),"000000000000000"),15,1)),1,"satu"),2,"dua"),3,"tiga"),4,"empat"),5,"lima"),6,"enam"),7,"tujuh"),8,"delapan"),9,"sembilan"),"0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Satu Juta Lima Ratus Enam Puluh Lima Ribu Enam Ratus Dua Puluh Delapan Rupiah</v>
      </c>
      <c r="C137" s="641"/>
      <c r="D137" s="641"/>
      <c r="E137" s="641"/>
      <c r="F137" s="641"/>
      <c r="G137" s="641"/>
      <c r="H137" s="641"/>
      <c r="I137" s="641"/>
      <c r="J137" s="641"/>
      <c r="K137" s="642"/>
    </row>
    <row r="138" spans="2:13">
      <c r="B138" s="643"/>
      <c r="C138" s="644"/>
      <c r="D138" s="644"/>
      <c r="E138" s="644"/>
      <c r="F138" s="644"/>
      <c r="G138" s="644"/>
      <c r="H138" s="644"/>
      <c r="I138" s="644"/>
      <c r="J138" s="644"/>
      <c r="K138" s="645"/>
    </row>
    <row r="139" spans="2:13" ht="15.75" thickBot="1">
      <c r="B139" s="407" t="str">
        <f>"Harga yang dipakai adalah "&amp;'HARGA SATUAN'!I5&amp;""</f>
        <v>Harga yang dipakai adalah RAB HSS 2023</v>
      </c>
      <c r="C139" s="408"/>
      <c r="D139" s="409"/>
      <c r="E139" s="409"/>
      <c r="F139" s="409"/>
      <c r="G139" s="410"/>
      <c r="H139" s="410"/>
      <c r="I139" s="410"/>
      <c r="J139" s="410"/>
      <c r="K139" s="411"/>
    </row>
    <row r="140" spans="2:13">
      <c r="C140" s="412"/>
      <c r="E140" s="414"/>
      <c r="F140" s="414"/>
      <c r="G140" s="414"/>
    </row>
    <row r="141" spans="2:13">
      <c r="C141" s="337"/>
      <c r="E141" s="414"/>
      <c r="F141" s="414"/>
      <c r="G141" s="414"/>
      <c r="H141" s="646"/>
      <c r="I141" s="646"/>
      <c r="J141" s="647"/>
      <c r="K141" s="647"/>
    </row>
    <row r="142" spans="2:13">
      <c r="C142" s="337"/>
      <c r="E142" s="414"/>
      <c r="F142" s="414"/>
      <c r="G142" s="414"/>
      <c r="H142" s="415"/>
      <c r="I142" s="636" t="s">
        <v>1639</v>
      </c>
      <c r="J142" s="636"/>
      <c r="K142" s="636"/>
    </row>
    <row r="143" spans="2:13">
      <c r="C143" s="337"/>
      <c r="E143" s="414"/>
      <c r="F143" s="414"/>
      <c r="G143" s="414"/>
      <c r="H143" s="415"/>
      <c r="I143" s="636" t="s">
        <v>1640</v>
      </c>
      <c r="J143" s="636"/>
      <c r="K143" s="636"/>
    </row>
    <row r="144" spans="2:13">
      <c r="C144" s="337"/>
      <c r="E144" s="414"/>
      <c r="F144" s="414"/>
      <c r="G144" s="414"/>
      <c r="H144" s="416"/>
      <c r="I144" s="417"/>
      <c r="J144" s="417"/>
      <c r="K144" s="417"/>
    </row>
    <row r="145" spans="3:11">
      <c r="C145" s="337"/>
      <c r="E145" s="414"/>
      <c r="F145" s="414"/>
      <c r="G145" s="414"/>
      <c r="H145" s="416"/>
      <c r="I145" s="416"/>
      <c r="J145" s="416"/>
      <c r="K145" s="416"/>
    </row>
    <row r="146" spans="3:11">
      <c r="C146" s="337"/>
      <c r="E146" s="414"/>
      <c r="F146" s="414"/>
      <c r="G146" s="414"/>
      <c r="H146" s="416"/>
      <c r="I146" s="416"/>
      <c r="J146" s="416"/>
      <c r="K146" s="416"/>
    </row>
    <row r="147" spans="3:11">
      <c r="C147" s="337"/>
      <c r="E147" s="414"/>
      <c r="F147" s="414"/>
      <c r="G147" s="414"/>
      <c r="H147" s="416"/>
      <c r="I147" s="416"/>
      <c r="J147" s="416"/>
      <c r="K147" s="416"/>
    </row>
    <row r="148" spans="3:11">
      <c r="C148" s="337"/>
      <c r="E148" s="414"/>
      <c r="F148" s="414"/>
      <c r="G148" s="414"/>
      <c r="H148" s="418"/>
      <c r="I148" s="636" t="s">
        <v>1641</v>
      </c>
      <c r="J148" s="636"/>
      <c r="K148" s="636"/>
    </row>
    <row r="149" spans="3:11">
      <c r="C149" s="412"/>
      <c r="E149" s="414"/>
      <c r="F149" s="414"/>
      <c r="G149" s="414"/>
      <c r="H149" s="416"/>
      <c r="I149" s="416"/>
      <c r="J149" s="416"/>
      <c r="K149" s="416"/>
    </row>
    <row r="150" spans="3:11">
      <c r="C150" s="412"/>
      <c r="E150" s="414"/>
      <c r="F150" s="414"/>
      <c r="G150" s="414"/>
      <c r="H150" s="416"/>
      <c r="I150" s="416"/>
      <c r="J150" s="416"/>
      <c r="K150" s="416"/>
    </row>
    <row r="151" spans="3:11">
      <c r="C151" s="412"/>
      <c r="E151" s="414"/>
      <c r="F151" s="414"/>
      <c r="G151" s="414"/>
      <c r="H151" s="416"/>
      <c r="I151" s="416"/>
      <c r="J151" s="416"/>
      <c r="K151" s="416"/>
    </row>
  </sheetData>
  <sheetProtection sort="0" autoFilter="0"/>
  <protectedRanges>
    <protectedRange sqref="B129 B78:B85" name="Range1_1"/>
    <protectedRange sqref="F14:F16 F21:F38" name="Range1_1_2_2"/>
    <protectedRange sqref="B128:C128 B39:B40 B38:C38 C78:C85 B103:C103 B41:C57 B64:C65" name="Range1_1_1"/>
    <protectedRange sqref="C69" name="Range1_1_2_2_1"/>
    <protectedRange sqref="C129" name="Range1_1_3_12"/>
    <protectedRange sqref="F19:F20" name="Range1_1_2_2_1_1"/>
    <protectedRange sqref="C109" name="Range1_1_3_18"/>
    <protectedRange sqref="C67" name="Range1_1_3_11"/>
    <protectedRange sqref="C70" name="Range1_1_3_16"/>
    <protectedRange sqref="C74" name="Range1_1_3_17"/>
    <protectedRange sqref="C39" name="Range1_1_3"/>
    <protectedRange sqref="C40" name="Range1_1_3_1"/>
    <protectedRange sqref="C98" name="Range1_1_3_3_1"/>
  </protectedRanges>
  <mergeCells count="22">
    <mergeCell ref="I143:K143"/>
    <mergeCell ref="I148:K148"/>
    <mergeCell ref="C136:F136"/>
    <mergeCell ref="G6:K6"/>
    <mergeCell ref="I142:K142"/>
    <mergeCell ref="C135:F135"/>
    <mergeCell ref="B137:K138"/>
    <mergeCell ref="H141:K141"/>
    <mergeCell ref="H11:K11"/>
    <mergeCell ref="H12:H13"/>
    <mergeCell ref="J12:J13"/>
    <mergeCell ref="K12:K13"/>
    <mergeCell ref="O3:P4"/>
    <mergeCell ref="B4:K4"/>
    <mergeCell ref="C134:F134"/>
    <mergeCell ref="B11:B13"/>
    <mergeCell ref="C11:C13"/>
    <mergeCell ref="D11:D13"/>
    <mergeCell ref="E11:E13"/>
    <mergeCell ref="F11:F13"/>
    <mergeCell ref="G11:G13"/>
    <mergeCell ref="I12:I13"/>
  </mergeCells>
  <phoneticPr fontId="137" type="noConversion"/>
  <conditionalFormatting sqref="E133:F133 E132:H132 O13 E1:E3 H12:I12 E139:E65598 G132:G136 G1:G13 E5:E13 G139:G65598 E131:G131 H131:K133 E14:K16 F111 F39:F43 F63 F19 E17:E19 E20:F23 E24:E36 S14:V37 E37:F38 E39:E130 G17:K130 F102:F104">
    <cfRule type="cellIs" dxfId="28" priority="1048" stopIfTrue="1" operator="equal">
      <formula>0</formula>
    </cfRule>
  </conditionalFormatting>
  <conditionalFormatting sqref="C15">
    <cfRule type="cellIs" dxfId="27" priority="468" operator="equal">
      <formula>0</formula>
    </cfRule>
  </conditionalFormatting>
  <conditionalFormatting sqref="E137:E138 G137:G138">
    <cfRule type="cellIs" dxfId="26" priority="182" stopIfTrue="1" operator="equal">
      <formula>0</formula>
    </cfRule>
  </conditionalFormatting>
  <conditionalFormatting sqref="F85 F128:F130 F51 F64:F65">
    <cfRule type="cellIs" dxfId="25" priority="80" stopIfTrue="1" operator="equal">
      <formula>0</formula>
    </cfRule>
  </conditionalFormatting>
  <conditionalFormatting sqref="C129">
    <cfRule type="cellIs" dxfId="24" priority="66" operator="equal">
      <formula>0</formula>
    </cfRule>
  </conditionalFormatting>
  <conditionalFormatting sqref="C85">
    <cfRule type="cellIs" dxfId="23" priority="59" operator="equal">
      <formula>0</formula>
    </cfRule>
  </conditionalFormatting>
  <conditionalFormatting sqref="C17:C18">
    <cfRule type="cellIs" dxfId="22" priority="55" operator="equal">
      <formula>0</formula>
    </cfRule>
  </conditionalFormatting>
  <conditionalFormatting sqref="F17:F18">
    <cfRule type="cellIs" dxfId="21" priority="52" stopIfTrue="1" operator="equal">
      <formula>0</formula>
    </cfRule>
  </conditionalFormatting>
  <conditionalFormatting sqref="C19:C20">
    <cfRule type="cellIs" dxfId="20" priority="53" operator="equal">
      <formula>0</formula>
    </cfRule>
  </conditionalFormatting>
  <conditionalFormatting sqref="F127 F86:F96">
    <cfRule type="cellIs" dxfId="19" priority="31" stopIfTrue="1" operator="equal">
      <formula>0</formula>
    </cfRule>
  </conditionalFormatting>
  <conditionalFormatting sqref="F120">
    <cfRule type="cellIs" dxfId="18" priority="25" stopIfTrue="1" operator="equal">
      <formula>0</formula>
    </cfRule>
  </conditionalFormatting>
  <conditionalFormatting sqref="F121:F126">
    <cfRule type="cellIs" dxfId="17" priority="24" stopIfTrue="1" operator="equal">
      <formula>0</formula>
    </cfRule>
  </conditionalFormatting>
  <conditionalFormatting sqref="F105:F110">
    <cfRule type="cellIs" dxfId="16" priority="29" stopIfTrue="1" operator="equal">
      <formula>0</formula>
    </cfRule>
  </conditionalFormatting>
  <conditionalFormatting sqref="F58:F62">
    <cfRule type="cellIs" dxfId="15" priority="21" stopIfTrue="1" operator="equal">
      <formula>0</formula>
    </cfRule>
  </conditionalFormatting>
  <conditionalFormatting sqref="F44:F50">
    <cfRule type="cellIs" dxfId="14" priority="23" stopIfTrue="1" operator="equal">
      <formula>0</formula>
    </cfRule>
  </conditionalFormatting>
  <conditionalFormatting sqref="F52:F57">
    <cfRule type="cellIs" dxfId="13" priority="22" stopIfTrue="1" operator="equal">
      <formula>0</formula>
    </cfRule>
  </conditionalFormatting>
  <conditionalFormatting sqref="C71">
    <cfRule type="cellIs" dxfId="12" priority="17" operator="equal">
      <formula>0</formula>
    </cfRule>
  </conditionalFormatting>
  <conditionalFormatting sqref="F66:F84">
    <cfRule type="cellIs" dxfId="11" priority="16" stopIfTrue="1" operator="equal">
      <formula>0</formula>
    </cfRule>
  </conditionalFormatting>
  <conditionalFormatting sqref="C67">
    <cfRule type="cellIs" dxfId="10" priority="15" operator="equal">
      <formula>0</formula>
    </cfRule>
  </conditionalFormatting>
  <conditionalFormatting sqref="C70">
    <cfRule type="cellIs" dxfId="9" priority="14" operator="equal">
      <formula>0</formula>
    </cfRule>
  </conditionalFormatting>
  <conditionalFormatting sqref="C74">
    <cfRule type="cellIs" dxfId="8" priority="13" operator="equal">
      <formula>0</formula>
    </cfRule>
  </conditionalFormatting>
  <conditionalFormatting sqref="C39">
    <cfRule type="cellIs" dxfId="7" priority="8" operator="equal">
      <formula>0</formula>
    </cfRule>
  </conditionalFormatting>
  <conditionalFormatting sqref="C40">
    <cfRule type="cellIs" dxfId="6" priority="7" operator="equal">
      <formula>0</formula>
    </cfRule>
  </conditionalFormatting>
  <conditionalFormatting sqref="C106">
    <cfRule type="cellIs" dxfId="5" priority="6" operator="equal">
      <formula>0</formula>
    </cfRule>
  </conditionalFormatting>
  <conditionalFormatting sqref="C118">
    <cfRule type="cellIs" dxfId="4" priority="5" operator="equal">
      <formula>0</formula>
    </cfRule>
  </conditionalFormatting>
  <conditionalFormatting sqref="F112:F119">
    <cfRule type="cellIs" dxfId="3" priority="4" stopIfTrue="1" operator="equal">
      <formula>0</formula>
    </cfRule>
  </conditionalFormatting>
  <conditionalFormatting sqref="F24:F36">
    <cfRule type="cellIs" dxfId="2" priority="3" stopIfTrue="1" operator="equal">
      <formula>0</formula>
    </cfRule>
  </conditionalFormatting>
  <conditionalFormatting sqref="C98">
    <cfRule type="cellIs" dxfId="1" priority="2" operator="equal">
      <formula>0</formula>
    </cfRule>
  </conditionalFormatting>
  <conditionalFormatting sqref="F97:F101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111 C68:C69 F120:F130 F39:F54 F24:F36 F56:F104 H14:K13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3" fitToHeight="30" orientation="portrait" horizontalDpi="1200" verticalDpi="1200" r:id="rId1"/>
  <colBreaks count="1" manualBreakCount="1">
    <brk id="11" max="1048575" man="1"/>
  </colBreaks>
  <ignoredErrors>
    <ignoredError sqref="L70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tabSelected="1" view="pageBreakPreview" topLeftCell="A25" zoomScale="85" zoomScaleNormal="115" zoomScaleSheetLayoutView="85" workbookViewId="0">
      <selection activeCell="R39" sqref="R39"/>
    </sheetView>
  </sheetViews>
  <sheetFormatPr defaultColWidth="9.140625"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50" t="s">
        <v>1439</v>
      </c>
      <c r="X2" s="651"/>
      <c r="Y2" s="651"/>
      <c r="Z2" s="651"/>
      <c r="AA2" s="651"/>
      <c r="AB2" s="651"/>
      <c r="AC2" s="651"/>
      <c r="AD2" s="652"/>
    </row>
    <row r="3" spans="3:30">
      <c r="C3" s="238"/>
      <c r="W3" s="653"/>
      <c r="X3" s="654"/>
      <c r="Y3" s="654"/>
      <c r="Z3" s="654"/>
      <c r="AA3" s="654"/>
      <c r="AB3" s="654"/>
      <c r="AC3" s="654"/>
      <c r="AD3" s="655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6" t="s">
        <v>990</v>
      </c>
      <c r="Y5" s="656"/>
      <c r="Z5" s="656"/>
      <c r="AA5" s="656" t="s">
        <v>988</v>
      </c>
      <c r="AB5" s="656"/>
      <c r="AC5" s="656" t="s">
        <v>989</v>
      </c>
      <c r="AD5" s="657"/>
    </row>
    <row r="6" spans="3:30">
      <c r="C6" s="238"/>
      <c r="W6" s="241">
        <v>1</v>
      </c>
      <c r="X6" s="656" t="s">
        <v>993</v>
      </c>
      <c r="Y6" s="656"/>
      <c r="Z6" s="656"/>
      <c r="AA6" s="656"/>
      <c r="AB6" s="656"/>
      <c r="AC6" s="656"/>
      <c r="AD6" s="657"/>
    </row>
    <row r="7" spans="3:30">
      <c r="C7" s="238"/>
      <c r="E7" s="495" t="s">
        <v>1637</v>
      </c>
      <c r="W7" s="241">
        <v>2</v>
      </c>
      <c r="X7" s="656" t="s">
        <v>994</v>
      </c>
      <c r="Y7" s="656"/>
      <c r="Z7" s="656"/>
      <c r="AA7" s="656"/>
      <c r="AB7" s="656"/>
      <c r="AC7" s="656"/>
      <c r="AD7" s="657"/>
    </row>
    <row r="8" spans="3:30">
      <c r="C8" s="238"/>
      <c r="W8" s="241">
        <v>3</v>
      </c>
      <c r="X8" s="656" t="s">
        <v>995</v>
      </c>
      <c r="Y8" s="656"/>
      <c r="Z8" s="656"/>
      <c r="AA8" s="656"/>
      <c r="AB8" s="656"/>
      <c r="AC8" s="656"/>
      <c r="AD8" s="657"/>
    </row>
    <row r="9" spans="3:30">
      <c r="C9" s="238"/>
      <c r="W9" s="241">
        <v>4</v>
      </c>
      <c r="X9" s="656" t="s">
        <v>996</v>
      </c>
      <c r="Y9" s="656"/>
      <c r="Z9" s="656"/>
      <c r="AA9" s="656"/>
      <c r="AB9" s="656"/>
      <c r="AC9" s="656"/>
      <c r="AD9" s="657"/>
    </row>
    <row r="10" spans="3:30">
      <c r="C10" s="238"/>
      <c r="W10" s="241">
        <v>5</v>
      </c>
      <c r="X10" s="656" t="s">
        <v>997</v>
      </c>
      <c r="Y10" s="656"/>
      <c r="Z10" s="656"/>
      <c r="AA10" s="656"/>
      <c r="AB10" s="656"/>
      <c r="AC10" s="656"/>
      <c r="AD10" s="657"/>
    </row>
    <row r="11" spans="3:30">
      <c r="C11" s="238"/>
      <c r="W11" s="241">
        <v>6</v>
      </c>
      <c r="X11" s="656" t="s">
        <v>998</v>
      </c>
      <c r="Y11" s="656"/>
      <c r="Z11" s="656"/>
      <c r="AA11" s="656"/>
      <c r="AB11" s="656"/>
      <c r="AC11" s="656"/>
      <c r="AD11" s="657"/>
    </row>
    <row r="12" spans="3:30">
      <c r="C12" s="238"/>
      <c r="W12" s="241">
        <v>7</v>
      </c>
      <c r="X12" s="656" t="s">
        <v>999</v>
      </c>
      <c r="Y12" s="656"/>
      <c r="Z12" s="656"/>
      <c r="AA12" s="656"/>
      <c r="AB12" s="656"/>
      <c r="AC12" s="656"/>
      <c r="AD12" s="657"/>
    </row>
    <row r="13" spans="3:30" ht="12.75" customHeight="1">
      <c r="C13" s="238"/>
      <c r="W13" s="241">
        <v>8</v>
      </c>
      <c r="X13" s="656" t="s">
        <v>1000</v>
      </c>
      <c r="Y13" s="656"/>
      <c r="Z13" s="656"/>
      <c r="AA13" s="656"/>
      <c r="AB13" s="656"/>
      <c r="AC13" s="656"/>
      <c r="AD13" s="657"/>
    </row>
    <row r="14" spans="3:30">
      <c r="C14" s="238"/>
      <c r="W14" s="241">
        <v>9</v>
      </c>
      <c r="X14" s="656" t="s">
        <v>1001</v>
      </c>
      <c r="Y14" s="656"/>
      <c r="Z14" s="656"/>
      <c r="AA14" s="656"/>
      <c r="AB14" s="656"/>
      <c r="AC14" s="656"/>
      <c r="AD14" s="657"/>
    </row>
    <row r="15" spans="3:30">
      <c r="C15" s="238"/>
      <c r="W15" s="241">
        <v>10</v>
      </c>
      <c r="X15" s="656" t="s">
        <v>1010</v>
      </c>
      <c r="Y15" s="656"/>
      <c r="Z15" s="656"/>
      <c r="AA15" s="656"/>
      <c r="AB15" s="656"/>
      <c r="AC15" s="656"/>
      <c r="AD15" s="657"/>
    </row>
    <row r="16" spans="3:30">
      <c r="C16" s="238"/>
      <c r="W16" s="241">
        <v>11</v>
      </c>
      <c r="X16" s="656" t="s">
        <v>1458</v>
      </c>
      <c r="Y16" s="656"/>
      <c r="Z16" s="656"/>
      <c r="AA16" s="656"/>
      <c r="AB16" s="656"/>
      <c r="AC16" s="656"/>
      <c r="AD16" s="657"/>
    </row>
    <row r="17" spans="3:30">
      <c r="C17" s="238"/>
      <c r="S17" s="242"/>
      <c r="W17" s="241">
        <v>12</v>
      </c>
      <c r="X17" s="656" t="s">
        <v>1011</v>
      </c>
      <c r="Y17" s="656"/>
      <c r="Z17" s="656"/>
      <c r="AA17" s="656"/>
      <c r="AB17" s="656"/>
      <c r="AC17" s="656"/>
      <c r="AD17" s="657"/>
    </row>
    <row r="18" spans="3:30">
      <c r="C18" s="243"/>
      <c r="D18" s="244"/>
      <c r="E18" s="244"/>
      <c r="W18" s="241">
        <v>13</v>
      </c>
      <c r="X18" s="656"/>
      <c r="Y18" s="656"/>
      <c r="Z18" s="656"/>
      <c r="AA18" s="656"/>
      <c r="AB18" s="656"/>
      <c r="AC18" s="656"/>
      <c r="AD18" s="657"/>
    </row>
    <row r="19" spans="3:30">
      <c r="C19" s="238"/>
      <c r="W19" s="245"/>
      <c r="X19" s="673"/>
      <c r="Y19" s="673"/>
      <c r="Z19" s="673"/>
      <c r="AA19" s="673"/>
      <c r="AB19" s="673"/>
      <c r="AC19" s="673"/>
      <c r="AD19" s="674"/>
    </row>
    <row r="20" spans="3:30">
      <c r="C20" s="238"/>
      <c r="W20" s="658" t="s">
        <v>992</v>
      </c>
      <c r="X20" s="659"/>
      <c r="Y20" s="659"/>
      <c r="Z20" s="659"/>
      <c r="AA20" s="659"/>
      <c r="AB20" s="659"/>
      <c r="AC20" s="659"/>
      <c r="AD20" s="660"/>
    </row>
    <row r="21" spans="3:30">
      <c r="C21" s="238"/>
      <c r="W21" s="661" t="s">
        <v>985</v>
      </c>
      <c r="X21" s="662"/>
      <c r="Y21" s="662"/>
      <c r="Z21" s="663"/>
      <c r="AA21" s="664" t="s">
        <v>986</v>
      </c>
      <c r="AB21" s="665"/>
      <c r="AC21" s="665"/>
      <c r="AD21" s="666"/>
    </row>
    <row r="22" spans="3:30">
      <c r="C22" s="238"/>
      <c r="W22" s="667"/>
      <c r="X22" s="668"/>
      <c r="Y22" s="497"/>
      <c r="Z22" s="502"/>
      <c r="AA22" s="669"/>
      <c r="AB22" s="670"/>
      <c r="AC22" s="248"/>
      <c r="AD22" s="249"/>
    </row>
    <row r="23" spans="3:30">
      <c r="C23" s="238"/>
      <c r="W23" s="667"/>
      <c r="X23" s="668"/>
      <c r="Y23" s="497"/>
      <c r="Z23" s="502"/>
      <c r="AA23" s="671"/>
      <c r="AB23" s="672"/>
      <c r="AC23" s="248"/>
      <c r="AD23" s="249"/>
    </row>
    <row r="24" spans="3:30">
      <c r="C24" s="238"/>
      <c r="W24" s="677"/>
      <c r="X24" s="678"/>
      <c r="Y24" s="246"/>
      <c r="Z24" s="247"/>
      <c r="AA24" s="679"/>
      <c r="AB24" s="680"/>
      <c r="AC24" s="248"/>
      <c r="AD24" s="249"/>
    </row>
    <row r="25" spans="3:30">
      <c r="C25" s="238"/>
      <c r="W25" s="677"/>
      <c r="X25" s="678"/>
      <c r="Y25" s="246"/>
      <c r="Z25" s="247"/>
      <c r="AA25" s="671"/>
      <c r="AB25" s="672"/>
      <c r="AC25" s="248"/>
      <c r="AD25" s="249"/>
    </row>
    <row r="26" spans="3:30">
      <c r="C26" s="238"/>
      <c r="W26" s="485"/>
      <c r="X26" s="486"/>
      <c r="Y26" s="246"/>
      <c r="Z26" s="247"/>
      <c r="AA26" s="671"/>
      <c r="AB26" s="672"/>
      <c r="AC26" s="248"/>
      <c r="AD26" s="249"/>
    </row>
    <row r="27" spans="3:30">
      <c r="C27" s="238"/>
      <c r="W27" s="485"/>
      <c r="X27" s="486"/>
      <c r="Y27" s="246"/>
      <c r="Z27" s="247"/>
      <c r="AA27" s="675"/>
      <c r="AB27" s="676"/>
      <c r="AC27" s="248"/>
      <c r="AD27" s="249"/>
    </row>
    <row r="28" spans="3:30">
      <c r="C28" s="238"/>
      <c r="W28" s="485"/>
      <c r="X28" s="486"/>
      <c r="Y28" s="246"/>
      <c r="Z28" s="247"/>
      <c r="AA28" s="675"/>
      <c r="AB28" s="676"/>
      <c r="AC28" s="248"/>
      <c r="AD28" s="249"/>
    </row>
    <row r="29" spans="3:30">
      <c r="C29" s="238"/>
      <c r="W29" s="485"/>
      <c r="X29" s="486"/>
      <c r="Y29" s="246"/>
      <c r="Z29" s="247"/>
      <c r="AA29" s="675"/>
      <c r="AB29" s="676"/>
      <c r="AC29" s="248"/>
      <c r="AD29" s="249"/>
    </row>
    <row r="30" spans="3:30" ht="11.25" customHeight="1">
      <c r="C30" s="238"/>
      <c r="W30" s="487"/>
      <c r="X30" s="488"/>
      <c r="Y30" s="246"/>
      <c r="Z30" s="247"/>
      <c r="AA30" s="675"/>
      <c r="AB30" s="676"/>
      <c r="AC30" s="248"/>
      <c r="AD30" s="249"/>
    </row>
    <row r="31" spans="3:30">
      <c r="C31" s="238"/>
      <c r="U31" s="250"/>
      <c r="W31" s="485"/>
      <c r="X31" s="486"/>
      <c r="Y31" s="246"/>
      <c r="Z31" s="247"/>
      <c r="AA31" s="675"/>
      <c r="AB31" s="676"/>
      <c r="AC31" s="248"/>
      <c r="AD31" s="249"/>
    </row>
    <row r="32" spans="3:30">
      <c r="C32" s="238"/>
      <c r="U32" s="250"/>
      <c r="W32" s="485"/>
      <c r="X32" s="486"/>
      <c r="Y32" s="246"/>
      <c r="Z32" s="247"/>
      <c r="AA32" s="675"/>
      <c r="AB32" s="676"/>
      <c r="AC32" s="248"/>
      <c r="AD32" s="249"/>
    </row>
    <row r="33" spans="3:30">
      <c r="C33" s="238"/>
      <c r="W33" s="485"/>
      <c r="X33" s="486"/>
      <c r="Y33" s="246"/>
      <c r="Z33" s="247"/>
      <c r="AA33" s="675"/>
      <c r="AB33" s="676"/>
      <c r="AC33" s="248"/>
      <c r="AD33" s="249"/>
    </row>
    <row r="34" spans="3:30">
      <c r="C34" s="238"/>
      <c r="W34" s="485"/>
      <c r="X34" s="486"/>
      <c r="Y34" s="246"/>
      <c r="Z34" s="247"/>
      <c r="AA34" s="675"/>
      <c r="AB34" s="676"/>
      <c r="AC34" s="248"/>
      <c r="AD34" s="249"/>
    </row>
    <row r="35" spans="3:30">
      <c r="C35" s="238"/>
      <c r="W35" s="677"/>
      <c r="X35" s="690"/>
      <c r="Y35" s="246"/>
      <c r="Z35" s="247"/>
      <c r="AA35" s="675"/>
      <c r="AB35" s="676"/>
      <c r="AC35" s="248"/>
      <c r="AD35" s="249"/>
    </row>
    <row r="36" spans="3:30">
      <c r="C36" s="238"/>
      <c r="W36" s="681"/>
      <c r="X36" s="682"/>
      <c r="Y36" s="246"/>
      <c r="Z36" s="251"/>
      <c r="AA36" s="683"/>
      <c r="AB36" s="676"/>
      <c r="AC36" s="248"/>
      <c r="AD36" s="249"/>
    </row>
    <row r="37" spans="3:30" ht="12.75" customHeight="1">
      <c r="C37" s="238"/>
      <c r="W37" s="684"/>
      <c r="X37" s="685"/>
      <c r="Y37" s="246"/>
      <c r="Z37" s="251"/>
      <c r="AA37" s="686"/>
      <c r="AB37" s="687"/>
      <c r="AC37" s="252"/>
      <c r="AD37" s="253"/>
    </row>
    <row r="38" spans="3:30" ht="12.75" customHeight="1">
      <c r="C38" s="238"/>
      <c r="W38" s="684"/>
      <c r="X38" s="685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84"/>
      <c r="X39" s="685"/>
      <c r="Y39" s="254"/>
      <c r="Z39" s="257"/>
      <c r="AA39" s="688"/>
      <c r="AB39" s="689"/>
      <c r="AC39" s="252"/>
      <c r="AD39" s="253"/>
    </row>
    <row r="40" spans="3:30" ht="12" customHeight="1">
      <c r="C40" s="238"/>
      <c r="W40" s="694"/>
      <c r="X40" s="695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96"/>
      <c r="X41" s="697"/>
      <c r="Y41" s="260"/>
      <c r="Z41" s="261"/>
      <c r="AA41" s="688"/>
      <c r="AB41" s="689"/>
      <c r="AC41" s="252"/>
      <c r="AD41" s="253"/>
    </row>
    <row r="42" spans="3:30" ht="12" customHeight="1">
      <c r="C42" s="238"/>
      <c r="W42" s="698" t="s">
        <v>1459</v>
      </c>
      <c r="X42" s="699"/>
      <c r="Y42" s="699"/>
      <c r="Z42" s="699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91" t="s">
        <v>11</v>
      </c>
      <c r="X44" s="692"/>
      <c r="Y44" s="656"/>
      <c r="Z44" s="656"/>
      <c r="AA44" s="656"/>
      <c r="AB44" s="656"/>
      <c r="AC44" s="656"/>
      <c r="AD44" s="657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91" t="s">
        <v>984</v>
      </c>
      <c r="X45" s="692"/>
      <c r="Y45" s="656">
        <v>1</v>
      </c>
      <c r="Z45" s="656"/>
      <c r="AA45" s="656"/>
      <c r="AB45" s="656" t="s">
        <v>12</v>
      </c>
      <c r="AC45" s="656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91" t="s">
        <v>15</v>
      </c>
      <c r="X46" s="692"/>
      <c r="Y46" s="693"/>
      <c r="Z46" s="693"/>
      <c r="AA46" s="693"/>
      <c r="AB46" s="656" t="s">
        <v>16</v>
      </c>
      <c r="AC46" s="656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704" t="s">
        <v>17</v>
      </c>
      <c r="X47" s="704"/>
      <c r="Y47" s="704"/>
      <c r="Z47" s="704"/>
      <c r="AA47" s="704"/>
      <c r="AB47" s="704"/>
      <c r="AC47" s="704"/>
      <c r="AD47" s="705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706" t="str">
        <f>RAB!G6</f>
        <v>AGS KUSTIANAH</v>
      </c>
      <c r="X48" s="706"/>
      <c r="Y48" s="706"/>
      <c r="Z48" s="706"/>
      <c r="AA48" s="706"/>
      <c r="AB48" s="706"/>
      <c r="AC48" s="706"/>
      <c r="AD48" s="707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706"/>
      <c r="X49" s="706"/>
      <c r="Y49" s="706"/>
      <c r="Z49" s="706"/>
      <c r="AA49" s="706"/>
      <c r="AB49" s="706"/>
      <c r="AC49" s="706"/>
      <c r="AD49" s="707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706"/>
      <c r="X50" s="706"/>
      <c r="Y50" s="706"/>
      <c r="Z50" s="706"/>
      <c r="AA50" s="706"/>
      <c r="AB50" s="706"/>
      <c r="AC50" s="706"/>
      <c r="AD50" s="707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708"/>
      <c r="X51" s="708"/>
      <c r="Y51" s="708"/>
      <c r="Z51" s="708"/>
      <c r="AA51" s="708"/>
      <c r="AB51" s="708"/>
      <c r="AC51" s="708"/>
      <c r="AD51" s="709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91" t="s">
        <v>18</v>
      </c>
      <c r="X52" s="692"/>
      <c r="Y52" s="656" t="s">
        <v>1613</v>
      </c>
      <c r="Z52" s="656"/>
      <c r="AA52" s="656"/>
      <c r="AB52" s="656"/>
      <c r="AC52" s="656"/>
      <c r="AD52" s="657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91" t="s">
        <v>19</v>
      </c>
      <c r="X53" s="692"/>
      <c r="Y53" s="656" t="s">
        <v>1614</v>
      </c>
      <c r="Z53" s="656"/>
      <c r="AA53" s="656"/>
      <c r="AB53" s="656"/>
      <c r="AC53" s="656"/>
      <c r="AD53" s="657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91" t="s">
        <v>20</v>
      </c>
      <c r="X54" s="692"/>
      <c r="Y54" s="700" t="s">
        <v>1615</v>
      </c>
      <c r="Z54" s="700"/>
      <c r="AA54" s="700"/>
      <c r="AB54" s="656"/>
      <c r="AC54" s="656"/>
      <c r="AD54" s="657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701" t="s">
        <v>21</v>
      </c>
      <c r="X55" s="702"/>
      <c r="Y55" s="700" t="s">
        <v>1552</v>
      </c>
      <c r="Z55" s="700"/>
      <c r="AA55" s="700"/>
      <c r="AB55" s="700"/>
      <c r="AC55" s="700"/>
      <c r="AD55" s="703"/>
    </row>
  </sheetData>
  <mergeCells count="101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AC36" sqref="AC36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10" t="s">
        <v>1531</v>
      </c>
      <c r="E4" s="711"/>
      <c r="F4" s="711"/>
      <c r="G4" s="711"/>
      <c r="H4" s="711"/>
      <c r="I4" s="711"/>
      <c r="J4" s="711"/>
      <c r="K4" s="711"/>
      <c r="L4" s="711"/>
      <c r="M4" s="711"/>
      <c r="N4" s="711"/>
      <c r="O4" s="711"/>
      <c r="P4" s="711"/>
      <c r="Q4" s="711"/>
      <c r="R4" s="711"/>
      <c r="S4" s="711"/>
      <c r="T4" s="711"/>
      <c r="U4" s="711"/>
      <c r="V4" s="711"/>
      <c r="W4" s="711"/>
      <c r="X4" s="711"/>
      <c r="Y4" s="711"/>
      <c r="Z4" s="711"/>
      <c r="AA4" s="711"/>
      <c r="AB4" s="711"/>
      <c r="AC4" s="712"/>
      <c r="AD4" s="217"/>
      <c r="AE4" s="216"/>
      <c r="AF4" s="216"/>
    </row>
    <row r="5" spans="2:32" ht="13.5" customHeight="1">
      <c r="B5" s="215"/>
      <c r="C5" s="215"/>
      <c r="D5" s="713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4"/>
      <c r="P5" s="714"/>
      <c r="Q5" s="714"/>
      <c r="R5" s="714"/>
      <c r="S5" s="714"/>
      <c r="T5" s="714"/>
      <c r="U5" s="714"/>
      <c r="V5" s="714"/>
      <c r="W5" s="714"/>
      <c r="X5" s="714"/>
      <c r="Y5" s="714"/>
      <c r="Z5" s="714"/>
      <c r="AA5" s="714"/>
      <c r="AB5" s="714"/>
      <c r="AC5" s="715"/>
      <c r="AD5" s="217"/>
      <c r="AE5" s="216"/>
      <c r="AF5" s="216"/>
    </row>
    <row r="6" spans="2:32" ht="12.75" customHeight="1">
      <c r="B6" s="215"/>
      <c r="C6" s="215"/>
      <c r="D6" s="713"/>
      <c r="E6" s="714"/>
      <c r="F6" s="714"/>
      <c r="G6" s="714"/>
      <c r="H6" s="714"/>
      <c r="I6" s="714"/>
      <c r="J6" s="714"/>
      <c r="K6" s="714"/>
      <c r="L6" s="714"/>
      <c r="M6" s="714"/>
      <c r="N6" s="714"/>
      <c r="O6" s="714"/>
      <c r="P6" s="714"/>
      <c r="Q6" s="714"/>
      <c r="R6" s="714"/>
      <c r="S6" s="714"/>
      <c r="T6" s="714"/>
      <c r="U6" s="714"/>
      <c r="V6" s="714"/>
      <c r="W6" s="714"/>
      <c r="X6" s="714"/>
      <c r="Y6" s="714"/>
      <c r="Z6" s="714"/>
      <c r="AA6" s="714"/>
      <c r="AB6" s="714"/>
      <c r="AC6" s="715"/>
      <c r="AE6" s="216"/>
      <c r="AF6" s="216"/>
    </row>
    <row r="7" spans="2:32" ht="12.75" customHeight="1" thickBot="1">
      <c r="B7" s="215"/>
      <c r="C7" s="215"/>
      <c r="D7" s="716"/>
      <c r="E7" s="717"/>
      <c r="F7" s="717"/>
      <c r="G7" s="717"/>
      <c r="H7" s="717"/>
      <c r="I7" s="717"/>
      <c r="J7" s="717"/>
      <c r="K7" s="717"/>
      <c r="L7" s="717"/>
      <c r="M7" s="717"/>
      <c r="N7" s="717"/>
      <c r="O7" s="717"/>
      <c r="P7" s="717"/>
      <c r="Q7" s="717"/>
      <c r="R7" s="717"/>
      <c r="S7" s="717"/>
      <c r="T7" s="717"/>
      <c r="U7" s="717"/>
      <c r="V7" s="717"/>
      <c r="W7" s="717"/>
      <c r="X7" s="717"/>
      <c r="Y7" s="717"/>
      <c r="Z7" s="717"/>
      <c r="AA7" s="717"/>
      <c r="AB7" s="717"/>
      <c r="AC7" s="718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E9" s="504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40" zoomScaleNormal="40" zoomScaleSheetLayoutView="40" workbookViewId="0">
      <selection activeCell="L24" sqref="L24"/>
    </sheetView>
  </sheetViews>
  <sheetFormatPr defaultColWidth="9.140625" defaultRowHeight="12.75"/>
  <cols>
    <col min="1" max="1" width="1.7109375" style="429" customWidth="1"/>
    <col min="2" max="2" width="10.7109375" style="429" customWidth="1"/>
    <col min="3" max="3" width="2.5703125" style="429" customWidth="1"/>
    <col min="4" max="20" width="9.140625" style="429"/>
    <col min="21" max="21" width="14.5703125" style="429" customWidth="1"/>
    <col min="22" max="22" width="3.140625" style="429" customWidth="1"/>
    <col min="23" max="26" width="9.140625" style="429"/>
    <col min="27" max="27" width="2.85546875" style="429" customWidth="1"/>
    <col min="28" max="30" width="4.7109375" style="429" customWidth="1"/>
    <col min="31" max="31" width="1.7109375" style="429" customWidth="1"/>
    <col min="32" max="16384" width="9.140625" style="429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4" t="s">
        <v>1530</v>
      </c>
      <c r="D3" s="714"/>
      <c r="E3" s="714"/>
      <c r="F3" s="714"/>
      <c r="G3" s="714"/>
      <c r="H3" s="714"/>
      <c r="I3" s="714"/>
      <c r="J3" s="714"/>
      <c r="K3" s="714"/>
      <c r="L3" s="714"/>
      <c r="M3" s="714"/>
      <c r="N3" s="714"/>
      <c r="O3" s="714"/>
      <c r="P3" s="714"/>
      <c r="Q3" s="714"/>
      <c r="R3" s="714"/>
      <c r="S3" s="714"/>
      <c r="T3" s="714"/>
      <c r="U3" s="714"/>
      <c r="V3" s="714"/>
      <c r="W3" s="182"/>
      <c r="X3" s="440"/>
      <c r="Y3" s="440"/>
      <c r="Z3" s="440"/>
      <c r="AA3" s="440"/>
      <c r="AB3" s="440"/>
      <c r="AC3" s="430"/>
    </row>
    <row r="4" spans="1:29" ht="18.75" customHeight="1">
      <c r="A4" s="181"/>
      <c r="C4" s="714"/>
      <c r="D4" s="714"/>
      <c r="E4" s="714"/>
      <c r="F4" s="714"/>
      <c r="G4" s="714"/>
      <c r="H4" s="714"/>
      <c r="I4" s="714"/>
      <c r="J4" s="714"/>
      <c r="K4" s="714"/>
      <c r="L4" s="714"/>
      <c r="M4" s="714"/>
      <c r="N4" s="714"/>
      <c r="O4" s="714"/>
      <c r="P4" s="714"/>
      <c r="Q4" s="714"/>
      <c r="R4" s="714"/>
      <c r="S4" s="714"/>
      <c r="T4" s="714"/>
      <c r="U4" s="714"/>
      <c r="V4" s="714"/>
      <c r="W4" s="182"/>
      <c r="X4" s="440"/>
      <c r="Y4" s="440"/>
      <c r="Z4" s="440"/>
      <c r="AA4" s="440"/>
      <c r="AB4" s="440"/>
      <c r="AC4" s="430"/>
    </row>
    <row r="5" spans="1:29" ht="12.75" customHeight="1">
      <c r="A5" s="181"/>
      <c r="C5" s="431"/>
      <c r="W5" s="182"/>
    </row>
    <row r="6" spans="1:29" ht="12.75" customHeight="1">
      <c r="A6" s="181"/>
      <c r="C6" s="719" t="str">
        <f>GAMBAR!E7</f>
        <v>KOORDINAT : -6.858227, 110.787909</v>
      </c>
      <c r="D6" s="719"/>
      <c r="E6" s="719"/>
      <c r="F6" s="719"/>
      <c r="G6" s="719"/>
      <c r="H6" s="719"/>
      <c r="I6" s="719"/>
      <c r="J6" s="719"/>
      <c r="K6" s="719"/>
      <c r="L6" s="719"/>
      <c r="M6" s="719"/>
      <c r="W6" s="182"/>
      <c r="Y6" s="432"/>
      <c r="Z6" s="432"/>
      <c r="AA6" s="432"/>
      <c r="AB6" s="433"/>
      <c r="AC6" s="433"/>
    </row>
    <row r="7" spans="1:29" ht="18" customHeight="1">
      <c r="A7" s="181"/>
      <c r="C7" s="719"/>
      <c r="D7" s="719"/>
      <c r="E7" s="719"/>
      <c r="F7" s="719"/>
      <c r="G7" s="719"/>
      <c r="H7" s="719"/>
      <c r="I7" s="719"/>
      <c r="J7" s="719"/>
      <c r="K7" s="719"/>
      <c r="L7" s="719"/>
      <c r="M7" s="719"/>
      <c r="W7" s="182"/>
      <c r="Y7" s="432"/>
      <c r="Z7" s="432"/>
      <c r="AA7" s="432"/>
      <c r="AB7" s="433"/>
      <c r="AC7" s="433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4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5"/>
      <c r="S54" s="435"/>
      <c r="T54" s="435"/>
      <c r="U54" s="436"/>
      <c r="V54" s="436"/>
      <c r="W54" s="183"/>
      <c r="X54" s="436"/>
      <c r="Y54" s="436"/>
      <c r="Z54" s="436"/>
      <c r="AA54" s="436"/>
      <c r="AB54" s="436"/>
      <c r="AC54" s="436"/>
      <c r="AD54" s="436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41"/>
      <c r="S55" s="442"/>
      <c r="T55" s="442"/>
      <c r="U55" s="186"/>
      <c r="V55" s="187"/>
      <c r="W55" s="188"/>
      <c r="X55" s="436"/>
      <c r="Y55" s="436"/>
      <c r="Z55" s="436"/>
      <c r="AA55" s="437"/>
      <c r="AB55" s="437"/>
      <c r="AC55" s="437"/>
      <c r="AD55" s="437"/>
    </row>
    <row r="56" spans="1:30">
      <c r="U56" s="436"/>
      <c r="V56" s="437"/>
      <c r="W56" s="436"/>
      <c r="X56" s="436"/>
      <c r="Y56" s="436"/>
      <c r="Z56" s="436"/>
      <c r="AA56" s="437"/>
      <c r="AB56" s="436"/>
      <c r="AC56" s="436"/>
      <c r="AD56" s="436"/>
    </row>
    <row r="57" spans="1:30">
      <c r="U57" s="436"/>
      <c r="V57" s="437"/>
      <c r="W57" s="436"/>
      <c r="X57" s="436"/>
      <c r="Y57" s="436"/>
      <c r="Z57" s="436"/>
      <c r="AA57" s="436"/>
      <c r="AB57" s="436"/>
      <c r="AC57" s="436"/>
      <c r="AD57" s="436"/>
    </row>
    <row r="58" spans="1:30">
      <c r="U58" s="436"/>
      <c r="V58" s="437"/>
      <c r="W58" s="436"/>
      <c r="X58" s="436"/>
      <c r="Y58" s="436"/>
      <c r="Z58" s="436"/>
      <c r="AA58" s="436"/>
      <c r="AB58" s="436"/>
      <c r="AC58" s="436"/>
      <c r="AD58" s="436"/>
    </row>
    <row r="59" spans="1:30">
      <c r="U59" s="436"/>
      <c r="V59" s="437"/>
      <c r="W59" s="436"/>
      <c r="X59" s="436"/>
      <c r="Y59" s="436"/>
      <c r="Z59" s="436"/>
      <c r="AA59" s="436"/>
      <c r="AB59" s="436"/>
      <c r="AC59" s="436"/>
      <c r="AD59" s="436"/>
    </row>
    <row r="60" spans="1:30">
      <c r="U60" s="436"/>
      <c r="V60" s="437"/>
      <c r="W60" s="436"/>
      <c r="X60" s="436"/>
      <c r="Y60" s="436"/>
      <c r="Z60" s="436"/>
      <c r="AA60" s="437"/>
      <c r="AB60" s="436"/>
      <c r="AC60" s="436"/>
      <c r="AD60" s="436"/>
    </row>
    <row r="61" spans="1:30">
      <c r="U61" s="436"/>
      <c r="V61" s="437"/>
      <c r="W61" s="436"/>
      <c r="X61" s="436"/>
      <c r="Y61" s="436"/>
      <c r="Z61" s="436"/>
      <c r="AA61" s="436"/>
      <c r="AB61" s="436"/>
      <c r="AC61" s="436"/>
      <c r="AD61" s="436"/>
    </row>
    <row r="62" spans="1:30">
      <c r="U62" s="436"/>
      <c r="V62" s="437"/>
      <c r="W62" s="436"/>
      <c r="X62" s="436"/>
      <c r="Y62" s="436"/>
      <c r="Z62" s="436"/>
      <c r="AA62" s="436"/>
      <c r="AB62" s="436"/>
      <c r="AC62" s="436"/>
      <c r="AD62" s="436"/>
    </row>
    <row r="63" spans="1:30">
      <c r="U63" s="436"/>
      <c r="V63" s="437"/>
      <c r="W63" s="436"/>
      <c r="X63" s="436"/>
      <c r="Y63" s="436"/>
      <c r="Z63" s="436"/>
      <c r="AA63" s="436"/>
      <c r="AB63" s="436"/>
      <c r="AC63" s="436"/>
      <c r="AD63" s="436"/>
    </row>
    <row r="64" spans="1:30">
      <c r="U64" s="436"/>
      <c r="V64" s="437"/>
      <c r="W64" s="436"/>
      <c r="X64" s="436"/>
      <c r="Y64" s="436"/>
      <c r="Z64" s="436"/>
      <c r="AA64" s="436"/>
      <c r="AB64" s="436"/>
      <c r="AC64" s="436"/>
      <c r="AD64" s="436"/>
    </row>
    <row r="65" spans="5:30">
      <c r="U65" s="436"/>
      <c r="V65" s="437"/>
      <c r="W65" s="436"/>
      <c r="X65" s="436"/>
      <c r="Y65" s="436"/>
      <c r="Z65" s="436"/>
      <c r="AA65" s="436"/>
      <c r="AB65" s="436"/>
      <c r="AC65" s="436"/>
      <c r="AD65" s="436"/>
    </row>
    <row r="66" spans="5:30" ht="6" customHeight="1"/>
    <row r="73" spans="5:30">
      <c r="M73" s="438"/>
    </row>
    <row r="74" spans="5:30" ht="15" customHeight="1">
      <c r="E74" s="439"/>
      <c r="M74" s="438"/>
    </row>
    <row r="75" spans="5:30" ht="15" customHeight="1">
      <c r="E75" s="439"/>
      <c r="M75" s="438"/>
    </row>
    <row r="76" spans="5:30" ht="15" customHeight="1">
      <c r="E76" s="439"/>
      <c r="M76" s="438"/>
    </row>
    <row r="77" spans="5:30" ht="15" customHeight="1">
      <c r="E77" s="439"/>
      <c r="M77" s="438"/>
    </row>
    <row r="78" spans="5:30" ht="15" customHeight="1">
      <c r="E78" s="439"/>
      <c r="M78" s="438"/>
    </row>
    <row r="79" spans="5:30" ht="15" customHeight="1">
      <c r="E79" s="439"/>
      <c r="M79" s="438"/>
    </row>
    <row r="80" spans="5:30" ht="15" customHeight="1">
      <c r="E80" s="439"/>
      <c r="M80" s="438"/>
    </row>
    <row r="81" spans="5:13" ht="15" customHeight="1">
      <c r="E81" s="439"/>
      <c r="M81" s="438"/>
    </row>
    <row r="82" spans="5:13" ht="15" customHeight="1">
      <c r="E82" s="439"/>
      <c r="M82" s="438"/>
    </row>
    <row r="83" spans="5:13" ht="15" customHeight="1">
      <c r="E83" s="439"/>
      <c r="M83" s="438"/>
    </row>
    <row r="84" spans="5:13" ht="15" customHeight="1">
      <c r="E84" s="439"/>
      <c r="M84" s="438"/>
    </row>
    <row r="85" spans="5:13" ht="15" customHeight="1">
      <c r="E85" s="439"/>
      <c r="M85" s="438"/>
    </row>
    <row r="86" spans="5:13" ht="15" customHeight="1">
      <c r="E86" s="439"/>
      <c r="M86" s="438"/>
    </row>
    <row r="87" spans="5:13" ht="15" customHeight="1">
      <c r="E87" s="439"/>
      <c r="M87" s="438"/>
    </row>
    <row r="88" spans="5:13" ht="15" customHeight="1">
      <c r="E88" s="439"/>
      <c r="M88" s="438"/>
    </row>
    <row r="89" spans="5:13" ht="15" customHeight="1">
      <c r="E89" s="439"/>
      <c r="M89" s="438"/>
    </row>
    <row r="90" spans="5:13" ht="15" customHeight="1">
      <c r="E90" s="439"/>
      <c r="M90" s="438"/>
    </row>
    <row r="91" spans="5:13" ht="15" customHeight="1">
      <c r="E91" s="439"/>
      <c r="M91" s="438"/>
    </row>
    <row r="92" spans="5:13" ht="15" customHeight="1">
      <c r="E92" s="439"/>
      <c r="M92" s="438"/>
    </row>
    <row r="93" spans="5:13" ht="15" customHeight="1">
      <c r="E93" s="439"/>
      <c r="M93" s="438"/>
    </row>
    <row r="94" spans="5:13" ht="15" customHeight="1">
      <c r="E94" s="439"/>
      <c r="M94" s="438"/>
    </row>
    <row r="95" spans="5:13" ht="15" customHeight="1">
      <c r="E95" s="439"/>
      <c r="M95" s="438"/>
    </row>
    <row r="96" spans="5:13" ht="15" customHeight="1">
      <c r="E96" s="439"/>
    </row>
    <row r="97" spans="5:5" ht="15" customHeight="1">
      <c r="E97" s="439"/>
    </row>
    <row r="98" spans="5:5" ht="15" customHeight="1">
      <c r="E98" s="439"/>
    </row>
    <row r="99" spans="5:5" ht="15" customHeight="1">
      <c r="E99" s="439"/>
    </row>
    <row r="100" spans="5:5" ht="15" customHeight="1">
      <c r="E100" s="439"/>
    </row>
    <row r="101" spans="5:5" ht="15" customHeight="1">
      <c r="E101" s="439"/>
    </row>
    <row r="102" spans="5:5" ht="15" customHeight="1">
      <c r="E102" s="439"/>
    </row>
    <row r="103" spans="5:5" ht="15" customHeight="1">
      <c r="E103" s="439"/>
    </row>
    <row r="104" spans="5:5" ht="15" customHeight="1">
      <c r="E104" s="439"/>
    </row>
    <row r="105" spans="5:5" ht="15" customHeight="1">
      <c r="E105" s="439"/>
    </row>
    <row r="106" spans="5:5" ht="15" customHeight="1">
      <c r="E106" s="439"/>
    </row>
    <row r="107" spans="5:5" ht="15" customHeight="1">
      <c r="E107" s="439"/>
    </row>
    <row r="108" spans="5:5" ht="15" customHeight="1">
      <c r="E108" s="439"/>
    </row>
    <row r="109" spans="5:5" ht="15" customHeight="1">
      <c r="E109" s="439"/>
    </row>
    <row r="110" spans="5:5" ht="15" customHeight="1">
      <c r="E110" s="439"/>
    </row>
    <row r="111" spans="5:5" ht="15" customHeight="1">
      <c r="E111" s="439"/>
    </row>
    <row r="112" spans="5:5" ht="15" customHeight="1">
      <c r="E112" s="439"/>
    </row>
    <row r="113" spans="5:5" ht="15" customHeight="1">
      <c r="E113" s="439"/>
    </row>
    <row r="114" spans="5:5" ht="15" customHeight="1">
      <c r="E114" s="439"/>
    </row>
    <row r="115" spans="5:5" ht="15" customHeight="1">
      <c r="E115" s="439"/>
    </row>
    <row r="116" spans="5:5" ht="15" customHeight="1">
      <c r="E116" s="439"/>
    </row>
    <row r="117" spans="5:5" ht="15" customHeight="1">
      <c r="E117" s="439"/>
    </row>
    <row r="118" spans="5:5" ht="15" customHeight="1">
      <c r="E118" s="439"/>
    </row>
    <row r="119" spans="5:5" ht="15" customHeight="1">
      <c r="E119" s="439"/>
    </row>
    <row r="120" spans="5:5">
      <c r="E120" s="439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61">
        <v>1</v>
      </c>
    </row>
    <row r="2" spans="1:11" ht="48" customHeight="1">
      <c r="A2" s="461">
        <v>3</v>
      </c>
    </row>
    <row r="4" spans="1:11" ht="48" customHeight="1">
      <c r="C4" s="461">
        <v>1</v>
      </c>
    </row>
    <row r="5" spans="1:11" ht="48" customHeight="1">
      <c r="C5" s="461">
        <v>3</v>
      </c>
    </row>
    <row r="7" spans="1:11" ht="48" customHeight="1">
      <c r="E7" s="461">
        <v>1</v>
      </c>
    </row>
    <row r="8" spans="1:11" ht="48" customHeight="1">
      <c r="E8" s="461">
        <v>3</v>
      </c>
    </row>
    <row r="10" spans="1:11" ht="48" customHeight="1">
      <c r="G10" s="461">
        <v>3</v>
      </c>
    </row>
    <row r="11" spans="1:11" ht="48" customHeight="1">
      <c r="G11" s="461">
        <v>1</v>
      </c>
    </row>
    <row r="13" spans="1:11" ht="48" customHeight="1">
      <c r="I13" s="461">
        <v>3</v>
      </c>
    </row>
    <row r="14" spans="1:11" ht="48" customHeight="1">
      <c r="I14" s="461">
        <v>1</v>
      </c>
    </row>
    <row r="16" spans="1:11" ht="48" customHeight="1">
      <c r="K16" s="461">
        <v>3</v>
      </c>
    </row>
    <row r="17" spans="11:21" ht="48" customHeight="1">
      <c r="K17" s="461">
        <v>1</v>
      </c>
    </row>
    <row r="19" spans="11:21" ht="48" customHeight="1">
      <c r="M19" s="461">
        <v>3</v>
      </c>
    </row>
    <row r="20" spans="11:21" ht="48" customHeight="1">
      <c r="M20" s="461">
        <v>1</v>
      </c>
    </row>
    <row r="22" spans="11:21" ht="48" customHeight="1">
      <c r="O22" s="461">
        <v>3</v>
      </c>
    </row>
    <row r="23" spans="11:21" ht="48" customHeight="1">
      <c r="O23" s="461">
        <v>1</v>
      </c>
    </row>
    <row r="25" spans="11:21" ht="57" customHeight="1">
      <c r="Q25" s="461">
        <v>3</v>
      </c>
    </row>
    <row r="26" spans="11:21" ht="57" customHeight="1">
      <c r="Q26" s="461">
        <v>1</v>
      </c>
    </row>
    <row r="28" spans="11:21" ht="57" customHeight="1">
      <c r="S28" s="461">
        <v>3</v>
      </c>
    </row>
    <row r="29" spans="11:21" ht="57" customHeight="1">
      <c r="S29" s="461">
        <v>1</v>
      </c>
    </row>
    <row r="31" spans="11:21" ht="57" customHeight="1">
      <c r="U31" s="461">
        <v>3</v>
      </c>
    </row>
    <row r="32" spans="11:21" ht="57" customHeight="1">
      <c r="U32" s="461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2023-08-03T08:59:33Z</cp:lastPrinted>
  <dcterms:created xsi:type="dcterms:W3CDTF">2011-02-06T11:57:38Z</dcterms:created>
  <dcterms:modified xsi:type="dcterms:W3CDTF">2023-08-03T08:59:59Z</dcterms:modified>
</cp:coreProperties>
</file>