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PERSETUJUAN UP3\39. 14-09-2023\13 Sept\13 Sept\"/>
    </mc:Choice>
  </mc:AlternateContent>
  <xr:revisionPtr revIDLastSave="0" documentId="13_ncr:1_{300854A9-E145-4840-A59D-3D38F902C151}" xr6:coauthVersionLast="47" xr6:coauthVersionMax="47" xr10:uidLastSave="{00000000-0000-0000-0000-000000000000}"/>
  <bookViews>
    <workbookView xWindow="-120" yWindow="-120" windowWidth="24240" windowHeight="1314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MDU'!$B$14:$K$167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RAB!$A$1:$K$98</definedName>
    <definedName name="_xlnm.Print_Area" localSheetId="0">'REKAP MATERIAL'!$A$1:$H$41</definedName>
    <definedName name="_xlnm.Print_Area" localSheetId="2">'REKAP MDU'!$A$1:$K$183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6" i="11" l="1"/>
  <c r="F65" i="11"/>
  <c r="F64" i="11"/>
  <c r="F63" i="11"/>
  <c r="F58" i="11"/>
  <c r="F57" i="11"/>
  <c r="F56" i="11"/>
  <c r="F55" i="11"/>
  <c r="F54" i="11"/>
  <c r="F53" i="11"/>
  <c r="F52" i="11"/>
  <c r="F51" i="11"/>
  <c r="F50" i="11"/>
  <c r="D51" i="11"/>
  <c r="H51" i="11" s="1"/>
  <c r="E51" i="11"/>
  <c r="D52" i="11"/>
  <c r="J52" i="11" s="1"/>
  <c r="E52" i="11"/>
  <c r="D53" i="11"/>
  <c r="H53" i="11" s="1"/>
  <c r="E53" i="11"/>
  <c r="D54" i="11"/>
  <c r="J54" i="11" s="1"/>
  <c r="E54" i="11"/>
  <c r="D55" i="11"/>
  <c r="J55" i="11" s="1"/>
  <c r="E55" i="11"/>
  <c r="D56" i="11"/>
  <c r="J56" i="11" s="1"/>
  <c r="E56" i="11"/>
  <c r="D57" i="11"/>
  <c r="J57" i="11" s="1"/>
  <c r="E57" i="11"/>
  <c r="D58" i="11"/>
  <c r="H58" i="11" s="1"/>
  <c r="E58" i="11"/>
  <c r="D59" i="11"/>
  <c r="H59" i="11" s="1"/>
  <c r="E59" i="11"/>
  <c r="G59" i="11"/>
  <c r="D60" i="11"/>
  <c r="J60" i="11" s="1"/>
  <c r="E60" i="11"/>
  <c r="G60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29" i="11"/>
  <c r="D27" i="11"/>
  <c r="H27" i="11" s="1"/>
  <c r="E27" i="11"/>
  <c r="G27" i="11"/>
  <c r="D28" i="11"/>
  <c r="J28" i="11" s="1"/>
  <c r="E28" i="11"/>
  <c r="G28" i="11"/>
  <c r="D29" i="11"/>
  <c r="J29" i="11" s="1"/>
  <c r="E29" i="11"/>
  <c r="D30" i="11"/>
  <c r="H30" i="11" s="1"/>
  <c r="E30" i="11"/>
  <c r="G30" i="11"/>
  <c r="D31" i="11"/>
  <c r="E31" i="11"/>
  <c r="D32" i="11"/>
  <c r="J32" i="11" s="1"/>
  <c r="E32" i="11"/>
  <c r="D33" i="11"/>
  <c r="J33" i="11" s="1"/>
  <c r="E33" i="11"/>
  <c r="D34" i="11"/>
  <c r="E34" i="11"/>
  <c r="D35" i="11"/>
  <c r="H35" i="11" s="1"/>
  <c r="E35" i="11"/>
  <c r="D36" i="11"/>
  <c r="J36" i="11" s="1"/>
  <c r="E36" i="11"/>
  <c r="D37" i="11"/>
  <c r="H37" i="11" s="1"/>
  <c r="E37" i="11"/>
  <c r="D38" i="11"/>
  <c r="H38" i="11" s="1"/>
  <c r="E38" i="11"/>
  <c r="D39" i="11"/>
  <c r="H39" i="11" s="1"/>
  <c r="E39" i="11"/>
  <c r="D40" i="11"/>
  <c r="J40" i="11" s="1"/>
  <c r="E40" i="11"/>
  <c r="D41" i="11"/>
  <c r="H41" i="11" s="1"/>
  <c r="E41" i="11"/>
  <c r="D42" i="11"/>
  <c r="H42" i="11" s="1"/>
  <c r="E42" i="11"/>
  <c r="D43" i="11"/>
  <c r="H43" i="11" s="1"/>
  <c r="E43" i="11"/>
  <c r="D44" i="11"/>
  <c r="J44" i="11" s="1"/>
  <c r="E44" i="11"/>
  <c r="D45" i="11"/>
  <c r="H45" i="11" s="1"/>
  <c r="E45" i="11"/>
  <c r="D46" i="11"/>
  <c r="H46" i="11" s="1"/>
  <c r="E46" i="11"/>
  <c r="D47" i="11"/>
  <c r="E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D26" i="11"/>
  <c r="J26" i="11" s="1"/>
  <c r="E26" i="11"/>
  <c r="G26" i="11"/>
  <c r="J59" i="11" l="1"/>
  <c r="I60" i="11"/>
  <c r="H55" i="11"/>
  <c r="I59" i="11"/>
  <c r="J51" i="11"/>
  <c r="J39" i="11"/>
  <c r="J27" i="11"/>
  <c r="H57" i="11"/>
  <c r="H54" i="11"/>
  <c r="J53" i="11"/>
  <c r="I58" i="11"/>
  <c r="J38" i="11"/>
  <c r="I29" i="11"/>
  <c r="H60" i="11"/>
  <c r="H56" i="11"/>
  <c r="H52" i="11"/>
  <c r="I32" i="11"/>
  <c r="J31" i="11"/>
  <c r="I33" i="11"/>
  <c r="J43" i="11"/>
  <c r="J35" i="11"/>
  <c r="J49" i="11"/>
  <c r="I31" i="11"/>
  <c r="I28" i="11"/>
  <c r="I27" i="11"/>
  <c r="I49" i="11"/>
  <c r="J45" i="11"/>
  <c r="H47" i="11"/>
  <c r="I47" i="11"/>
  <c r="J41" i="11"/>
  <c r="J37" i="11"/>
  <c r="I48" i="11"/>
  <c r="I34" i="11"/>
  <c r="I30" i="11"/>
  <c r="J50" i="11"/>
  <c r="H48" i="11"/>
  <c r="J46" i="11"/>
  <c r="H44" i="11"/>
  <c r="J42" i="11"/>
  <c r="H40" i="11"/>
  <c r="H36" i="11"/>
  <c r="J34" i="11"/>
  <c r="J30" i="11"/>
  <c r="H28" i="11"/>
  <c r="H26" i="11"/>
  <c r="I26" i="11"/>
  <c r="K30" i="11" l="1"/>
  <c r="K60" i="11"/>
  <c r="K48" i="11"/>
  <c r="K49" i="11"/>
  <c r="K59" i="11"/>
  <c r="K27" i="11"/>
  <c r="K28" i="11"/>
  <c r="K26" i="11"/>
  <c r="F75" i="11" l="1"/>
  <c r="F74" i="11"/>
  <c r="F73" i="11"/>
  <c r="F72" i="11"/>
  <c r="F71" i="11"/>
  <c r="F70" i="11"/>
  <c r="F69" i="11"/>
  <c r="D68" i="11" l="1"/>
  <c r="J68" i="11" s="1"/>
  <c r="E68" i="11"/>
  <c r="G68" i="11"/>
  <c r="D69" i="11"/>
  <c r="J69" i="11" s="1"/>
  <c r="E69" i="11"/>
  <c r="D70" i="11"/>
  <c r="H70" i="11" s="1"/>
  <c r="E70" i="11"/>
  <c r="D71" i="11"/>
  <c r="H71" i="11" s="1"/>
  <c r="E71" i="11"/>
  <c r="D72" i="11"/>
  <c r="J72" i="11" s="1"/>
  <c r="E72" i="11"/>
  <c r="D73" i="11"/>
  <c r="J73" i="11" s="1"/>
  <c r="E73" i="11"/>
  <c r="D74" i="11"/>
  <c r="H74" i="11" s="1"/>
  <c r="E74" i="11"/>
  <c r="D75" i="11"/>
  <c r="H75" i="11" s="1"/>
  <c r="E75" i="11"/>
  <c r="D76" i="11"/>
  <c r="J76" i="11" s="1"/>
  <c r="E76" i="11"/>
  <c r="G76" i="11"/>
  <c r="D77" i="11"/>
  <c r="J77" i="11" s="1"/>
  <c r="E77" i="11"/>
  <c r="G77" i="11"/>
  <c r="D61" i="11"/>
  <c r="J61" i="11" s="1"/>
  <c r="E61" i="11"/>
  <c r="G61" i="11"/>
  <c r="G25" i="11"/>
  <c r="D25" i="11"/>
  <c r="H25" i="11" s="1"/>
  <c r="E25" i="11"/>
  <c r="F24" i="11"/>
  <c r="F23" i="11"/>
  <c r="F22" i="11"/>
  <c r="F21" i="11"/>
  <c r="F20" i="11"/>
  <c r="D21" i="59"/>
  <c r="K6" i="60"/>
  <c r="D79" i="11"/>
  <c r="J79" i="11" s="1"/>
  <c r="E79" i="11"/>
  <c r="G79" i="11"/>
  <c r="D62" i="11"/>
  <c r="H62" i="11" s="1"/>
  <c r="E62" i="11"/>
  <c r="G62" i="11"/>
  <c r="D63" i="11"/>
  <c r="E63" i="11"/>
  <c r="D64" i="11"/>
  <c r="J64" i="11" s="1"/>
  <c r="E64" i="11"/>
  <c r="D65" i="11"/>
  <c r="J65" i="11" s="1"/>
  <c r="E65" i="11"/>
  <c r="D66" i="11"/>
  <c r="E66" i="11"/>
  <c r="D18" i="11"/>
  <c r="H18" i="11" s="1"/>
  <c r="E18" i="11"/>
  <c r="G18" i="11"/>
  <c r="D19" i="11"/>
  <c r="J19" i="11" s="1"/>
  <c r="E19" i="11"/>
  <c r="G19" i="11"/>
  <c r="D20" i="11"/>
  <c r="H20" i="11" s="1"/>
  <c r="E20" i="11"/>
  <c r="D21" i="11"/>
  <c r="H21" i="11" s="1"/>
  <c r="E21" i="11"/>
  <c r="D22" i="11"/>
  <c r="J22" i="11" s="1"/>
  <c r="E22" i="11"/>
  <c r="D23" i="11"/>
  <c r="H23" i="11" s="1"/>
  <c r="E23" i="11"/>
  <c r="D24" i="11"/>
  <c r="H24" i="11" s="1"/>
  <c r="E24" i="11"/>
  <c r="I76" i="11" l="1"/>
  <c r="J75" i="11"/>
  <c r="I68" i="11"/>
  <c r="J74" i="11"/>
  <c r="H72" i="11"/>
  <c r="J71" i="11"/>
  <c r="J70" i="11"/>
  <c r="H68" i="11"/>
  <c r="H76" i="11"/>
  <c r="I77" i="11"/>
  <c r="H77" i="11"/>
  <c r="H73" i="11"/>
  <c r="H69" i="11"/>
  <c r="H61" i="11"/>
  <c r="I61" i="11"/>
  <c r="I25" i="11"/>
  <c r="J25" i="11"/>
  <c r="I79" i="11"/>
  <c r="H79" i="11"/>
  <c r="I64" i="11"/>
  <c r="H66" i="11"/>
  <c r="I66" i="11"/>
  <c r="I62" i="11"/>
  <c r="J62" i="11"/>
  <c r="I65" i="11"/>
  <c r="H63" i="11"/>
  <c r="J63" i="11"/>
  <c r="J23" i="11"/>
  <c r="J18" i="11"/>
  <c r="J21" i="11"/>
  <c r="I24" i="11"/>
  <c r="J20" i="11"/>
  <c r="I19" i="11"/>
  <c r="I18" i="11"/>
  <c r="H19" i="11"/>
  <c r="H22" i="11"/>
  <c r="K76" i="11" l="1"/>
  <c r="K68" i="11"/>
  <c r="K77" i="11"/>
  <c r="K61" i="11"/>
  <c r="K25" i="11"/>
  <c r="K79" i="11"/>
  <c r="K62" i="11"/>
  <c r="K18" i="11"/>
  <c r="K19" i="11"/>
  <c r="D15" i="11" l="1"/>
  <c r="H15" i="11" s="1"/>
  <c r="E15" i="11"/>
  <c r="G15" i="11"/>
  <c r="D16" i="11"/>
  <c r="J16" i="11" s="1"/>
  <c r="E16" i="11"/>
  <c r="G16" i="11"/>
  <c r="D17" i="11"/>
  <c r="J17" i="11" s="1"/>
  <c r="E17" i="11"/>
  <c r="G17" i="11"/>
  <c r="D16" i="60"/>
  <c r="J15" i="11" l="1"/>
  <c r="I15" i="11"/>
  <c r="I17" i="11"/>
  <c r="I16" i="11"/>
  <c r="H17" i="11"/>
  <c r="H16" i="11"/>
  <c r="K15" i="11" l="1"/>
  <c r="K17" i="11"/>
  <c r="K16" i="1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17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8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0" i="11"/>
  <c r="D81" i="11"/>
  <c r="H81" i="11" s="1"/>
  <c r="E8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L202" i="10" s="1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N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N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N840" i="10" s="1"/>
  <c r="K840" i="10"/>
  <c r="M840" i="10" s="1"/>
  <c r="O840" i="10"/>
  <c r="P840" i="10" s="1"/>
  <c r="J841" i="10"/>
  <c r="L841" i="10" s="1"/>
  <c r="K841" i="10"/>
  <c r="M841" i="10" s="1"/>
  <c r="N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N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N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N861" i="10" s="1"/>
  <c r="K861" i="10"/>
  <c r="M861" i="10" s="1"/>
  <c r="O861" i="10"/>
  <c r="P861" i="10" s="1"/>
  <c r="J862" i="10"/>
  <c r="L862" i="10" s="1"/>
  <c r="K862" i="10"/>
  <c r="M862" i="10" s="1"/>
  <c r="N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N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N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N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N902" i="10" s="1"/>
  <c r="K902" i="10"/>
  <c r="M902" i="10" s="1"/>
  <c r="O902" i="10"/>
  <c r="P902" i="10" s="1"/>
  <c r="J903" i="10"/>
  <c r="L903" i="10" s="1"/>
  <c r="K903" i="10"/>
  <c r="M903" i="10" s="1"/>
  <c r="N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N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N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N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N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N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N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N959" i="10" s="1"/>
  <c r="K959" i="10"/>
  <c r="M959" i="10" s="1"/>
  <c r="O959" i="10"/>
  <c r="P959" i="10" s="1"/>
  <c r="J960" i="10"/>
  <c r="L960" i="10" s="1"/>
  <c r="K960" i="10"/>
  <c r="M960" i="10" s="1"/>
  <c r="N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N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N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N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N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N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N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N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N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N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N1124" i="10" s="1"/>
  <c r="O1124" i="10"/>
  <c r="P1124" i="10" s="1"/>
  <c r="J1125" i="10"/>
  <c r="L1125" i="10" s="1"/>
  <c r="N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N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N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N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N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N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N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N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N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N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N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N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N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N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N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N1325" i="10" s="1"/>
  <c r="O1325" i="10"/>
  <c r="P1325" i="10" s="1"/>
  <c r="J1326" i="10"/>
  <c r="L1326" i="10" s="1"/>
  <c r="K1326" i="10"/>
  <c r="M1326" i="10" s="1"/>
  <c r="N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N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M1452" i="10" s="1"/>
  <c r="N1452" i="10" s="1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1070" i="10"/>
  <c r="N700" i="10"/>
  <c r="N775" i="10"/>
  <c r="N889" i="10"/>
  <c r="N965" i="10"/>
  <c r="N676" i="10"/>
  <c r="N824" i="10"/>
  <c r="N822" i="10"/>
  <c r="N723" i="10"/>
  <c r="N968" i="10"/>
  <c r="N751" i="10"/>
  <c r="N912" i="10"/>
  <c r="N970" i="10"/>
  <c r="N863" i="10"/>
  <c r="N838" i="10"/>
  <c r="N831" i="10"/>
  <c r="N664" i="10"/>
  <c r="N986" i="10"/>
  <c r="N922" i="10"/>
  <c r="N908" i="10"/>
  <c r="N892" i="10"/>
  <c r="N763" i="10"/>
  <c r="N645" i="10"/>
  <c r="N1085" i="10"/>
  <c r="N1053" i="10"/>
  <c r="N1045" i="10"/>
  <c r="N977" i="10"/>
  <c r="N937" i="10"/>
  <c r="N813" i="10"/>
  <c r="N925" i="10"/>
  <c r="N909" i="10"/>
  <c r="N896" i="10"/>
  <c r="N712" i="10"/>
  <c r="N689" i="10"/>
  <c r="N693" i="10"/>
  <c r="N668" i="10"/>
  <c r="N649" i="10"/>
  <c r="L207" i="10"/>
  <c r="O7" i="10"/>
  <c r="G9" i="39"/>
  <c r="G6" i="39"/>
  <c r="C2" i="41"/>
  <c r="J7" i="10"/>
  <c r="L112" i="10"/>
  <c r="K7" i="10"/>
  <c r="M7" i="10" s="1"/>
  <c r="L172" i="10"/>
  <c r="L201" i="10"/>
  <c r="L177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55" i="11" s="1"/>
  <c r="I55" i="11" s="1"/>
  <c r="K55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G20" i="11" s="1"/>
  <c r="I20" i="11" s="1"/>
  <c r="I430" i="10"/>
  <c r="G54" i="11" s="1"/>
  <c r="I54" i="11" s="1"/>
  <c r="K54" i="11" s="1"/>
  <c r="I446" i="10"/>
  <c r="I462" i="10"/>
  <c r="I478" i="10"/>
  <c r="I494" i="10"/>
  <c r="I510" i="10"/>
  <c r="I526" i="10"/>
  <c r="G46" i="11" s="1"/>
  <c r="I46" i="11" s="1"/>
  <c r="K46" i="11" s="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37" i="11" s="1"/>
  <c r="I37" i="11" s="1"/>
  <c r="K37" i="11" s="1"/>
  <c r="I401" i="10"/>
  <c r="I423" i="10"/>
  <c r="I444" i="10"/>
  <c r="G42" i="11" s="1"/>
  <c r="I42" i="11" s="1"/>
  <c r="K42" i="11" s="1"/>
  <c r="I465" i="10"/>
  <c r="I487" i="10"/>
  <c r="G44" i="11" s="1"/>
  <c r="I44" i="11" s="1"/>
  <c r="K44" i="11" s="1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G50" i="11" s="1"/>
  <c r="I50" i="11" s="1"/>
  <c r="K50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74" i="11" s="1"/>
  <c r="I74" i="11" s="1"/>
  <c r="K74" i="11" s="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G71" i="11" s="1"/>
  <c r="I71" i="11" s="1"/>
  <c r="K71" i="11" s="1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G70" i="11" s="1"/>
  <c r="I70" i="11" s="1"/>
  <c r="K70" i="11" s="1"/>
  <c r="I377" i="10"/>
  <c r="I402" i="10"/>
  <c r="G39" i="11" s="1"/>
  <c r="I39" i="11" s="1"/>
  <c r="K39" i="11" s="1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33" i="11" s="1"/>
  <c r="H33" i="11" s="1"/>
  <c r="K33" i="11" s="1"/>
  <c r="I203" i="10"/>
  <c r="I222" i="10"/>
  <c r="I248" i="10"/>
  <c r="I273" i="10"/>
  <c r="I302" i="10"/>
  <c r="I334" i="10"/>
  <c r="I360" i="10"/>
  <c r="I393" i="10"/>
  <c r="I436" i="10"/>
  <c r="G52" i="11" s="1"/>
  <c r="I52" i="11" s="1"/>
  <c r="K52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41" i="11" s="1"/>
  <c r="I41" i="11" s="1"/>
  <c r="K41" i="11" s="1"/>
  <c r="I437" i="10"/>
  <c r="I464" i="10"/>
  <c r="I496" i="10"/>
  <c r="I523" i="10"/>
  <c r="G45" i="11" s="1"/>
  <c r="I45" i="11" s="1"/>
  <c r="K45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G38" i="11" s="1"/>
  <c r="I38" i="11" s="1"/>
  <c r="K38" i="11" s="1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G29" i="11" s="1"/>
  <c r="H29" i="11" s="1"/>
  <c r="I164" i="10"/>
  <c r="I186" i="10"/>
  <c r="I220" i="10"/>
  <c r="G31" i="11" s="1"/>
  <c r="H31" i="11" s="1"/>
  <c r="K31" i="11" s="1"/>
  <c r="I242" i="10"/>
  <c r="I265" i="10"/>
  <c r="I299" i="10"/>
  <c r="I326" i="10"/>
  <c r="G75" i="11" s="1"/>
  <c r="I75" i="11" s="1"/>
  <c r="K75" i="11" s="1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G73" i="11" s="1"/>
  <c r="I73" i="11" s="1"/>
  <c r="K73" i="11" s="1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G24" i="11" s="1"/>
  <c r="J24" i="11" s="1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G72" i="11" s="1"/>
  <c r="I72" i="11" s="1"/>
  <c r="K72" i="11" s="1"/>
  <c r="I369" i="10"/>
  <c r="I410" i="10"/>
  <c r="G40" i="11" s="1"/>
  <c r="I40" i="11" s="1"/>
  <c r="K40" i="11" s="1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G53" i="11" s="1"/>
  <c r="I53" i="11" s="1"/>
  <c r="K53" i="11" s="1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G47" i="11" s="1"/>
  <c r="J47" i="11" s="1"/>
  <c r="K47" i="11" s="1"/>
  <c r="I1137" i="10"/>
  <c r="I1258" i="10"/>
  <c r="I1442" i="10"/>
  <c r="I773" i="10"/>
  <c r="I947" i="10"/>
  <c r="I1086" i="10"/>
  <c r="I1158" i="10"/>
  <c r="I1230" i="10"/>
  <c r="I1329" i="10"/>
  <c r="I79" i="10"/>
  <c r="I277" i="10"/>
  <c r="G36" i="11" s="1"/>
  <c r="I36" i="11" s="1"/>
  <c r="K36" i="11" s="1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G64" i="11" s="1"/>
  <c r="H64" i="11" s="1"/>
  <c r="K64" i="11" s="1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G69" i="11" s="1"/>
  <c r="I69" i="11" s="1"/>
  <c r="K69" i="11" s="1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G51" i="11" s="1"/>
  <c r="I51" i="11" s="1"/>
  <c r="K51" i="11" s="1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43" i="11" s="1"/>
  <c r="I43" i="11" s="1"/>
  <c r="K43" i="11" s="1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G35" i="11" s="1"/>
  <c r="I35" i="11" s="1"/>
  <c r="K35" i="11" s="1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G65" i="11" s="1"/>
  <c r="H65" i="11" s="1"/>
  <c r="K65" i="11" s="1"/>
  <c r="I291" i="10"/>
  <c r="I344" i="10"/>
  <c r="I415" i="10"/>
  <c r="I26" i="10"/>
  <c r="I115" i="10"/>
  <c r="I173" i="10"/>
  <c r="I308" i="10"/>
  <c r="I367" i="10"/>
  <c r="I421" i="10"/>
  <c r="I480" i="10"/>
  <c r="G21" i="11" s="1"/>
  <c r="I21" i="11" s="1"/>
  <c r="K21" i="11" s="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G63" i="11" s="1"/>
  <c r="I63" i="11" s="1"/>
  <c r="K63" i="11" s="1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G58" i="11" s="1"/>
  <c r="J58" i="11" s="1"/>
  <c r="K58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4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34" i="11" s="1"/>
  <c r="H34" i="11" s="1"/>
  <c r="K34" i="11" s="1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66" i="11" s="1"/>
  <c r="J66" i="11" s="1"/>
  <c r="K66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G32" i="11" s="1"/>
  <c r="H32" i="11" s="1"/>
  <c r="K32" i="11" s="1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8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66" i="11"/>
  <c r="L173" i="29"/>
  <c r="B172" i="29" s="1"/>
  <c r="L42" i="39"/>
  <c r="B41" i="39" s="1"/>
  <c r="L206" i="10"/>
  <c r="L129" i="10"/>
  <c r="L247" i="10"/>
  <c r="N1192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18" i="10"/>
  <c r="M1413" i="10"/>
  <c r="M222" i="10"/>
  <c r="M225" i="10"/>
  <c r="P80" i="10"/>
  <c r="N1298" i="10"/>
  <c r="N1096" i="10"/>
  <c r="G8" i="29"/>
  <c r="N1209" i="10"/>
  <c r="N1208" i="10"/>
  <c r="N1060" i="10"/>
  <c r="N1003" i="10"/>
  <c r="N1370" i="10"/>
  <c r="N1052" i="10"/>
  <c r="N1021" i="10"/>
  <c r="N961" i="10"/>
  <c r="N1292" i="10"/>
  <c r="N1213" i="10"/>
  <c r="N1177" i="10"/>
  <c r="N1108" i="10"/>
  <c r="N1029" i="10"/>
  <c r="N969" i="10"/>
  <c r="N923" i="10"/>
  <c r="N916" i="10"/>
  <c r="N887" i="10"/>
  <c r="N867" i="10"/>
  <c r="N835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882" i="10"/>
  <c r="N850" i="10"/>
  <c r="N844" i="10"/>
  <c r="N830" i="10"/>
  <c r="N829" i="10"/>
  <c r="N826" i="10"/>
  <c r="N934" i="10"/>
  <c r="N932" i="10"/>
  <c r="N931" i="10"/>
  <c r="N930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276" i="10"/>
  <c r="N1139" i="10"/>
  <c r="N1454" i="10"/>
  <c r="L86" i="10"/>
  <c r="N86" i="10" s="1"/>
  <c r="L45" i="10"/>
  <c r="L91" i="10"/>
  <c r="N91" i="10" s="1"/>
  <c r="N1164" i="10"/>
  <c r="N1144" i="10"/>
  <c r="N1041" i="10"/>
  <c r="N972" i="10"/>
  <c r="N851" i="10"/>
  <c r="N842" i="10"/>
  <c r="N1318" i="10"/>
  <c r="N1254" i="10"/>
  <c r="N1111" i="10"/>
  <c r="N1048" i="10"/>
  <c r="N871" i="10"/>
  <c r="N860" i="10"/>
  <c r="N818" i="10"/>
  <c r="N817" i="10"/>
  <c r="N812" i="10"/>
  <c r="N918" i="10"/>
  <c r="N917" i="10"/>
  <c r="N915" i="10"/>
  <c r="N885" i="10"/>
  <c r="N883" i="10"/>
  <c r="N843" i="10"/>
  <c r="N834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5" i="10"/>
  <c r="N998" i="10"/>
  <c r="N990" i="10"/>
  <c r="N980" i="10"/>
  <c r="N943" i="10"/>
  <c r="N936" i="10"/>
  <c r="N927" i="10"/>
  <c r="N904" i="10"/>
  <c r="N852" i="10"/>
  <c r="N836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296" i="10"/>
  <c r="N1158" i="10"/>
  <c r="N1157" i="10"/>
  <c r="N1141" i="10"/>
  <c r="N1140" i="10"/>
  <c r="N1137" i="10"/>
  <c r="N1136" i="10"/>
  <c r="N1135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121" i="10"/>
  <c r="N1297" i="10"/>
  <c r="N1173" i="10"/>
  <c r="N1272" i="10"/>
  <c r="N1223" i="10"/>
  <c r="N1128" i="10"/>
  <c r="N1064" i="10"/>
  <c r="N1049" i="10"/>
  <c r="N1294" i="10"/>
  <c r="N1293" i="10"/>
  <c r="N1236" i="10"/>
  <c r="N1216" i="10"/>
  <c r="N1204" i="10"/>
  <c r="N1138" i="10"/>
  <c r="N1110" i="10"/>
  <c r="N1076" i="10"/>
  <c r="N1002" i="10"/>
  <c r="N1257" i="10"/>
  <c r="N1240" i="10"/>
  <c r="N1159" i="10"/>
  <c r="N1035" i="10"/>
  <c r="N1034" i="10"/>
  <c r="N994" i="10"/>
  <c r="P10" i="10"/>
  <c r="P203" i="10"/>
  <c r="P198" i="10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G56" i="11" l="1"/>
  <c r="I56" i="11" s="1"/>
  <c r="K56" i="11" s="1"/>
  <c r="G23" i="11"/>
  <c r="I23" i="11" s="1"/>
  <c r="K23" i="11" s="1"/>
  <c r="K20" i="11"/>
  <c r="N1356" i="10"/>
  <c r="N1336" i="10"/>
  <c r="N1335" i="10"/>
  <c r="N1327" i="10"/>
  <c r="N1308" i="10"/>
  <c r="N1267" i="10"/>
  <c r="N1261" i="10"/>
  <c r="N1247" i="10"/>
  <c r="N1246" i="10"/>
  <c r="N1242" i="10"/>
  <c r="N1101" i="10"/>
  <c r="K24" i="11"/>
  <c r="J80" i="11"/>
  <c r="N1451" i="10"/>
  <c r="N108" i="10"/>
  <c r="K29" i="11"/>
  <c r="H80" i="11"/>
  <c r="G57" i="11"/>
  <c r="I57" i="11" s="1"/>
  <c r="K57" i="11" s="1"/>
  <c r="G22" i="11"/>
  <c r="I22" i="11" s="1"/>
  <c r="K22" i="11" s="1"/>
  <c r="N1431" i="10"/>
  <c r="N1407" i="10"/>
  <c r="N1346" i="10"/>
  <c r="N1334" i="10"/>
  <c r="N1319" i="10"/>
  <c r="N1279" i="10"/>
  <c r="N1268" i="10"/>
  <c r="N1260" i="10"/>
  <c r="N1245" i="10"/>
  <c r="N1241" i="10"/>
  <c r="N1227" i="10"/>
  <c r="N1167" i="10"/>
  <c r="N1119" i="10"/>
  <c r="N928" i="10"/>
  <c r="N1218" i="10"/>
  <c r="N1214" i="10"/>
  <c r="N1211" i="10"/>
  <c r="N1210" i="10"/>
  <c r="N1207" i="10"/>
  <c r="N1174" i="10"/>
  <c r="N1113" i="10"/>
  <c r="N1112" i="10"/>
  <c r="N1109" i="10"/>
  <c r="N1103" i="10"/>
  <c r="N1091" i="10"/>
  <c r="N1090" i="10"/>
  <c r="N1086" i="10"/>
  <c r="N1083" i="10"/>
  <c r="N1079" i="10"/>
  <c r="N1071" i="10"/>
  <c r="N1063" i="10"/>
  <c r="N1059" i="10"/>
  <c r="N1054" i="10"/>
  <c r="N1051" i="10"/>
  <c r="N1050" i="10"/>
  <c r="N1046" i="10"/>
  <c r="N1043" i="10"/>
  <c r="N1000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1" i="10"/>
  <c r="N940" i="10"/>
  <c r="N906" i="10"/>
  <c r="N905" i="10"/>
  <c r="N901" i="10"/>
  <c r="N897" i="10"/>
  <c r="N894" i="10"/>
  <c r="N893" i="10"/>
  <c r="N890" i="10"/>
  <c r="N886" i="10"/>
  <c r="N880" i="10"/>
  <c r="N877" i="10"/>
  <c r="N876" i="10"/>
  <c r="N873" i="10"/>
  <c r="N872" i="10"/>
  <c r="N869" i="10"/>
  <c r="N868" i="10"/>
  <c r="N865" i="10"/>
  <c r="N864" i="10"/>
  <c r="N848" i="10"/>
  <c r="N806" i="10"/>
  <c r="N802" i="10"/>
  <c r="N798" i="10"/>
  <c r="N770" i="10"/>
  <c r="N706" i="10"/>
  <c r="N122" i="10"/>
  <c r="L31" i="10"/>
  <c r="N31" i="10" s="1"/>
  <c r="L90" i="10"/>
  <c r="N90" i="10" s="1"/>
  <c r="N799" i="10"/>
  <c r="N704" i="10"/>
  <c r="N699" i="10"/>
  <c r="N698" i="10"/>
  <c r="K14" i="29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7" i="29"/>
  <c r="D277" i="29" s="1"/>
  <c r="F277" i="29" s="1"/>
  <c r="N1435" i="10"/>
  <c r="C314" i="29"/>
  <c r="D314" i="29" s="1"/>
  <c r="C257" i="29"/>
  <c r="D257" i="29" s="1"/>
  <c r="E257" i="29" s="1"/>
  <c r="C248" i="29"/>
  <c r="D248" i="29" s="1"/>
  <c r="F248" i="29" s="1"/>
  <c r="C272" i="29"/>
  <c r="D272" i="29" s="1"/>
  <c r="E272" i="29" s="1"/>
  <c r="C309" i="29"/>
  <c r="D309" i="29" s="1"/>
  <c r="E309" i="29" s="1"/>
  <c r="C274" i="29"/>
  <c r="D274" i="29" s="1"/>
  <c r="F274" i="29" s="1"/>
  <c r="C246" i="29"/>
  <c r="D246" i="29" s="1"/>
  <c r="F246" i="29" s="1"/>
  <c r="C290" i="29"/>
  <c r="D290" i="29" s="1"/>
  <c r="E290" i="29" s="1"/>
  <c r="C285" i="29"/>
  <c r="D285" i="29" s="1"/>
  <c r="E285" i="29" s="1"/>
  <c r="C267" i="29"/>
  <c r="D267" i="29" s="1"/>
  <c r="E267" i="29" s="1"/>
  <c r="C269" i="29"/>
  <c r="D269" i="29" s="1"/>
  <c r="F269" i="29" s="1"/>
  <c r="C303" i="29"/>
  <c r="D303" i="29" s="1"/>
  <c r="E303" i="29" s="1"/>
  <c r="N9" i="10"/>
  <c r="C229" i="29"/>
  <c r="D229" i="29" s="1"/>
  <c r="E229" i="29" s="1"/>
  <c r="C300" i="29"/>
  <c r="D300" i="29" s="1"/>
  <c r="F300" i="29" s="1"/>
  <c r="C317" i="29"/>
  <c r="D317" i="29" s="1"/>
  <c r="E317" i="29" s="1"/>
  <c r="C251" i="29"/>
  <c r="D251" i="29" s="1"/>
  <c r="E251" i="29" s="1"/>
  <c r="C262" i="29"/>
  <c r="D262" i="29" s="1"/>
  <c r="F262" i="29" s="1"/>
  <c r="C265" i="29"/>
  <c r="D265" i="29" s="1"/>
  <c r="F265" i="29" s="1"/>
  <c r="C271" i="29"/>
  <c r="D271" i="29" s="1"/>
  <c r="E271" i="29" s="1"/>
  <c r="C299" i="29"/>
  <c r="D299" i="29" s="1"/>
  <c r="E299" i="29" s="1"/>
  <c r="C294" i="29"/>
  <c r="D294" i="29" s="1"/>
  <c r="E294" i="29" s="1"/>
  <c r="C252" i="29"/>
  <c r="D252" i="29" s="1"/>
  <c r="F252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1" i="11"/>
  <c r="I81" i="11"/>
  <c r="I80" i="11" l="1"/>
  <c r="C295" i="29"/>
  <c r="D295" i="29" s="1"/>
  <c r="E295" i="29" s="1"/>
  <c r="K80" i="11"/>
  <c r="C247" i="29"/>
  <c r="D247" i="29" s="1"/>
  <c r="E247" i="29" s="1"/>
  <c r="C237" i="29"/>
  <c r="D237" i="29" s="1"/>
  <c r="F237" i="29" s="1"/>
  <c r="C236" i="29"/>
  <c r="D236" i="29" s="1"/>
  <c r="E236" i="29" s="1"/>
  <c r="C318" i="29"/>
  <c r="D318" i="29" s="1"/>
  <c r="E318" i="29" s="1"/>
  <c r="C297" i="29"/>
  <c r="D297" i="29" s="1"/>
  <c r="E297" i="29" s="1"/>
  <c r="C315" i="29"/>
  <c r="D315" i="29" s="1"/>
  <c r="E315" i="29" s="1"/>
  <c r="C278" i="29"/>
  <c r="D278" i="29" s="1"/>
  <c r="F278" i="29" s="1"/>
  <c r="C244" i="29"/>
  <c r="D244" i="29" s="1"/>
  <c r="F244" i="29" s="1"/>
  <c r="C268" i="29"/>
  <c r="D268" i="29" s="1"/>
  <c r="F268" i="29" s="1"/>
  <c r="C228" i="29"/>
  <c r="D228" i="29" s="1"/>
  <c r="F228" i="29" s="1"/>
  <c r="C280" i="29"/>
  <c r="D280" i="29" s="1"/>
  <c r="E280" i="29" s="1"/>
  <c r="C255" i="29"/>
  <c r="D255" i="29" s="1"/>
  <c r="E255" i="29" s="1"/>
  <c r="C245" i="29"/>
  <c r="D245" i="29" s="1"/>
  <c r="E245" i="29" s="1"/>
  <c r="C281" i="29"/>
  <c r="D281" i="29" s="1"/>
  <c r="F281" i="29" s="1"/>
  <c r="C301" i="29"/>
  <c r="D301" i="29" s="1"/>
  <c r="F301" i="29" s="1"/>
  <c r="C286" i="29"/>
  <c r="D286" i="29" s="1"/>
  <c r="F286" i="29" s="1"/>
  <c r="C293" i="29"/>
  <c r="D293" i="29" s="1"/>
  <c r="E293" i="29" s="1"/>
  <c r="C275" i="29"/>
  <c r="D275" i="29" s="1"/>
  <c r="E275" i="29" s="1"/>
  <c r="C325" i="29"/>
  <c r="D325" i="29" s="1"/>
  <c r="F325" i="29" s="1"/>
  <c r="C264" i="29"/>
  <c r="D264" i="29" s="1"/>
  <c r="E264" i="29" s="1"/>
  <c r="C288" i="29"/>
  <c r="D288" i="29" s="1"/>
  <c r="E288" i="29" s="1"/>
  <c r="C279" i="29"/>
  <c r="D279" i="29" s="1"/>
  <c r="E279" i="29" s="1"/>
  <c r="C276" i="29"/>
  <c r="D276" i="29" s="1"/>
  <c r="E276" i="29" s="1"/>
  <c r="C253" i="29"/>
  <c r="D253" i="29" s="1"/>
  <c r="F253" i="29" s="1"/>
  <c r="C316" i="29"/>
  <c r="D316" i="29" s="1"/>
  <c r="E316" i="29" s="1"/>
  <c r="C254" i="29"/>
  <c r="D254" i="29" s="1"/>
  <c r="E254" i="29" s="1"/>
  <c r="C291" i="29"/>
  <c r="D291" i="29" s="1"/>
  <c r="E291" i="29" s="1"/>
  <c r="C319" i="29"/>
  <c r="D319" i="29" s="1"/>
  <c r="E319" i="29" s="1"/>
  <c r="C310" i="29"/>
  <c r="D310" i="29" s="1"/>
  <c r="F310" i="29" s="1"/>
  <c r="C284" i="29"/>
  <c r="D284" i="29" s="1"/>
  <c r="E284" i="29" s="1"/>
  <c r="C241" i="29"/>
  <c r="D241" i="29" s="1"/>
  <c r="E241" i="29" s="1"/>
  <c r="C282" i="29"/>
  <c r="D282" i="29" s="1"/>
  <c r="F282" i="29" s="1"/>
  <c r="C250" i="29"/>
  <c r="D250" i="29" s="1"/>
  <c r="E250" i="29" s="1"/>
  <c r="C304" i="29"/>
  <c r="D304" i="29" s="1"/>
  <c r="E304" i="29" s="1"/>
  <c r="C322" i="29"/>
  <c r="D322" i="29" s="1"/>
  <c r="F322" i="29" s="1"/>
  <c r="C230" i="29"/>
  <c r="D230" i="29" s="1"/>
  <c r="E230" i="29" s="1"/>
  <c r="C287" i="29"/>
  <c r="D287" i="29" s="1"/>
  <c r="E287" i="29" s="1"/>
  <c r="C235" i="29"/>
  <c r="D235" i="29" s="1"/>
  <c r="E235" i="29" s="1"/>
  <c r="C283" i="29"/>
  <c r="D283" i="29" s="1"/>
  <c r="F283" i="29" s="1"/>
  <c r="C266" i="29"/>
  <c r="D266" i="29" s="1"/>
  <c r="F266" i="29" s="1"/>
  <c r="C306" i="29"/>
  <c r="D306" i="29" s="1"/>
  <c r="E306" i="29" s="1"/>
  <c r="C261" i="29"/>
  <c r="D261" i="29" s="1"/>
  <c r="F261" i="29" s="1"/>
  <c r="C305" i="29"/>
  <c r="D305" i="29" s="1"/>
  <c r="E305" i="29" s="1"/>
  <c r="C312" i="29"/>
  <c r="D312" i="29" s="1"/>
  <c r="F312" i="29" s="1"/>
  <c r="C240" i="29"/>
  <c r="D240" i="29" s="1"/>
  <c r="E240" i="29" s="1"/>
  <c r="C234" i="29"/>
  <c r="D234" i="29" s="1"/>
  <c r="E234" i="29" s="1"/>
  <c r="C289" i="29"/>
  <c r="D289" i="29" s="1"/>
  <c r="F289" i="29" s="1"/>
  <c r="C233" i="29"/>
  <c r="D233" i="29" s="1"/>
  <c r="E233" i="29" s="1"/>
  <c r="C307" i="29"/>
  <c r="D307" i="29" s="1"/>
  <c r="F307" i="29" s="1"/>
  <c r="C311" i="29"/>
  <c r="D311" i="29" s="1"/>
  <c r="E311" i="29" s="1"/>
  <c r="A10" i="54"/>
  <c r="O9" i="54"/>
  <c r="C324" i="29"/>
  <c r="D324" i="29" s="1"/>
  <c r="E324" i="29" s="1"/>
  <c r="C61" i="39"/>
  <c r="D61" i="39" s="1"/>
  <c r="E61" i="39" s="1"/>
  <c r="C323" i="29"/>
  <c r="D323" i="29" s="1"/>
  <c r="E323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4" i="29"/>
  <c r="D344" i="29" s="1"/>
  <c r="E344" i="29" s="1"/>
  <c r="C238" i="29"/>
  <c r="D238" i="29" s="1"/>
  <c r="C243" i="29"/>
  <c r="D243" i="29" s="1"/>
  <c r="C273" i="29"/>
  <c r="D273" i="29" s="1"/>
  <c r="C308" i="29"/>
  <c r="D308" i="29" s="1"/>
  <c r="C259" i="29"/>
  <c r="D259" i="29" s="1"/>
  <c r="C313" i="29"/>
  <c r="D313" i="29" s="1"/>
  <c r="E313" i="29" s="1"/>
  <c r="C242" i="29"/>
  <c r="D242" i="29" s="1"/>
  <c r="C249" i="29"/>
  <c r="D249" i="29" s="1"/>
  <c r="C296" i="29"/>
  <c r="D296" i="29" s="1"/>
  <c r="C298" i="29"/>
  <c r="D298" i="29" s="1"/>
  <c r="C232" i="29"/>
  <c r="D232" i="29" s="1"/>
  <c r="C320" i="29"/>
  <c r="D320" i="29" s="1"/>
  <c r="N8" i="10"/>
  <c r="C270" i="29"/>
  <c r="D270" i="29" s="1"/>
  <c r="C225" i="29"/>
  <c r="D225" i="29" s="1"/>
  <c r="E225" i="29" s="1"/>
  <c r="C256" i="29"/>
  <c r="D256" i="29" s="1"/>
  <c r="C239" i="29"/>
  <c r="D239" i="29" s="1"/>
  <c r="C258" i="29"/>
  <c r="D258" i="29" s="1"/>
  <c r="C292" i="29"/>
  <c r="D292" i="29" s="1"/>
  <c r="C226" i="29"/>
  <c r="D226" i="29" s="1"/>
  <c r="C260" i="29"/>
  <c r="D260" i="29" s="1"/>
  <c r="C227" i="29"/>
  <c r="D227" i="29" s="1"/>
  <c r="C302" i="29"/>
  <c r="D302" i="29" s="1"/>
  <c r="C263" i="29"/>
  <c r="D263" i="29" s="1"/>
  <c r="C231" i="29"/>
  <c r="D231" i="29" s="1"/>
  <c r="C321" i="29"/>
  <c r="D321" i="29" s="1"/>
  <c r="E314" i="29"/>
  <c r="E248" i="29"/>
  <c r="F303" i="29"/>
  <c r="F285" i="29"/>
  <c r="F267" i="29"/>
  <c r="E246" i="29"/>
  <c r="F295" i="29"/>
  <c r="F290" i="29"/>
  <c r="E300" i="29"/>
  <c r="E269" i="29"/>
  <c r="E274" i="29"/>
  <c r="E237" i="29"/>
  <c r="F309" i="29"/>
  <c r="E228" i="29"/>
  <c r="F294" i="29"/>
  <c r="E265" i="29"/>
  <c r="E262" i="29"/>
  <c r="F271" i="29"/>
  <c r="E277" i="29"/>
  <c r="F257" i="29"/>
  <c r="E252" i="29"/>
  <c r="F251" i="29"/>
  <c r="F299" i="29"/>
  <c r="F272" i="29"/>
  <c r="F279" i="29"/>
  <c r="C353" i="29"/>
  <c r="D353" i="29" s="1"/>
  <c r="C335" i="29"/>
  <c r="D335" i="29" s="1"/>
  <c r="E335" i="29" s="1"/>
  <c r="C342" i="29"/>
  <c r="D342" i="29" s="1"/>
  <c r="C354" i="29"/>
  <c r="D354" i="29" s="1"/>
  <c r="C329" i="29"/>
  <c r="D329" i="29" s="1"/>
  <c r="E329" i="29" s="1"/>
  <c r="C366" i="29"/>
  <c r="D366" i="29" s="1"/>
  <c r="E366" i="29" s="1"/>
  <c r="C351" i="29"/>
  <c r="D351" i="29" s="1"/>
  <c r="C327" i="29"/>
  <c r="D327" i="29" s="1"/>
  <c r="C338" i="29"/>
  <c r="D338" i="29" s="1"/>
  <c r="E338" i="29" s="1"/>
  <c r="C62" i="39"/>
  <c r="D62" i="39" s="1"/>
  <c r="C65" i="39"/>
  <c r="D65" i="39" s="1"/>
  <c r="E65" i="39" s="1"/>
  <c r="C332" i="29"/>
  <c r="D332" i="29" s="1"/>
  <c r="E332" i="29" s="1"/>
  <c r="C365" i="29"/>
  <c r="D365" i="29" s="1"/>
  <c r="C714" i="41"/>
  <c r="D714" i="41" s="1"/>
  <c r="E714" i="41" s="1"/>
  <c r="C340" i="29"/>
  <c r="D340" i="29" s="1"/>
  <c r="C330" i="29"/>
  <c r="D330" i="29" s="1"/>
  <c r="C374" i="29"/>
  <c r="D374" i="29" s="1"/>
  <c r="E374" i="29" s="1"/>
  <c r="C370" i="29"/>
  <c r="D370" i="29" s="1"/>
  <c r="E370" i="29" s="1"/>
  <c r="C373" i="29"/>
  <c r="D373" i="29" s="1"/>
  <c r="E373" i="29" s="1"/>
  <c r="C67" i="39"/>
  <c r="D67" i="39" s="1"/>
  <c r="E67" i="39" s="1"/>
  <c r="C73" i="39"/>
  <c r="D73" i="39" s="1"/>
  <c r="E73" i="39" s="1"/>
  <c r="N144" i="10"/>
  <c r="C364" i="29"/>
  <c r="D364" i="29" s="1"/>
  <c r="E364" i="29" s="1"/>
  <c r="C347" i="29"/>
  <c r="D347" i="29" s="1"/>
  <c r="E347" i="29" s="1"/>
  <c r="C359" i="29"/>
  <c r="D359" i="29" s="1"/>
  <c r="C372" i="29"/>
  <c r="D372" i="29" s="1"/>
  <c r="E372" i="29" s="1"/>
  <c r="C352" i="29"/>
  <c r="D352" i="29" s="1"/>
  <c r="C341" i="29"/>
  <c r="D341" i="29" s="1"/>
  <c r="C360" i="29"/>
  <c r="D360" i="29" s="1"/>
  <c r="C331" i="29"/>
  <c r="D331" i="29" s="1"/>
  <c r="E331" i="29" s="1"/>
  <c r="C357" i="29"/>
  <c r="D357" i="29" s="1"/>
  <c r="C356" i="29"/>
  <c r="D356" i="29" s="1"/>
  <c r="C334" i="29"/>
  <c r="D334" i="29" s="1"/>
  <c r="E334" i="29" s="1"/>
  <c r="C361" i="29"/>
  <c r="D361" i="29" s="1"/>
  <c r="C367" i="29"/>
  <c r="D367" i="29" s="1"/>
  <c r="E367" i="29" s="1"/>
  <c r="C336" i="29"/>
  <c r="D336" i="29" s="1"/>
  <c r="C345" i="29"/>
  <c r="D345" i="29" s="1"/>
  <c r="C368" i="29"/>
  <c r="D368" i="29" s="1"/>
  <c r="E368" i="29" s="1"/>
  <c r="C348" i="29"/>
  <c r="D348" i="29" s="1"/>
  <c r="C349" i="29"/>
  <c r="D349" i="29" s="1"/>
  <c r="E349" i="29" s="1"/>
  <c r="C363" i="29"/>
  <c r="D363" i="29" s="1"/>
  <c r="E363" i="29" s="1"/>
  <c r="C326" i="29"/>
  <c r="D326" i="29" s="1"/>
  <c r="E326" i="29" s="1"/>
  <c r="C343" i="29"/>
  <c r="D343" i="29" s="1"/>
  <c r="C339" i="29"/>
  <c r="D339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3" i="29"/>
  <c r="D333" i="29" s="1"/>
  <c r="C371" i="29"/>
  <c r="D371" i="29" s="1"/>
  <c r="E371" i="29" s="1"/>
  <c r="C358" i="29"/>
  <c r="D358" i="29" s="1"/>
  <c r="C362" i="29"/>
  <c r="D362" i="29" s="1"/>
  <c r="E362" i="29" s="1"/>
  <c r="C337" i="29"/>
  <c r="D337" i="29" s="1"/>
  <c r="C350" i="29"/>
  <c r="D350" i="29" s="1"/>
  <c r="E350" i="29" s="1"/>
  <c r="C369" i="29"/>
  <c r="D369" i="29" s="1"/>
  <c r="E369" i="29" s="1"/>
  <c r="C328" i="29"/>
  <c r="D328" i="29" s="1"/>
  <c r="K6" i="10"/>
  <c r="C355" i="29"/>
  <c r="D355" i="29" s="1"/>
  <c r="C63" i="39"/>
  <c r="D63" i="39" s="1"/>
  <c r="E63" i="39" s="1"/>
  <c r="C71" i="39"/>
  <c r="D71" i="39" s="1"/>
  <c r="C346" i="29"/>
  <c r="D346" i="29" s="1"/>
  <c r="E346" i="29" s="1"/>
  <c r="F317" i="29"/>
  <c r="E8" i="54"/>
  <c r="L8" i="54" s="1"/>
  <c r="M8" i="54" s="1"/>
  <c r="I9" i="54"/>
  <c r="H9" i="54"/>
  <c r="C10" i="54"/>
  <c r="D9" i="54"/>
  <c r="K36" i="39"/>
  <c r="K81" i="11"/>
  <c r="E268" i="29" l="1"/>
  <c r="F247" i="29"/>
  <c r="F245" i="29"/>
  <c r="E310" i="29"/>
  <c r="F293" i="29"/>
  <c r="F275" i="29"/>
  <c r="E281" i="29"/>
  <c r="F316" i="29"/>
  <c r="F236" i="29"/>
  <c r="F225" i="29"/>
  <c r="E289" i="29"/>
  <c r="F250" i="29"/>
  <c r="E278" i="29"/>
  <c r="F276" i="29"/>
  <c r="E325" i="29"/>
  <c r="E322" i="29"/>
  <c r="F306" i="29"/>
  <c r="F287" i="29"/>
  <c r="F280" i="29"/>
  <c r="E301" i="29"/>
  <c r="E307" i="29"/>
  <c r="F241" i="29"/>
  <c r="E283" i="29"/>
  <c r="F305" i="29"/>
  <c r="F254" i="29"/>
  <c r="F311" i="29"/>
  <c r="F235" i="29"/>
  <c r="F255" i="29"/>
  <c r="E253" i="29"/>
  <c r="F319" i="29"/>
  <c r="F264" i="29"/>
  <c r="F318" i="29"/>
  <c r="F304" i="29"/>
  <c r="E286" i="29"/>
  <c r="F230" i="29"/>
  <c r="F233" i="29"/>
  <c r="E312" i="29"/>
  <c r="E282" i="29"/>
  <c r="F284" i="29"/>
  <c r="E261" i="29"/>
  <c r="E266" i="29"/>
  <c r="E244" i="29"/>
  <c r="F57" i="39"/>
  <c r="F61" i="39"/>
  <c r="A11" i="54"/>
  <c r="O10" i="54"/>
  <c r="F323" i="29"/>
  <c r="F344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9" i="29"/>
  <c r="E263" i="29"/>
  <c r="F263" i="29"/>
  <c r="F226" i="29"/>
  <c r="E226" i="29"/>
  <c r="E256" i="29"/>
  <c r="F256" i="29"/>
  <c r="F320" i="29"/>
  <c r="E320" i="29"/>
  <c r="E249" i="29"/>
  <c r="F249" i="29"/>
  <c r="E308" i="29"/>
  <c r="F308" i="29"/>
  <c r="E302" i="29"/>
  <c r="F302" i="29"/>
  <c r="E292" i="29"/>
  <c r="F292" i="29"/>
  <c r="F232" i="29"/>
  <c r="E232" i="29"/>
  <c r="F242" i="29"/>
  <c r="E242" i="29"/>
  <c r="F273" i="29"/>
  <c r="E273" i="29"/>
  <c r="E321" i="29"/>
  <c r="F321" i="29"/>
  <c r="E227" i="29"/>
  <c r="F258" i="29"/>
  <c r="E258" i="29"/>
  <c r="E270" i="29"/>
  <c r="F270" i="29"/>
  <c r="E298" i="29"/>
  <c r="F298" i="29"/>
  <c r="E243" i="29"/>
  <c r="F243" i="29"/>
  <c r="E231" i="29"/>
  <c r="E260" i="29"/>
  <c r="F260" i="29"/>
  <c r="E239" i="29"/>
  <c r="F239" i="29"/>
  <c r="E296" i="29"/>
  <c r="F296" i="29"/>
  <c r="E259" i="29"/>
  <c r="F259" i="29"/>
  <c r="E238" i="29"/>
  <c r="F238" i="29"/>
  <c r="F58" i="39"/>
  <c r="E58" i="39"/>
  <c r="F60" i="39" s="1"/>
  <c r="H83" i="11"/>
  <c r="H84" i="11" s="1"/>
  <c r="I83" i="11"/>
  <c r="I84" i="11" s="1"/>
  <c r="F338" i="29"/>
  <c r="F331" i="29"/>
  <c r="F326" i="29"/>
  <c r="F714" i="41"/>
  <c r="F346" i="29"/>
  <c r="E337" i="29"/>
  <c r="E71" i="39"/>
  <c r="E64" i="39"/>
  <c r="F334" i="29"/>
  <c r="E357" i="29"/>
  <c r="F357" i="29"/>
  <c r="E340" i="29"/>
  <c r="F340" i="29"/>
  <c r="E358" i="29"/>
  <c r="F358" i="29"/>
  <c r="E70" i="39"/>
  <c r="E343" i="29"/>
  <c r="F343" i="29"/>
  <c r="E348" i="29"/>
  <c r="E352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3" i="29"/>
  <c r="E345" i="29"/>
  <c r="E360" i="29"/>
  <c r="F360" i="29"/>
  <c r="F359" i="29"/>
  <c r="E359" i="29"/>
  <c r="E365" i="29"/>
  <c r="F355" i="29"/>
  <c r="E355" i="29"/>
  <c r="F361" i="29"/>
  <c r="E361" i="29"/>
  <c r="E327" i="29"/>
  <c r="F327" i="29" s="1"/>
  <c r="E354" i="29"/>
  <c r="F354" i="29"/>
  <c r="E351" i="29"/>
  <c r="F351" i="29"/>
  <c r="F342" i="29"/>
  <c r="E342" i="29"/>
  <c r="E328" i="29"/>
  <c r="E339" i="29"/>
  <c r="E336" i="29"/>
  <c r="E356" i="29"/>
  <c r="F341" i="29"/>
  <c r="E341" i="29"/>
  <c r="E330" i="29"/>
  <c r="E62" i="39"/>
  <c r="F62" i="39"/>
  <c r="F353" i="29"/>
  <c r="E353" i="29"/>
  <c r="E9" i="54"/>
  <c r="L9" i="54" s="1"/>
  <c r="M9" i="54" s="1"/>
  <c r="I10" i="54"/>
  <c r="H10" i="54"/>
  <c r="C11" i="54"/>
  <c r="D10" i="54"/>
  <c r="C17" i="29" l="1"/>
  <c r="F17" i="29"/>
  <c r="F288" i="29"/>
  <c r="F314" i="29"/>
  <c r="F229" i="29"/>
  <c r="F291" i="29"/>
  <c r="F231" i="29"/>
  <c r="F356" i="29"/>
  <c r="F297" i="29"/>
  <c r="F65" i="39"/>
  <c r="F362" i="29"/>
  <c r="F328" i="29"/>
  <c r="F315" i="29"/>
  <c r="F337" i="29"/>
  <c r="F335" i="29"/>
  <c r="F36" i="39"/>
  <c r="F227" i="29"/>
  <c r="F240" i="29"/>
  <c r="F347" i="29"/>
  <c r="F352" i="29"/>
  <c r="F324" i="29"/>
  <c r="A12" i="54"/>
  <c r="O11" i="54"/>
  <c r="F348" i="29"/>
  <c r="F234" i="29"/>
  <c r="F313" i="29"/>
  <c r="H85" i="11"/>
  <c r="I85" i="11"/>
  <c r="F365" i="29"/>
  <c r="F69" i="39"/>
  <c r="F72" i="39"/>
  <c r="F368" i="29"/>
  <c r="F369" i="29"/>
  <c r="F64" i="39"/>
  <c r="F76" i="39"/>
  <c r="F364" i="29"/>
  <c r="F363" i="29"/>
  <c r="F73" i="39"/>
  <c r="F370" i="29"/>
  <c r="F75" i="39"/>
  <c r="F67" i="39"/>
  <c r="F63" i="39"/>
  <c r="F71" i="39"/>
  <c r="F367" i="29"/>
  <c r="F74" i="39"/>
  <c r="F373" i="29"/>
  <c r="F68" i="39"/>
  <c r="F70" i="39"/>
  <c r="F374" i="29"/>
  <c r="F366" i="29"/>
  <c r="F371" i="29"/>
  <c r="F372" i="29"/>
  <c r="F66" i="39"/>
  <c r="F333" i="29"/>
  <c r="F336" i="29"/>
  <c r="F350" i="29"/>
  <c r="F349" i="29"/>
  <c r="F332" i="29"/>
  <c r="F345" i="29"/>
  <c r="F339" i="29"/>
  <c r="F330" i="29"/>
  <c r="M6" i="10"/>
  <c r="N10" i="10"/>
  <c r="H11" i="54"/>
  <c r="I11" i="54"/>
  <c r="E10" i="54"/>
  <c r="D11" i="54"/>
  <c r="C12" i="54"/>
  <c r="D17" i="29" l="1"/>
  <c r="E17" i="29"/>
  <c r="G17" i="29"/>
  <c r="F25" i="29"/>
  <c r="C24" i="29"/>
  <c r="F24" i="29"/>
  <c r="C25" i="29"/>
  <c r="C16" i="29"/>
  <c r="D16" i="29" s="1"/>
  <c r="I16" i="29" s="1"/>
  <c r="K83" i="11"/>
  <c r="K84" i="11" s="1"/>
  <c r="F16" i="29"/>
  <c r="F17" i="39"/>
  <c r="C16" i="39"/>
  <c r="D16" i="39" s="1"/>
  <c r="J16" i="39" s="1"/>
  <c r="F16" i="39"/>
  <c r="C17" i="39"/>
  <c r="G17" i="39" s="1"/>
  <c r="A13" i="54"/>
  <c r="O12" i="54"/>
  <c r="C18" i="29"/>
  <c r="B18" i="29" s="1"/>
  <c r="F19" i="29"/>
  <c r="F18" i="29"/>
  <c r="C19" i="29"/>
  <c r="J83" i="11"/>
  <c r="J8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1" i="29"/>
  <c r="F20" i="29"/>
  <c r="C20" i="29"/>
  <c r="B20" i="29" s="1"/>
  <c r="C21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6" i="29"/>
  <c r="C132" i="29"/>
  <c r="C36" i="29"/>
  <c r="C78" i="29"/>
  <c r="F133" i="29"/>
  <c r="C100" i="29"/>
  <c r="C38" i="29"/>
  <c r="C77" i="29"/>
  <c r="C83" i="29"/>
  <c r="C158" i="29"/>
  <c r="C150" i="29"/>
  <c r="F36" i="29"/>
  <c r="F125" i="29"/>
  <c r="C53" i="29"/>
  <c r="C70" i="29"/>
  <c r="F30" i="29"/>
  <c r="C129" i="29"/>
  <c r="F150" i="29"/>
  <c r="C28" i="29"/>
  <c r="C124" i="29"/>
  <c r="C55" i="29"/>
  <c r="C54" i="29"/>
  <c r="F126" i="29"/>
  <c r="C80" i="29"/>
  <c r="F83" i="29"/>
  <c r="C93" i="29"/>
  <c r="C41" i="29"/>
  <c r="F59" i="29"/>
  <c r="F65" i="29"/>
  <c r="F74" i="29"/>
  <c r="C117" i="29"/>
  <c r="F138" i="29"/>
  <c r="F121" i="29"/>
  <c r="C126" i="29"/>
  <c r="F97" i="29"/>
  <c r="F98" i="29"/>
  <c r="C143" i="29"/>
  <c r="C160" i="29"/>
  <c r="C118" i="29"/>
  <c r="C47" i="29"/>
  <c r="F100" i="29"/>
  <c r="F39" i="29"/>
  <c r="F84" i="29"/>
  <c r="C60" i="29"/>
  <c r="C152" i="29"/>
  <c r="F153" i="29"/>
  <c r="C91" i="29"/>
  <c r="F88" i="29"/>
  <c r="C139" i="29"/>
  <c r="C157" i="29"/>
  <c r="C31" i="29"/>
  <c r="F139" i="29"/>
  <c r="C76" i="29"/>
  <c r="F50" i="29"/>
  <c r="C163" i="29"/>
  <c r="F113" i="29"/>
  <c r="C131" i="29"/>
  <c r="F89" i="29"/>
  <c r="F141" i="29"/>
  <c r="C48" i="29"/>
  <c r="C39" i="29"/>
  <c r="C99" i="29"/>
  <c r="F62" i="29"/>
  <c r="C30" i="29"/>
  <c r="C44" i="29"/>
  <c r="F103" i="29"/>
  <c r="F155" i="29"/>
  <c r="C34" i="29"/>
  <c r="F52" i="29"/>
  <c r="F123" i="29"/>
  <c r="C37" i="29"/>
  <c r="C108" i="29"/>
  <c r="C130" i="29"/>
  <c r="C33" i="29"/>
  <c r="F79" i="29"/>
  <c r="F71" i="29"/>
  <c r="F26" i="29"/>
  <c r="C146" i="29"/>
  <c r="C114" i="29"/>
  <c r="C94" i="29"/>
  <c r="F99" i="29"/>
  <c r="F47" i="29"/>
  <c r="C136" i="29"/>
  <c r="C119" i="29"/>
  <c r="C59" i="29"/>
  <c r="C111" i="29"/>
  <c r="C155" i="29"/>
  <c r="F64" i="29"/>
  <c r="F144" i="29"/>
  <c r="C81" i="29"/>
  <c r="F147" i="29"/>
  <c r="F76" i="29"/>
  <c r="F80" i="29"/>
  <c r="C109" i="29"/>
  <c r="C102" i="29"/>
  <c r="F87" i="29"/>
  <c r="C29" i="29"/>
  <c r="C84" i="29"/>
  <c r="F60" i="29"/>
  <c r="C165" i="29"/>
  <c r="F69" i="29"/>
  <c r="C153" i="29"/>
  <c r="F130" i="29"/>
  <c r="C75" i="29"/>
  <c r="F22" i="29"/>
  <c r="C116" i="29"/>
  <c r="F33" i="29"/>
  <c r="C127" i="29"/>
  <c r="F108" i="29"/>
  <c r="C51" i="29"/>
  <c r="F31" i="29"/>
  <c r="F57" i="29"/>
  <c r="C101" i="29"/>
  <c r="F136" i="29"/>
  <c r="F165" i="29"/>
  <c r="F106" i="29"/>
  <c r="C72" i="29"/>
  <c r="C104" i="29"/>
  <c r="C22" i="29"/>
  <c r="B22" i="29" s="1"/>
  <c r="F55" i="29"/>
  <c r="C87" i="29"/>
  <c r="C67" i="29"/>
  <c r="F68" i="29"/>
  <c r="C134" i="29"/>
  <c r="C50" i="29"/>
  <c r="C26" i="29"/>
  <c r="C159" i="29"/>
  <c r="F85" i="29"/>
  <c r="C90" i="29"/>
  <c r="F93" i="29"/>
  <c r="F152" i="29"/>
  <c r="C147" i="29"/>
  <c r="F23" i="29"/>
  <c r="F105" i="29"/>
  <c r="F134" i="29"/>
  <c r="F42" i="29"/>
  <c r="C23" i="29"/>
  <c r="C137" i="29"/>
  <c r="C64" i="29"/>
  <c r="C58" i="29"/>
  <c r="C166" i="29"/>
  <c r="C45" i="29"/>
  <c r="C151" i="29"/>
  <c r="C52" i="29"/>
  <c r="C32" i="29"/>
  <c r="F111" i="29"/>
  <c r="F63" i="29"/>
  <c r="F114" i="29"/>
  <c r="C85" i="29"/>
  <c r="F146" i="29"/>
  <c r="C49" i="29"/>
  <c r="C121" i="29"/>
  <c r="F43" i="29"/>
  <c r="C103" i="29"/>
  <c r="F127" i="29"/>
  <c r="C71" i="29"/>
  <c r="F96" i="29"/>
  <c r="F117" i="29"/>
  <c r="F128" i="29"/>
  <c r="F122" i="29"/>
  <c r="C162" i="29"/>
  <c r="C138" i="29"/>
  <c r="F157" i="29"/>
  <c r="C96" i="29"/>
  <c r="C123" i="29"/>
  <c r="C74" i="29"/>
  <c r="F166" i="29"/>
  <c r="C97" i="29"/>
  <c r="F46" i="29"/>
  <c r="C112" i="29"/>
  <c r="F61" i="29"/>
  <c r="C135" i="29"/>
  <c r="F92" i="29"/>
  <c r="F86" i="29"/>
  <c r="F78" i="29"/>
  <c r="C95" i="29"/>
  <c r="F95" i="29"/>
  <c r="F32" i="29"/>
  <c r="C115" i="29"/>
  <c r="F102" i="29"/>
  <c r="F35" i="29"/>
  <c r="C69" i="29"/>
  <c r="C66" i="29"/>
  <c r="F115" i="29"/>
  <c r="F164" i="29"/>
  <c r="C82" i="29"/>
  <c r="C79" i="29"/>
  <c r="C42" i="29"/>
  <c r="F119" i="29"/>
  <c r="F159" i="29"/>
  <c r="F154" i="29"/>
  <c r="F142" i="29"/>
  <c r="F124" i="29"/>
  <c r="F161" i="29"/>
  <c r="C161" i="29"/>
  <c r="F94" i="29"/>
  <c r="F67" i="29"/>
  <c r="F48" i="29"/>
  <c r="F27" i="29"/>
  <c r="F41" i="29"/>
  <c r="F77" i="29"/>
  <c r="F135" i="29"/>
  <c r="F109" i="29"/>
  <c r="F49" i="29"/>
  <c r="C110" i="29"/>
  <c r="C56" i="29"/>
  <c r="F58" i="29"/>
  <c r="F158" i="29"/>
  <c r="C122" i="29"/>
  <c r="C57" i="29"/>
  <c r="C62" i="29"/>
  <c r="F45" i="29"/>
  <c r="F149" i="29"/>
  <c r="C113" i="29"/>
  <c r="F81" i="29"/>
  <c r="F37" i="29"/>
  <c r="C68" i="29"/>
  <c r="C148" i="29"/>
  <c r="C43" i="29"/>
  <c r="F129" i="29"/>
  <c r="C40" i="29"/>
  <c r="F82" i="29"/>
  <c r="C105" i="29"/>
  <c r="C106" i="29"/>
  <c r="C133" i="29"/>
  <c r="F101" i="29"/>
  <c r="C35" i="29"/>
  <c r="C89" i="29"/>
  <c r="F44" i="29"/>
  <c r="C107" i="29"/>
  <c r="F140" i="29"/>
  <c r="F70" i="29"/>
  <c r="F29" i="29"/>
  <c r="F40" i="29"/>
  <c r="C128" i="29"/>
  <c r="F131" i="29"/>
  <c r="F145" i="29"/>
  <c r="C27" i="29"/>
  <c r="F104" i="29"/>
  <c r="C65" i="29"/>
  <c r="C142" i="29"/>
  <c r="F51" i="29"/>
  <c r="F90" i="29"/>
  <c r="C140" i="29"/>
  <c r="C61" i="29"/>
  <c r="F110" i="29"/>
  <c r="F156" i="29"/>
  <c r="F151" i="29"/>
  <c r="F75" i="29"/>
  <c r="F107" i="29"/>
  <c r="F38" i="29"/>
  <c r="F137" i="29"/>
  <c r="C154" i="29"/>
  <c r="F162" i="29"/>
  <c r="F73" i="29"/>
  <c r="C73" i="29"/>
  <c r="F66" i="29"/>
  <c r="C149" i="29"/>
  <c r="F116" i="29"/>
  <c r="F72" i="29"/>
  <c r="F34" i="29"/>
  <c r="F163" i="29"/>
  <c r="C141" i="29"/>
  <c r="F132" i="29"/>
  <c r="C98" i="29"/>
  <c r="F112" i="29"/>
  <c r="C144" i="29"/>
  <c r="C86" i="29"/>
  <c r="C145" i="29"/>
  <c r="F148" i="29"/>
  <c r="F54" i="29"/>
  <c r="C92" i="29"/>
  <c r="C164" i="29"/>
  <c r="F56" i="29"/>
  <c r="F118" i="29"/>
  <c r="C156" i="29"/>
  <c r="F53" i="29"/>
  <c r="F91" i="29"/>
  <c r="C120" i="29"/>
  <c r="C88" i="29"/>
  <c r="F28" i="29"/>
  <c r="F160" i="29"/>
  <c r="F143" i="29"/>
  <c r="F120" i="29"/>
  <c r="C125" i="29"/>
  <c r="C63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H17" i="29"/>
  <c r="I17" i="29"/>
  <c r="J17" i="29"/>
  <c r="B25" i="29"/>
  <c r="E25" i="29" s="1"/>
  <c r="G25" i="29"/>
  <c r="D25" i="29"/>
  <c r="D24" i="29"/>
  <c r="B24" i="29"/>
  <c r="E24" i="29" s="1"/>
  <c r="G24" i="29"/>
  <c r="G16" i="29"/>
  <c r="H16" i="29" s="1"/>
  <c r="K16" i="29" s="1"/>
  <c r="B16" i="29"/>
  <c r="E16" i="29" s="1"/>
  <c r="K85" i="11"/>
  <c r="B86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9" i="29"/>
  <c r="D19" i="29"/>
  <c r="E19" i="29"/>
  <c r="E18" i="29"/>
  <c r="D18" i="29"/>
  <c r="G18" i="29"/>
  <c r="D28" i="39"/>
  <c r="J28" i="39" s="1"/>
  <c r="D24" i="39"/>
  <c r="I24" i="39" s="1"/>
  <c r="G26" i="39"/>
  <c r="B33" i="39"/>
  <c r="E33" i="39" s="1"/>
  <c r="J8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1" i="29"/>
  <c r="E21" i="29"/>
  <c r="G21" i="29"/>
  <c r="D20" i="29"/>
  <c r="G20" i="29"/>
  <c r="E20" i="29"/>
  <c r="J25" i="39"/>
  <c r="H25" i="39"/>
  <c r="I25" i="39"/>
  <c r="J23" i="39"/>
  <c r="H23" i="39"/>
  <c r="I23" i="39"/>
  <c r="D107" i="29"/>
  <c r="B107" i="29"/>
  <c r="E107" i="29" s="1"/>
  <c r="G107" i="29"/>
  <c r="B57" i="29"/>
  <c r="E57" i="29" s="1"/>
  <c r="G57" i="29"/>
  <c r="D57" i="29"/>
  <c r="B79" i="29"/>
  <c r="E79" i="29" s="1"/>
  <c r="G79" i="29"/>
  <c r="D79" i="29"/>
  <c r="G115" i="29"/>
  <c r="B115" i="29"/>
  <c r="E115" i="29" s="1"/>
  <c r="D115" i="29"/>
  <c r="D32" i="29"/>
  <c r="B32" i="29"/>
  <c r="E32" i="29" s="1"/>
  <c r="G32" i="29"/>
  <c r="G23" i="29"/>
  <c r="D23" i="29"/>
  <c r="B23" i="29"/>
  <c r="E23" i="29" s="1"/>
  <c r="B90" i="29"/>
  <c r="E90" i="29" s="1"/>
  <c r="G90" i="29"/>
  <c r="D90" i="29"/>
  <c r="B67" i="29"/>
  <c r="E67" i="29" s="1"/>
  <c r="G67" i="29"/>
  <c r="D67" i="29"/>
  <c r="D116" i="29"/>
  <c r="G116" i="29"/>
  <c r="B116" i="29"/>
  <c r="E116" i="29" s="1"/>
  <c r="B84" i="29"/>
  <c r="E84" i="29" s="1"/>
  <c r="D84" i="29"/>
  <c r="G84" i="29"/>
  <c r="D111" i="29"/>
  <c r="G111" i="29"/>
  <c r="B111" i="29"/>
  <c r="E111" i="29" s="1"/>
  <c r="D146" i="29"/>
  <c r="G146" i="29"/>
  <c r="B146" i="29"/>
  <c r="E146" i="29" s="1"/>
  <c r="B99" i="29"/>
  <c r="E99" i="29" s="1"/>
  <c r="D99" i="29"/>
  <c r="G99" i="29"/>
  <c r="B160" i="29"/>
  <c r="E160" i="29" s="1"/>
  <c r="G160" i="29"/>
  <c r="D160" i="29"/>
  <c r="G54" i="29"/>
  <c r="B54" i="29"/>
  <c r="E54" i="29" s="1"/>
  <c r="D54" i="29"/>
  <c r="G53" i="29"/>
  <c r="B53" i="29"/>
  <c r="E53" i="29" s="1"/>
  <c r="D53" i="29"/>
  <c r="B158" i="29"/>
  <c r="E158" i="29" s="1"/>
  <c r="D158" i="29"/>
  <c r="G158" i="29"/>
  <c r="G100" i="29"/>
  <c r="B100" i="29"/>
  <c r="E100" i="29" s="1"/>
  <c r="D100" i="29"/>
  <c r="D132" i="29"/>
  <c r="B132" i="29"/>
  <c r="E132" i="29" s="1"/>
  <c r="G132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3" i="29"/>
  <c r="E63" i="29" s="1"/>
  <c r="G63" i="29"/>
  <c r="D63" i="29"/>
  <c r="B149" i="29"/>
  <c r="E149" i="29" s="1"/>
  <c r="G149" i="29"/>
  <c r="D149" i="29"/>
  <c r="B27" i="29"/>
  <c r="E27" i="29" s="1"/>
  <c r="G27" i="29"/>
  <c r="D27" i="29"/>
  <c r="G148" i="29"/>
  <c r="B148" i="29"/>
  <c r="E148" i="29" s="1"/>
  <c r="D148" i="29"/>
  <c r="D113" i="29"/>
  <c r="B113" i="29"/>
  <c r="E113" i="29" s="1"/>
  <c r="G113" i="29"/>
  <c r="D56" i="29"/>
  <c r="G56" i="29"/>
  <c r="B56" i="29"/>
  <c r="E56" i="29" s="1"/>
  <c r="D66" i="29"/>
  <c r="G66" i="29"/>
  <c r="B66" i="29"/>
  <c r="E66" i="29" s="1"/>
  <c r="G85" i="29"/>
  <c r="B85" i="29"/>
  <c r="E85" i="29" s="1"/>
  <c r="D85" i="29"/>
  <c r="G166" i="29"/>
  <c r="B166" i="29"/>
  <c r="E166" i="29" s="1"/>
  <c r="D166" i="29"/>
  <c r="D50" i="29"/>
  <c r="G50" i="29"/>
  <c r="B50" i="29"/>
  <c r="E50" i="29" s="1"/>
  <c r="D104" i="29"/>
  <c r="G104" i="29"/>
  <c r="B104" i="29"/>
  <c r="E104" i="29" s="1"/>
  <c r="B51" i="29"/>
  <c r="E51" i="29" s="1"/>
  <c r="D51" i="29"/>
  <c r="G51" i="29"/>
  <c r="B153" i="29"/>
  <c r="E153" i="29" s="1"/>
  <c r="D153" i="29"/>
  <c r="G153" i="29"/>
  <c r="G109" i="29"/>
  <c r="D109" i="29"/>
  <c r="B109" i="29"/>
  <c r="E109" i="29" s="1"/>
  <c r="G81" i="29"/>
  <c r="D81" i="29"/>
  <c r="B81" i="29"/>
  <c r="E81" i="29" s="1"/>
  <c r="D33" i="29"/>
  <c r="B33" i="29"/>
  <c r="E33" i="29" s="1"/>
  <c r="G33" i="29"/>
  <c r="G157" i="29"/>
  <c r="B157" i="29"/>
  <c r="E157" i="29" s="1"/>
  <c r="D157" i="29"/>
  <c r="G126" i="29"/>
  <c r="B126" i="29"/>
  <c r="E126" i="29" s="1"/>
  <c r="D126" i="29"/>
  <c r="D93" i="29"/>
  <c r="B93" i="29"/>
  <c r="E93" i="29" s="1"/>
  <c r="G93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5" i="29"/>
  <c r="E65" i="29" s="1"/>
  <c r="G65" i="29"/>
  <c r="D65" i="29"/>
  <c r="B89" i="29"/>
  <c r="E89" i="29" s="1"/>
  <c r="G89" i="29"/>
  <c r="D89" i="29"/>
  <c r="G123" i="29"/>
  <c r="B123" i="29"/>
  <c r="E123" i="29" s="1"/>
  <c r="D123" i="29"/>
  <c r="G64" i="29"/>
  <c r="D64" i="29"/>
  <c r="B64" i="29"/>
  <c r="E64" i="29" s="1"/>
  <c r="G127" i="29"/>
  <c r="D127" i="29"/>
  <c r="B127" i="29"/>
  <c r="E127" i="29" s="1"/>
  <c r="D165" i="29"/>
  <c r="B165" i="29"/>
  <c r="E165" i="29" s="1"/>
  <c r="G165" i="29"/>
  <c r="B94" i="29"/>
  <c r="E94" i="29" s="1"/>
  <c r="D94" i="29"/>
  <c r="G94" i="29"/>
  <c r="D108" i="29"/>
  <c r="G108" i="29"/>
  <c r="B108" i="29"/>
  <c r="E108" i="29" s="1"/>
  <c r="G30" i="29"/>
  <c r="B30" i="29"/>
  <c r="E30" i="29" s="1"/>
  <c r="D30" i="29"/>
  <c r="G47" i="29"/>
  <c r="B47" i="29"/>
  <c r="E47" i="29" s="1"/>
  <c r="D47" i="29"/>
  <c r="D124" i="29"/>
  <c r="B124" i="29"/>
  <c r="E124" i="29" s="1"/>
  <c r="G124" i="29"/>
  <c r="G78" i="29"/>
  <c r="D78" i="29"/>
  <c r="B78" i="29"/>
  <c r="E78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8" i="29"/>
  <c r="D88" i="29"/>
  <c r="B88" i="29"/>
  <c r="E88" i="29" s="1"/>
  <c r="G156" i="29"/>
  <c r="B156" i="29"/>
  <c r="E156" i="29" s="1"/>
  <c r="D156" i="29"/>
  <c r="G92" i="29"/>
  <c r="D92" i="29"/>
  <c r="B92" i="29"/>
  <c r="E92" i="29" s="1"/>
  <c r="G86" i="29"/>
  <c r="D86" i="29"/>
  <c r="B86" i="29"/>
  <c r="E86" i="29" s="1"/>
  <c r="D73" i="29"/>
  <c r="B73" i="29"/>
  <c r="E73" i="29" s="1"/>
  <c r="G73" i="29"/>
  <c r="G140" i="29"/>
  <c r="B140" i="29"/>
  <c r="E140" i="29" s="1"/>
  <c r="D140" i="29"/>
  <c r="G106" i="29"/>
  <c r="B106" i="29"/>
  <c r="E106" i="29" s="1"/>
  <c r="D106" i="29"/>
  <c r="D138" i="29"/>
  <c r="G138" i="29"/>
  <c r="B138" i="29"/>
  <c r="E138" i="29" s="1"/>
  <c r="G49" i="29"/>
  <c r="D49" i="29"/>
  <c r="B49" i="29"/>
  <c r="E49" i="29" s="1"/>
  <c r="G151" i="29"/>
  <c r="D151" i="29"/>
  <c r="B151" i="29"/>
  <c r="E151" i="29" s="1"/>
  <c r="G159" i="29"/>
  <c r="B159" i="29"/>
  <c r="E159" i="29" s="1"/>
  <c r="D159" i="29"/>
  <c r="G75" i="29"/>
  <c r="D75" i="29"/>
  <c r="B75" i="29"/>
  <c r="E75" i="29" s="1"/>
  <c r="G119" i="29"/>
  <c r="B119" i="29"/>
  <c r="E119" i="29" s="1"/>
  <c r="D119" i="29"/>
  <c r="B34" i="29"/>
  <c r="E34" i="29" s="1"/>
  <c r="D34" i="29"/>
  <c r="G34" i="29"/>
  <c r="G48" i="29"/>
  <c r="D48" i="29"/>
  <c r="B48" i="29"/>
  <c r="E48" i="29" s="1"/>
  <c r="D60" i="29"/>
  <c r="B60" i="29"/>
  <c r="E60" i="29" s="1"/>
  <c r="G60" i="29"/>
  <c r="G80" i="29"/>
  <c r="B80" i="29"/>
  <c r="E80" i="29" s="1"/>
  <c r="D80" i="29"/>
  <c r="G77" i="29"/>
  <c r="D77" i="29"/>
  <c r="B77" i="29"/>
  <c r="E77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5" i="29"/>
  <c r="B125" i="29"/>
  <c r="E125" i="29" s="1"/>
  <c r="D125" i="29"/>
  <c r="D164" i="29"/>
  <c r="G164" i="29"/>
  <c r="B164" i="29"/>
  <c r="E164" i="29" s="1"/>
  <c r="D145" i="29"/>
  <c r="B145" i="29"/>
  <c r="E145" i="29" s="1"/>
  <c r="G145" i="29"/>
  <c r="D98" i="29"/>
  <c r="G98" i="29"/>
  <c r="B98" i="29"/>
  <c r="E98" i="29" s="1"/>
  <c r="G154" i="29"/>
  <c r="B154" i="29"/>
  <c r="E154" i="29" s="1"/>
  <c r="D154" i="29"/>
  <c r="D61" i="29"/>
  <c r="B61" i="29"/>
  <c r="E61" i="29" s="1"/>
  <c r="G61" i="29"/>
  <c r="B142" i="29"/>
  <c r="E142" i="29" s="1"/>
  <c r="D142" i="29"/>
  <c r="G142" i="29"/>
  <c r="D133" i="29"/>
  <c r="B133" i="29"/>
  <c r="E133" i="29" s="1"/>
  <c r="G133" i="29"/>
  <c r="D40" i="29"/>
  <c r="G40" i="29"/>
  <c r="B40" i="29"/>
  <c r="E40" i="29" s="1"/>
  <c r="B68" i="29"/>
  <c r="E68" i="29" s="1"/>
  <c r="G68" i="29"/>
  <c r="D68" i="29"/>
  <c r="B122" i="29"/>
  <c r="E122" i="29" s="1"/>
  <c r="D122" i="29"/>
  <c r="G122" i="29"/>
  <c r="D110" i="29"/>
  <c r="B110" i="29"/>
  <c r="E110" i="29" s="1"/>
  <c r="G110" i="29"/>
  <c r="D82" i="29"/>
  <c r="B82" i="29"/>
  <c r="E82" i="29" s="1"/>
  <c r="G82" i="29"/>
  <c r="G69" i="29"/>
  <c r="B69" i="29"/>
  <c r="E69" i="29" s="1"/>
  <c r="D69" i="29"/>
  <c r="G112" i="29"/>
  <c r="B112" i="29"/>
  <c r="E112" i="29" s="1"/>
  <c r="D112" i="29"/>
  <c r="B74" i="29"/>
  <c r="E74" i="29" s="1"/>
  <c r="G74" i="29"/>
  <c r="D74" i="29"/>
  <c r="D71" i="29"/>
  <c r="G71" i="29"/>
  <c r="B71" i="29"/>
  <c r="E71" i="29" s="1"/>
  <c r="D121" i="29"/>
  <c r="B121" i="29"/>
  <c r="E121" i="29" s="1"/>
  <c r="G121" i="29"/>
  <c r="G52" i="29"/>
  <c r="D52" i="29"/>
  <c r="B52" i="29"/>
  <c r="E52" i="29" s="1"/>
  <c r="D58" i="29"/>
  <c r="B58" i="29"/>
  <c r="E58" i="29" s="1"/>
  <c r="G58" i="29"/>
  <c r="B147" i="29"/>
  <c r="E147" i="29" s="1"/>
  <c r="G147" i="29"/>
  <c r="D147" i="29"/>
  <c r="B134" i="29"/>
  <c r="E134" i="29" s="1"/>
  <c r="D134" i="29"/>
  <c r="G134" i="29"/>
  <c r="B87" i="29"/>
  <c r="E87" i="29" s="1"/>
  <c r="D87" i="29"/>
  <c r="G87" i="29"/>
  <c r="B72" i="29"/>
  <c r="E72" i="29" s="1"/>
  <c r="G72" i="29"/>
  <c r="D72" i="29"/>
  <c r="D101" i="29"/>
  <c r="G101" i="29"/>
  <c r="B101" i="29"/>
  <c r="E101" i="29" s="1"/>
  <c r="D29" i="29"/>
  <c r="B29" i="29"/>
  <c r="E29" i="29" s="1"/>
  <c r="G29" i="29"/>
  <c r="D59" i="29"/>
  <c r="B59" i="29"/>
  <c r="E59" i="29" s="1"/>
  <c r="G59" i="29"/>
  <c r="B130" i="29"/>
  <c r="E130" i="29" s="1"/>
  <c r="D130" i="29"/>
  <c r="G130" i="29"/>
  <c r="D44" i="29"/>
  <c r="B44" i="29"/>
  <c r="E44" i="29" s="1"/>
  <c r="G44" i="29"/>
  <c r="D39" i="29"/>
  <c r="G39" i="29"/>
  <c r="B39" i="29"/>
  <c r="E39" i="29" s="1"/>
  <c r="B131" i="29"/>
  <c r="E131" i="29" s="1"/>
  <c r="D131" i="29"/>
  <c r="G131" i="29"/>
  <c r="D76" i="29"/>
  <c r="B76" i="29"/>
  <c r="E76" i="29" s="1"/>
  <c r="G76" i="29"/>
  <c r="D139" i="29"/>
  <c r="G139" i="29"/>
  <c r="B139" i="29"/>
  <c r="E139" i="29" s="1"/>
  <c r="D152" i="29"/>
  <c r="B152" i="29"/>
  <c r="E152" i="29" s="1"/>
  <c r="G152" i="29"/>
  <c r="B143" i="29"/>
  <c r="E143" i="29" s="1"/>
  <c r="D143" i="29"/>
  <c r="G143" i="29"/>
  <c r="D55" i="29"/>
  <c r="B55" i="29"/>
  <c r="E55" i="29" s="1"/>
  <c r="G55" i="29"/>
  <c r="D129" i="29"/>
  <c r="B129" i="29"/>
  <c r="E129" i="29" s="1"/>
  <c r="G129" i="29"/>
  <c r="D83" i="29"/>
  <c r="B83" i="29"/>
  <c r="E83" i="29" s="1"/>
  <c r="G83" i="29"/>
  <c r="G46" i="29"/>
  <c r="D46" i="29"/>
  <c r="B46" i="29"/>
  <c r="E46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20" i="29"/>
  <c r="E120" i="29" s="1"/>
  <c r="G120" i="29"/>
  <c r="D120" i="29"/>
  <c r="G144" i="29"/>
  <c r="B144" i="29"/>
  <c r="E144" i="29" s="1"/>
  <c r="D144" i="29"/>
  <c r="B141" i="29"/>
  <c r="E141" i="29" s="1"/>
  <c r="G141" i="29"/>
  <c r="D141" i="29"/>
  <c r="G128" i="29"/>
  <c r="D128" i="29"/>
  <c r="B128" i="29"/>
  <c r="E128" i="29" s="1"/>
  <c r="B35" i="29"/>
  <c r="E35" i="29" s="1"/>
  <c r="G35" i="29"/>
  <c r="D35" i="29"/>
  <c r="B105" i="29"/>
  <c r="E105" i="29" s="1"/>
  <c r="G105" i="29"/>
  <c r="D105" i="29"/>
  <c r="D43" i="29"/>
  <c r="B43" i="29"/>
  <c r="E43" i="29" s="1"/>
  <c r="G43" i="29"/>
  <c r="D62" i="29"/>
  <c r="G62" i="29"/>
  <c r="B62" i="29"/>
  <c r="E62" i="29" s="1"/>
  <c r="D161" i="29"/>
  <c r="B161" i="29"/>
  <c r="E161" i="29" s="1"/>
  <c r="G161" i="29"/>
  <c r="B42" i="29"/>
  <c r="E42" i="29" s="1"/>
  <c r="G42" i="29"/>
  <c r="D42" i="29"/>
  <c r="G95" i="29"/>
  <c r="B95" i="29"/>
  <c r="E95" i="29" s="1"/>
  <c r="D95" i="29"/>
  <c r="D135" i="29"/>
  <c r="B135" i="29"/>
  <c r="E135" i="29" s="1"/>
  <c r="G135" i="29"/>
  <c r="G97" i="29"/>
  <c r="B97" i="29"/>
  <c r="E97" i="29" s="1"/>
  <c r="D97" i="29"/>
  <c r="B96" i="29"/>
  <c r="E96" i="29" s="1"/>
  <c r="G96" i="29"/>
  <c r="D96" i="29"/>
  <c r="G162" i="29"/>
  <c r="D162" i="29"/>
  <c r="B162" i="29"/>
  <c r="E162" i="29" s="1"/>
  <c r="B103" i="29"/>
  <c r="E103" i="29" s="1"/>
  <c r="G103" i="29"/>
  <c r="D103" i="29"/>
  <c r="B45" i="29"/>
  <c r="E45" i="29" s="1"/>
  <c r="G45" i="29"/>
  <c r="D45" i="29"/>
  <c r="D137" i="29"/>
  <c r="B137" i="29"/>
  <c r="E137" i="29" s="1"/>
  <c r="G137" i="29"/>
  <c r="B26" i="29"/>
  <c r="E26" i="29" s="1"/>
  <c r="D26" i="29"/>
  <c r="G26" i="29"/>
  <c r="D22" i="29"/>
  <c r="G22" i="29"/>
  <c r="E22" i="29"/>
  <c r="G102" i="29"/>
  <c r="D102" i="29"/>
  <c r="B102" i="29"/>
  <c r="E102" i="29" s="1"/>
  <c r="B155" i="29"/>
  <c r="E155" i="29" s="1"/>
  <c r="G155" i="29"/>
  <c r="D155" i="29"/>
  <c r="B136" i="29"/>
  <c r="E136" i="29" s="1"/>
  <c r="D136" i="29"/>
  <c r="G136" i="29"/>
  <c r="D114" i="29"/>
  <c r="B114" i="29"/>
  <c r="E114" i="29" s="1"/>
  <c r="G114" i="29"/>
  <c r="D37" i="29"/>
  <c r="G37" i="29"/>
  <c r="B37" i="29"/>
  <c r="E37" i="29" s="1"/>
  <c r="D163" i="29"/>
  <c r="G163" i="29"/>
  <c r="B163" i="29"/>
  <c r="E163" i="29" s="1"/>
  <c r="B31" i="29"/>
  <c r="E31" i="29" s="1"/>
  <c r="G31" i="29"/>
  <c r="D31" i="29"/>
  <c r="G91" i="29"/>
  <c r="D91" i="29"/>
  <c r="B91" i="29"/>
  <c r="E91" i="29" s="1"/>
  <c r="G118" i="29"/>
  <c r="B118" i="29"/>
  <c r="E118" i="29" s="1"/>
  <c r="D118" i="29"/>
  <c r="D117" i="29"/>
  <c r="B117" i="29"/>
  <c r="E117" i="29" s="1"/>
  <c r="G117" i="29"/>
  <c r="G41" i="29"/>
  <c r="B41" i="29"/>
  <c r="E41" i="29" s="1"/>
  <c r="D41" i="29"/>
  <c r="B28" i="29"/>
  <c r="E28" i="29" s="1"/>
  <c r="D28" i="29"/>
  <c r="G28" i="29"/>
  <c r="B70" i="29"/>
  <c r="E70" i="29" s="1"/>
  <c r="D70" i="29"/>
  <c r="G70" i="29"/>
  <c r="G150" i="29"/>
  <c r="D150" i="29"/>
  <c r="B150" i="29"/>
  <c r="E150" i="29" s="1"/>
  <c r="D38" i="29"/>
  <c r="B38" i="29"/>
  <c r="E38" i="29" s="1"/>
  <c r="G38" i="29"/>
  <c r="D36" i="29"/>
  <c r="G36" i="29"/>
  <c r="B36" i="29"/>
  <c r="E36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17" i="29" l="1"/>
  <c r="H24" i="29"/>
  <c r="I24" i="29"/>
  <c r="J24" i="29"/>
  <c r="J25" i="29"/>
  <c r="H25" i="29"/>
  <c r="I25" i="29"/>
  <c r="F851" i="41"/>
  <c r="F77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9" i="29"/>
  <c r="J19" i="29"/>
  <c r="I19" i="29"/>
  <c r="J18" i="29"/>
  <c r="H18" i="29"/>
  <c r="I18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1" i="29"/>
  <c r="I21" i="29"/>
  <c r="H21" i="29"/>
  <c r="H20" i="29"/>
  <c r="I20" i="29"/>
  <c r="J20" i="29"/>
  <c r="K23" i="39"/>
  <c r="K25" i="39"/>
  <c r="F828" i="41"/>
  <c r="H155" i="29"/>
  <c r="I155" i="29"/>
  <c r="J155" i="29"/>
  <c r="F806" i="41"/>
  <c r="I129" i="29"/>
  <c r="J129" i="29"/>
  <c r="H129" i="29"/>
  <c r="J139" i="29"/>
  <c r="H139" i="29"/>
  <c r="I139" i="29"/>
  <c r="I44" i="29"/>
  <c r="H44" i="29"/>
  <c r="J44" i="29"/>
  <c r="I101" i="29"/>
  <c r="J101" i="29"/>
  <c r="H101" i="29"/>
  <c r="H134" i="29"/>
  <c r="J134" i="29"/>
  <c r="I134" i="29"/>
  <c r="H71" i="29"/>
  <c r="J71" i="29"/>
  <c r="I71" i="29"/>
  <c r="J74" i="29"/>
  <c r="I74" i="29"/>
  <c r="H74" i="29"/>
  <c r="J122" i="29"/>
  <c r="H122" i="29"/>
  <c r="I122" i="29"/>
  <c r="H142" i="29"/>
  <c r="J142" i="29"/>
  <c r="I142" i="29"/>
  <c r="I61" i="29"/>
  <c r="J61" i="29"/>
  <c r="H61" i="29"/>
  <c r="H164" i="29"/>
  <c r="J164" i="29"/>
  <c r="I164" i="29"/>
  <c r="F819" i="41"/>
  <c r="F725" i="41"/>
  <c r="J60" i="29"/>
  <c r="H60" i="29"/>
  <c r="I60" i="29"/>
  <c r="H49" i="29"/>
  <c r="J49" i="29"/>
  <c r="I49" i="29"/>
  <c r="J138" i="29"/>
  <c r="I138" i="29"/>
  <c r="H138" i="29"/>
  <c r="I140" i="29"/>
  <c r="J140" i="29"/>
  <c r="H140" i="29"/>
  <c r="I156" i="29"/>
  <c r="J156" i="29"/>
  <c r="H156" i="29"/>
  <c r="J88" i="29"/>
  <c r="H88" i="29"/>
  <c r="I88" i="29"/>
  <c r="F821" i="41"/>
  <c r="J47" i="29"/>
  <c r="H47" i="29"/>
  <c r="I47" i="29"/>
  <c r="I108" i="29"/>
  <c r="H108" i="29"/>
  <c r="J108" i="29"/>
  <c r="I127" i="29"/>
  <c r="J127" i="29"/>
  <c r="H127" i="29"/>
  <c r="H89" i="29"/>
  <c r="J89" i="29"/>
  <c r="I89" i="29"/>
  <c r="F839" i="41"/>
  <c r="I109" i="29"/>
  <c r="J109" i="29"/>
  <c r="H109" i="29"/>
  <c r="J113" i="29"/>
  <c r="I113" i="29"/>
  <c r="H113" i="29"/>
  <c r="H27" i="29"/>
  <c r="J27" i="29"/>
  <c r="I27" i="29"/>
  <c r="H53" i="29"/>
  <c r="J53" i="29"/>
  <c r="I53" i="29"/>
  <c r="H67" i="29"/>
  <c r="I67" i="29"/>
  <c r="J67" i="29"/>
  <c r="J115" i="29"/>
  <c r="I115" i="29"/>
  <c r="H115" i="29"/>
  <c r="J70" i="29"/>
  <c r="H70" i="29"/>
  <c r="I70" i="29"/>
  <c r="I22" i="29"/>
  <c r="H22" i="29"/>
  <c r="J22" i="29"/>
  <c r="J135" i="29"/>
  <c r="I135" i="29"/>
  <c r="H135" i="29"/>
  <c r="I55" i="29"/>
  <c r="H55" i="29"/>
  <c r="J55" i="29"/>
  <c r="H119" i="29"/>
  <c r="I119" i="29"/>
  <c r="J119" i="29"/>
  <c r="I86" i="29"/>
  <c r="J86" i="29"/>
  <c r="H86" i="29"/>
  <c r="J37" i="29"/>
  <c r="H37" i="29"/>
  <c r="I37" i="29"/>
  <c r="J117" i="29"/>
  <c r="H117" i="29"/>
  <c r="I117" i="29"/>
  <c r="J26" i="29"/>
  <c r="I26" i="29"/>
  <c r="H26" i="29"/>
  <c r="J137" i="29"/>
  <c r="I137" i="29"/>
  <c r="H137" i="29"/>
  <c r="J103" i="29"/>
  <c r="I103" i="29"/>
  <c r="H103" i="29"/>
  <c r="H162" i="29"/>
  <c r="I162" i="29"/>
  <c r="J162" i="29"/>
  <c r="I43" i="29"/>
  <c r="J43" i="29"/>
  <c r="H43" i="29"/>
  <c r="H35" i="29"/>
  <c r="I35" i="29"/>
  <c r="J35" i="29"/>
  <c r="I128" i="29"/>
  <c r="J128" i="29"/>
  <c r="H128" i="29"/>
  <c r="I120" i="29"/>
  <c r="J120" i="29"/>
  <c r="H120" i="29"/>
  <c r="J46" i="29"/>
  <c r="I46" i="29"/>
  <c r="H46" i="29"/>
  <c r="I83" i="29"/>
  <c r="J83" i="29"/>
  <c r="H83" i="29"/>
  <c r="H143" i="29"/>
  <c r="I143" i="29"/>
  <c r="J143" i="29"/>
  <c r="J152" i="29"/>
  <c r="H152" i="29"/>
  <c r="I152" i="29"/>
  <c r="J131" i="29"/>
  <c r="I131" i="29"/>
  <c r="H131" i="29"/>
  <c r="I39" i="29"/>
  <c r="J39" i="29"/>
  <c r="H39" i="29"/>
  <c r="I29" i="29"/>
  <c r="H29" i="29"/>
  <c r="J29" i="29"/>
  <c r="J72" i="29"/>
  <c r="I72" i="29"/>
  <c r="H72" i="29"/>
  <c r="H87" i="29"/>
  <c r="I87" i="29"/>
  <c r="J87" i="29"/>
  <c r="I52" i="29"/>
  <c r="J52" i="29"/>
  <c r="H52" i="29"/>
  <c r="I121" i="29"/>
  <c r="J121" i="29"/>
  <c r="H121" i="29"/>
  <c r="I154" i="29"/>
  <c r="H154" i="29"/>
  <c r="J154" i="29"/>
  <c r="H145" i="29"/>
  <c r="I145" i="29"/>
  <c r="J145" i="29"/>
  <c r="J125" i="29"/>
  <c r="H125" i="29"/>
  <c r="I125" i="29"/>
  <c r="F816" i="41"/>
  <c r="I77" i="29"/>
  <c r="J77" i="29"/>
  <c r="H77" i="29"/>
  <c r="H34" i="29"/>
  <c r="J34" i="29"/>
  <c r="I34" i="29"/>
  <c r="J159" i="29"/>
  <c r="I159" i="29"/>
  <c r="H159" i="29"/>
  <c r="I151" i="29"/>
  <c r="H151" i="29"/>
  <c r="J151" i="29"/>
  <c r="H106" i="29"/>
  <c r="J106" i="29"/>
  <c r="I106" i="29"/>
  <c r="H73" i="29"/>
  <c r="J73" i="29"/>
  <c r="I73" i="29"/>
  <c r="I123" i="29"/>
  <c r="H123" i="29"/>
  <c r="J123" i="29"/>
  <c r="J81" i="29"/>
  <c r="I81" i="29"/>
  <c r="H81" i="29"/>
  <c r="H50" i="29"/>
  <c r="I50" i="29"/>
  <c r="J50" i="29"/>
  <c r="H85" i="29"/>
  <c r="J85" i="29"/>
  <c r="I85" i="29"/>
  <c r="H56" i="29"/>
  <c r="I56" i="29"/>
  <c r="J56" i="29"/>
  <c r="J148" i="29"/>
  <c r="H148" i="29"/>
  <c r="I148" i="29"/>
  <c r="J132" i="29"/>
  <c r="H132" i="29"/>
  <c r="I132" i="29"/>
  <c r="J111" i="29"/>
  <c r="I111" i="29"/>
  <c r="H111" i="29"/>
  <c r="H36" i="29"/>
  <c r="I36" i="29"/>
  <c r="J36" i="29"/>
  <c r="I114" i="29"/>
  <c r="H114" i="29"/>
  <c r="J114" i="29"/>
  <c r="I96" i="29"/>
  <c r="H96" i="29"/>
  <c r="J96" i="29"/>
  <c r="J42" i="29"/>
  <c r="I42" i="29"/>
  <c r="H42" i="29"/>
  <c r="J141" i="29"/>
  <c r="I141" i="29"/>
  <c r="H141" i="29"/>
  <c r="I82" i="29"/>
  <c r="J82" i="29"/>
  <c r="H82" i="29"/>
  <c r="I80" i="29"/>
  <c r="H80" i="29"/>
  <c r="J80" i="29"/>
  <c r="I75" i="29"/>
  <c r="J75" i="29"/>
  <c r="H75" i="29"/>
  <c r="I150" i="29"/>
  <c r="H150" i="29"/>
  <c r="J150" i="29"/>
  <c r="J41" i="29"/>
  <c r="H41" i="29"/>
  <c r="I41" i="29"/>
  <c r="I31" i="29"/>
  <c r="H31" i="29"/>
  <c r="J31" i="29"/>
  <c r="I95" i="29"/>
  <c r="J95" i="29"/>
  <c r="H95" i="29"/>
  <c r="H163" i="29"/>
  <c r="J163" i="29"/>
  <c r="I163" i="29"/>
  <c r="I136" i="29"/>
  <c r="H136" i="29"/>
  <c r="J136" i="29"/>
  <c r="F825" i="41"/>
  <c r="J38" i="29"/>
  <c r="I38" i="29"/>
  <c r="H38" i="29"/>
  <c r="J28" i="29"/>
  <c r="I28" i="29"/>
  <c r="H28" i="29"/>
  <c r="J118" i="29"/>
  <c r="I118" i="29"/>
  <c r="H118" i="29"/>
  <c r="I91" i="29"/>
  <c r="J91" i="29"/>
  <c r="H91" i="29"/>
  <c r="H45" i="29"/>
  <c r="J45" i="29"/>
  <c r="I45" i="29"/>
  <c r="I97" i="29"/>
  <c r="H97" i="29"/>
  <c r="J97" i="29"/>
  <c r="I62" i="29"/>
  <c r="H62" i="29"/>
  <c r="J62" i="29"/>
  <c r="J105" i="29"/>
  <c r="I105" i="29"/>
  <c r="H105" i="29"/>
  <c r="J144" i="29"/>
  <c r="I144" i="29"/>
  <c r="H144" i="29"/>
  <c r="F822" i="41"/>
  <c r="F723" i="41"/>
  <c r="J130" i="29"/>
  <c r="H130" i="29"/>
  <c r="I130" i="29"/>
  <c r="J59" i="29"/>
  <c r="H59" i="29"/>
  <c r="I59" i="29"/>
  <c r="H147" i="29"/>
  <c r="J147" i="29"/>
  <c r="I147" i="29"/>
  <c r="H69" i="29"/>
  <c r="J69" i="29"/>
  <c r="I69" i="29"/>
  <c r="H110" i="29"/>
  <c r="J110" i="29"/>
  <c r="I110" i="29"/>
  <c r="I68" i="29"/>
  <c r="J68" i="29"/>
  <c r="H68" i="29"/>
  <c r="H133" i="29"/>
  <c r="J133" i="29"/>
  <c r="I133" i="29"/>
  <c r="H98" i="29"/>
  <c r="I98" i="29"/>
  <c r="J98" i="29"/>
  <c r="F834" i="41"/>
  <c r="I48" i="29"/>
  <c r="H48" i="29"/>
  <c r="J48" i="29"/>
  <c r="H92" i="29"/>
  <c r="J92" i="29"/>
  <c r="I92" i="29"/>
  <c r="F838" i="41"/>
  <c r="J94" i="29"/>
  <c r="I94" i="29"/>
  <c r="H94" i="29"/>
  <c r="I165" i="29"/>
  <c r="J165" i="29"/>
  <c r="H165" i="29"/>
  <c r="H93" i="29"/>
  <c r="J93" i="29"/>
  <c r="I93" i="29"/>
  <c r="I157" i="29"/>
  <c r="H157" i="29"/>
  <c r="J157" i="29"/>
  <c r="J51" i="29"/>
  <c r="H51" i="29"/>
  <c r="I51" i="29"/>
  <c r="J104" i="29"/>
  <c r="I104" i="29"/>
  <c r="H104" i="29"/>
  <c r="I166" i="29"/>
  <c r="H166" i="29"/>
  <c r="J166" i="29"/>
  <c r="I66" i="29"/>
  <c r="H66" i="29"/>
  <c r="J66" i="29"/>
  <c r="I63" i="29"/>
  <c r="J63" i="29"/>
  <c r="H63" i="29"/>
  <c r="H100" i="29"/>
  <c r="I100" i="29"/>
  <c r="J100" i="29"/>
  <c r="I158" i="29"/>
  <c r="H158" i="29"/>
  <c r="J158" i="29"/>
  <c r="I160" i="29"/>
  <c r="H160" i="29"/>
  <c r="J160" i="29"/>
  <c r="I99" i="29"/>
  <c r="J99" i="29"/>
  <c r="H99" i="29"/>
  <c r="H146" i="29"/>
  <c r="I146" i="29"/>
  <c r="J146" i="29"/>
  <c r="I57" i="29"/>
  <c r="J57" i="29"/>
  <c r="H57" i="29"/>
  <c r="I102" i="29"/>
  <c r="J102" i="29"/>
  <c r="H102" i="29"/>
  <c r="H161" i="29"/>
  <c r="I161" i="29"/>
  <c r="J161" i="29"/>
  <c r="H76" i="29"/>
  <c r="J76" i="29"/>
  <c r="I76" i="29"/>
  <c r="H58" i="29"/>
  <c r="J58" i="29"/>
  <c r="I58" i="29"/>
  <c r="J112" i="29"/>
  <c r="I112" i="29"/>
  <c r="H112" i="29"/>
  <c r="J40" i="29"/>
  <c r="H40" i="29"/>
  <c r="I40" i="29"/>
  <c r="J78" i="29"/>
  <c r="H78" i="29"/>
  <c r="I78" i="29"/>
  <c r="J124" i="29"/>
  <c r="H124" i="29"/>
  <c r="I124" i="29"/>
  <c r="J30" i="29"/>
  <c r="H30" i="29"/>
  <c r="I30" i="29"/>
  <c r="J64" i="29"/>
  <c r="I64" i="29"/>
  <c r="H64" i="29"/>
  <c r="I65" i="29"/>
  <c r="J65" i="29"/>
  <c r="H65" i="29"/>
  <c r="I126" i="29"/>
  <c r="J126" i="29"/>
  <c r="H126" i="29"/>
  <c r="H33" i="29"/>
  <c r="J33" i="29"/>
  <c r="I33" i="29"/>
  <c r="J153" i="29"/>
  <c r="H153" i="29"/>
  <c r="I153" i="29"/>
  <c r="H149" i="29"/>
  <c r="I149" i="29"/>
  <c r="J149" i="29"/>
  <c r="J54" i="29"/>
  <c r="I54" i="29"/>
  <c r="H54" i="29"/>
  <c r="H84" i="29"/>
  <c r="I84" i="29"/>
  <c r="J84" i="29"/>
  <c r="I116" i="29"/>
  <c r="J116" i="29"/>
  <c r="H116" i="29"/>
  <c r="J90" i="29"/>
  <c r="I90" i="29"/>
  <c r="H90" i="29"/>
  <c r="H23" i="29"/>
  <c r="I23" i="29"/>
  <c r="J23" i="29"/>
  <c r="J32" i="29"/>
  <c r="H32" i="29"/>
  <c r="I32" i="29"/>
  <c r="H79" i="29"/>
  <c r="J79" i="29"/>
  <c r="I79" i="29"/>
  <c r="J107" i="29"/>
  <c r="H107" i="29"/>
  <c r="I107" i="29"/>
  <c r="M7" i="54"/>
  <c r="I14" i="54"/>
  <c r="H14" i="54"/>
  <c r="L12" i="54"/>
  <c r="M12" i="54" s="1"/>
  <c r="D14" i="54"/>
  <c r="C15" i="54"/>
  <c r="E13" i="54"/>
  <c r="L13" i="54" s="1"/>
  <c r="K25" i="29" l="1"/>
  <c r="K24" i="29"/>
  <c r="D11" i="59"/>
  <c r="G8" i="54" s="1"/>
  <c r="J8" i="54" s="1"/>
  <c r="N8" i="54" s="1"/>
  <c r="P8" i="54" s="1"/>
  <c r="K17" i="39"/>
  <c r="O15" i="54"/>
  <c r="A16" i="54"/>
  <c r="K28" i="39"/>
  <c r="K24" i="39"/>
  <c r="F12" i="41"/>
  <c r="K18" i="29"/>
  <c r="K19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1" i="29"/>
  <c r="C19" i="41"/>
  <c r="L19" i="41" s="1"/>
  <c r="K20" i="29"/>
  <c r="F17" i="41"/>
  <c r="K60" i="29"/>
  <c r="K142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2" i="29"/>
  <c r="F19" i="41"/>
  <c r="C13" i="41"/>
  <c r="L13" i="41" s="1"/>
  <c r="C17" i="41"/>
  <c r="G17" i="41" s="1"/>
  <c r="F16" i="41"/>
  <c r="K134" i="29"/>
  <c r="K161" i="29"/>
  <c r="K28" i="29"/>
  <c r="K77" i="29"/>
  <c r="K52" i="29"/>
  <c r="K39" i="29"/>
  <c r="K83" i="29"/>
  <c r="K162" i="29"/>
  <c r="K137" i="29"/>
  <c r="K86" i="29"/>
  <c r="K70" i="29"/>
  <c r="K127" i="29"/>
  <c r="K140" i="29"/>
  <c r="K129" i="29"/>
  <c r="K107" i="29"/>
  <c r="K79" i="29"/>
  <c r="K54" i="29"/>
  <c r="K126" i="29"/>
  <c r="K78" i="29"/>
  <c r="K57" i="29"/>
  <c r="F401" i="41"/>
  <c r="K110" i="29"/>
  <c r="K38" i="29"/>
  <c r="K150" i="29"/>
  <c r="K82" i="29"/>
  <c r="K85" i="29"/>
  <c r="K81" i="29"/>
  <c r="K123" i="29"/>
  <c r="K73" i="29"/>
  <c r="K34" i="29"/>
  <c r="K131" i="29"/>
  <c r="K143" i="29"/>
  <c r="K89" i="29"/>
  <c r="K47" i="29"/>
  <c r="K71" i="29"/>
  <c r="K101" i="29"/>
  <c r="K44" i="29"/>
  <c r="K49" i="29"/>
  <c r="K32" i="29"/>
  <c r="K30" i="29"/>
  <c r="K160" i="29"/>
  <c r="K66" i="29"/>
  <c r="K157" i="29"/>
  <c r="K48" i="29"/>
  <c r="K130" i="29"/>
  <c r="K97" i="29"/>
  <c r="K45" i="29"/>
  <c r="K31" i="29"/>
  <c r="K128" i="29"/>
  <c r="K135" i="29"/>
  <c r="K109" i="29"/>
  <c r="K155" i="29"/>
  <c r="C259" i="41"/>
  <c r="C106" i="41"/>
  <c r="C700" i="41"/>
  <c r="C354" i="41"/>
  <c r="K116" i="29"/>
  <c r="K58" i="29"/>
  <c r="K99" i="29"/>
  <c r="K94" i="29"/>
  <c r="K133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90" i="29"/>
  <c r="K84" i="29"/>
  <c r="K153" i="29"/>
  <c r="K33" i="29"/>
  <c r="K65" i="29"/>
  <c r="K40" i="29"/>
  <c r="K104" i="29"/>
  <c r="K51" i="29"/>
  <c r="K165" i="29"/>
  <c r="K98" i="29"/>
  <c r="K68" i="29"/>
  <c r="K69" i="29"/>
  <c r="K59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5" i="29"/>
  <c r="K62" i="29"/>
  <c r="K91" i="29"/>
  <c r="K141" i="29"/>
  <c r="K50" i="29"/>
  <c r="K106" i="29"/>
  <c r="K159" i="29"/>
  <c r="K72" i="29"/>
  <c r="K29" i="29"/>
  <c r="K120" i="29"/>
  <c r="K35" i="29"/>
  <c r="K37" i="29"/>
  <c r="I169" i="29"/>
  <c r="I170" i="29" s="1"/>
  <c r="I171" i="29" s="1"/>
  <c r="K115" i="29"/>
  <c r="K53" i="29"/>
  <c r="K113" i="29"/>
  <c r="K74" i="29"/>
  <c r="K139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4" i="29"/>
  <c r="K154" i="29"/>
  <c r="K152" i="29"/>
  <c r="K46" i="29"/>
  <c r="K43" i="29"/>
  <c r="K26" i="29"/>
  <c r="K117" i="29"/>
  <c r="K55" i="29"/>
  <c r="K67" i="29"/>
  <c r="K88" i="29"/>
  <c r="K138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9" i="29"/>
  <c r="K124" i="29"/>
  <c r="K112" i="29"/>
  <c r="K76" i="29"/>
  <c r="K102" i="29"/>
  <c r="K146" i="29"/>
  <c r="K158" i="29"/>
  <c r="K100" i="29"/>
  <c r="K166" i="29"/>
  <c r="K147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6" i="29"/>
  <c r="K163" i="29"/>
  <c r="K41" i="29"/>
  <c r="K114" i="29"/>
  <c r="K36" i="29"/>
  <c r="K148" i="29"/>
  <c r="K56" i="29"/>
  <c r="K151" i="29"/>
  <c r="J169" i="29"/>
  <c r="J170" i="29" s="1"/>
  <c r="J171" i="29" s="1"/>
  <c r="K108" i="29"/>
  <c r="K164" i="29"/>
  <c r="K122" i="29"/>
  <c r="C501" i="41"/>
  <c r="C139" i="41"/>
  <c r="K23" i="29"/>
  <c r="K64" i="29"/>
  <c r="K63" i="29"/>
  <c r="K93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8" i="29"/>
  <c r="K95" i="29"/>
  <c r="K75" i="29"/>
  <c r="K80" i="29"/>
  <c r="K42" i="29"/>
  <c r="K96" i="29"/>
  <c r="K111" i="29"/>
  <c r="K132" i="29"/>
  <c r="K125" i="29"/>
  <c r="K145" i="29"/>
  <c r="K121" i="29"/>
  <c r="K87" i="29"/>
  <c r="K103" i="29"/>
  <c r="K119" i="29"/>
  <c r="K22" i="29"/>
  <c r="H169" i="29"/>
  <c r="H170" i="29" s="1"/>
  <c r="H171" i="29" s="1"/>
  <c r="K27" i="29"/>
  <c r="K156" i="29"/>
  <c r="K61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9" i="29"/>
  <c r="K170" i="29" s="1"/>
  <c r="K171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S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<sst xmlns="http://schemas.openxmlformats.org/spreadsheetml/2006/main" count="4755" uniqueCount="1638">
  <si>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</si>
  <si>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</si>
  <si>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</si>
  <si>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</si>
  <si>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</si>
  <si>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</si>
  <si>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</si>
  <si>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</si>
  <si>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</si>
  <si>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</si>
  <si>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</si>
  <si>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</si>
  <si>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</si>
  <si>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</si>
  <si>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</si>
  <si>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</si>
  <si>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</si>
  <si>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</si>
  <si>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</si>
  <si>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</si>
  <si>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</si>
  <si>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</si>
  <si>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</si>
  <si>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</si>
  <si>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</si>
  <si>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</si>
  <si>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</si>
  <si>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</si>
  <si>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</si>
  <si>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</si>
  <si>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</si>
  <si>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</si>
  <si>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</si>
  <si>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</si>
  <si>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</si>
  <si>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</si>
  <si>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</si>
  <si>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</si>
  <si>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</si>
  <si>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</si>
  <si>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</si>
  <si>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</si>
  <si>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</si>
  <si>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</si>
  <si>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</si>
  <si>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</si>
  <si>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</si>
  <si>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</si>
  <si>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</si>
  <si>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</si>
  <si>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</si>
  <si>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</si>
  <si>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</si>
  <si>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</si>
  <si>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</si>
  <si>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</si>
  <si>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</si>
  <si>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</si>
  <si>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</si>
  <si>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</si>
  <si>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</si>
  <si>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</si>
  <si>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</si>
  <si>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</si>
  <si>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</si>
  <si>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</si>
  <si>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</si>
  <si>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</si>
  <si>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</si>
  <si>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</si>
  <si>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</si>
  <si>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</si>
  <si>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</si>
  <si>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</si>
  <si>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</si>
  <si>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</si>
  <si>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</si>
  <si>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</si>
  <si>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</si>
  <si>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</si>
  <si>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</si>
  <si>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</si>
  <si>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</si>
  <si>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</si>
  <si>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</si>
  <si>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</si>
  <si>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</si>
  <si>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</si>
  <si>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</si>
  <si>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</si>
  <si>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</si>
  <si>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</si>
  <si>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</si>
  <si>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</si>
  <si>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</si>
  <si>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</si>
  <si>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</si>
  <si>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</si>
  <si>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</si>
  <si>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</si>
  <si>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</si>
  <si>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</si>
  <si>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</si>
  <si>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</si>
  <si>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</si>
  <si>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</si>
  <si>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</si>
  <si>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</si>
  <si>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</si>
  <si>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</si>
  <si>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</si>
  <si>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</si>
  <si>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</si>
  <si>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</si>
  <si>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</si>
  <si>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</si>
  <si>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</si>
  <si>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</si>
  <si>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</si>
  <si>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</si>
  <si>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</si>
  <si>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</si>
  <si>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</si>
  <si>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</si>
  <si>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</si>
  <si>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</si>
  <si>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</si>
  <si>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</si>
  <si>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</si>
  <si>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</si>
  <si>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</si>
  <si>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</si>
  <si>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</si>
  <si>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</si>
  <si>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</si>
  <si>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</si>
  <si>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</si>
  <si>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</si>
  <si>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</si>
  <si>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</si>
  <si>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</si>
  <si>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</si>
  <si>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</si>
  <si>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</si>
  <si>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</si>
  <si>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</si>
  <si>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</si>
  <si>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</si>
  <si>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</si>
  <si>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</si>
  <si>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</si>
  <si>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</si>
  <si>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</si>
  <si>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</si>
  <si>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</si>
  <si>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</si>
  <si>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</si>
  <si>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</si>
  <si>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</si>
  <si>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</si>
  <si>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</si>
  <si>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</si>
  <si>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</si>
  <si>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</si>
  <si>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</si>
  <si>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</si>
  <si>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</si>
  <si>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</si>
  <si>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</si>
  <si>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</si>
  <si>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</si>
  <si>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</si>
  <si>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</si>
  <si>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</si>
  <si>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</si>
  <si>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</si>
  <si>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</si>
  <si>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</si>
  <si>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</si>
  <si>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</si>
  <si>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</si>
  <si>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</si>
  <si>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</si>
  <si>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</si>
  <si>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</si>
  <si>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</si>
  <si>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</si>
  <si>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</si>
  <si>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</si>
  <si>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</si>
  <si>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</si>
  <si>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</si>
  <si>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</si>
  <si>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</si>
  <si>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</si>
  <si>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</si>
  <si>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</si>
  <si>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</si>
  <si>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</si>
  <si>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</si>
  <si>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</si>
  <si>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</si>
  <si>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</si>
  <si>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</si>
  <si>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</si>
  <si>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</si>
  <si>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</si>
  <si>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</si>
  <si>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</si>
  <si>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</si>
  <si>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</si>
  <si>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</si>
  <si>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</si>
  <si>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</si>
  <si>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</si>
  <si>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</si>
  <si>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</si>
  <si>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</si>
  <si>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</si>
  <si>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</si>
  <si>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</si>
  <si>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</si>
  <si>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</si>
  <si>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</si>
  <si>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</si>
  <si>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</si>
  <si>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</si>
  <si>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</si>
  <si>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</si>
  <si>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</si>
  <si>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</si>
  <si>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</si>
  <si>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</si>
  <si>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</si>
  <si>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</si>
  <si>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</si>
  <si>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</si>
  <si>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</si>
  <si>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</si>
  <si>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</si>
  <si>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</si>
  <si>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</si>
  <si>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</si>
  <si>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</si>
  <si>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</si>
  <si>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</si>
  <si>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</si>
  <si>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</si>
  <si>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</si>
  <si>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</si>
  <si>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</si>
  <si>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</si>
  <si>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</si>
  <si>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</si>
  <si>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</si>
  <si>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</si>
  <si>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</si>
  <si>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</si>
  <si>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</si>
  <si>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</si>
  <si>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</si>
  <si>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</si>
  <si>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</si>
  <si>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</si>
  <si>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</si>
  <si>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</si>
  <si>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</si>
  <si>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</si>
  <si>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</si>
  <si>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</si>
  <si>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</si>
  <si>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</si>
  <si>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</si>
  <si>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</si>
  <si>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</si>
  <si>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</si>
  <si>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</si>
  <si>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</si>
  <si>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</si>
  <si>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</si>
  <si>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</si>
  <si>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</si>
  <si>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</si>
  <si>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</si>
  <si>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</si>
  <si>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</si>
  <si>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</si>
  <si>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</si>
  <si>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</si>
  <si>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</si>
  <si>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</si>
  <si>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</si>
  <si>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</si>
  <si>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</si>
  <si>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</si>
  <si>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</si>
  <si>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</si>
  <si>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</si>
  <si>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</si>
  <si>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</si>
  <si>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</si>
  <si>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</si>
  <si>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</si>
  <si>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</si>
  <si>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</si>
  <si>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</si>
  <si>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</si>
  <si>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</si>
  <si>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</si>
  <si>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</si>
  <si>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</si>
  <si>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</si>
  <si>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</si>
  <si>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</si>
  <si>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</si>
  <si>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</si>
  <si>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</si>
  <si>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</si>
  <si>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</si>
  <si>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</si>
  <si>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</si>
  <si>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</si>
  <si>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</si>
  <si>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</si>
  <si>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</si>
  <si>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</si>
  <si>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</si>
  <si>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</si>
  <si>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</si>
  <si>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</si>
  <si>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</si>
  <si>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</si>
  <si>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</si>
  <si>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</si>
  <si>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</si>
  <si>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</si>
  <si>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</si>
  <si>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</si>
  <si>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</si>
  <si>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</si>
  <si>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</si>
  <si>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</si>
  <si>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</si>
  <si>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</si>
  <si>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</si>
  <si>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</si>
  <si>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</si>
  <si>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</si>
  <si>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</si>
  <si>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</si>
  <si>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</si>
  <si>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</si>
  <si>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</si>
  <si>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</si>
  <si>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</si>
  <si>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</si>
  <si>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</si>
  <si>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</si>
  <si>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</si>
  <si>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</si>
  <si>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</si>
  <si>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</si>
  <si>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</si>
  <si>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</si>
  <si>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</si>
  <si>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</si>
  <si>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</si>
  <si>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</si>
  <si>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</si>
  <si>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</si>
  <si>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</si>
  <si>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</si>
  <si>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</si>
  <si>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</si>
  <si>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</si>
  <si>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</si>
  <si>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</si>
  <si>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</si>
  <si>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</si>
  <si>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</si>
  <si>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</si>
  <si>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</si>
  <si>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</si>
  <si>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</si>
  <si>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</si>
  <si>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</si>
  <si>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</si>
  <si>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</si>
  <si>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</si>
  <si>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</si>
  <si>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</si>
  <si>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</si>
  <si>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</si>
  <si>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</si>
  <si>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</si>
  <si>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</si>
  <si>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</si>
  <si>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</si>
  <si>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</si>
  <si>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</si>
  <si>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</si>
  <si>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</si>
  <si>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</si>
  <si>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</si>
  <si>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</si>
  <si>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</si>
  <si>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</si>
  <si>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</si>
  <si>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</si>
  <si>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</si>
  <si>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</si>
  <si>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</si>
  <si>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</si>
  <si>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</si>
  <si>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</si>
  <si>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</si>
  <si>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</si>
  <si>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</si>
  <si>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</si>
  <si>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</si>
  <si>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</si>
  <si>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</si>
  <si>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</si>
  <si>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</si>
  <si>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</si>
  <si>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</si>
  <si>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</si>
  <si>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</si>
  <si>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</si>
  <si>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</si>
  <si>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</si>
  <si>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</si>
  <si>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</si>
  <si>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</si>
  <si>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</si>
  <si>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</si>
  <si>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</si>
  <si>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</si>
  <si>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</si>
  <si>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</si>
  <si>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</si>
  <si>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</si>
  <si>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</si>
  <si>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</si>
  <si>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</si>
  <si>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</si>
  <si>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</si>
  <si>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</si>
  <si>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</si>
  <si>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</si>
  <si>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</si>
  <si>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</si>
  <si>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</si>
  <si>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</si>
  <si>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</si>
  <si>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</si>
  <si>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</si>
  <si>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</si>
  <si>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</si>
  <si>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</si>
  <si>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</si>
  <si>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</si>
  <si>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</si>
  <si>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</si>
  <si>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</si>
  <si>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</si>
  <si>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</si>
  <si>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</si>
  <si>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</si>
  <si>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</si>
  <si>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</si>
  <si>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</si>
  <si>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</si>
  <si>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</si>
  <si>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</si>
  <si>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</si>
  <si>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</si>
  <si>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</si>
  <si>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</si>
  <si>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</si>
  <si>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</si>
  <si>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</si>
  <si>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</si>
  <si>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</si>
  <si>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</si>
  <si>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</si>
  <si>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</si>
  <si>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</si>
  <si>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</si>
  <si>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</si>
  <si>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</si>
  <si>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</si>
  <si>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</si>
  <si>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</si>
  <si>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</si>
  <si>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</si>
  <si>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</si>
  <si>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</si>
  <si>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</si>
  <si>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</si>
  <si>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</si>
  <si>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</si>
  <si>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</si>
  <si>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</si>
  <si>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</si>
  <si>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</si>
  <si>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</si>
  <si>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</si>
  <si>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</si>
  <si>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</si>
  <si>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</si>
  <si>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</si>
  <si>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</si>
  <si>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</si>
  <si>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</si>
  <si>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</si>
  <si>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</si>
  <si>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</si>
  <si>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</si>
  <si>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</si>
  <si>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</si>
  <si>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</si>
  <si>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</si>
  <si>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</si>
  <si>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</si>
  <si>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</si>
  <si>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</si>
  <si>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</si>
  <si>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</si>
  <si>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</si>
  <si>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</si>
  <si>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</si>
  <si>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</si>
  <si>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</si>
  <si>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</si>
  <si>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</si>
  <si>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</si>
  <si>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</si>
  <si>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</si>
  <si>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</si>
  <si>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</si>
  <si>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</si>
  <si>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</si>
  <si>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</si>
  <si>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</si>
  <si>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</si>
  <si>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</si>
  <si>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</si>
  <si>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</si>
  <si>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</si>
  <si>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</si>
  <si>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</si>
  <si>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</si>
  <si>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</si>
  <si>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</si>
  <si>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</si>
  <si>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</si>
  <si>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</si>
  <si>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</si>
  <si>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</si>
  <si>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</si>
  <si>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</si>
  <si>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</si>
  <si>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</si>
  <si>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</si>
  <si>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</si>
  <si>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</si>
  <si>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</si>
  <si>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</si>
  <si>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</si>
  <si>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</si>
  <si>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</si>
  <si>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</si>
  <si>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</si>
  <si>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</si>
  <si>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</si>
  <si>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</si>
  <si>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</si>
  <si>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</si>
  <si>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</si>
  <si>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</si>
  <si>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</si>
  <si>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</si>
  <si>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</si>
  <si>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</si>
  <si>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</si>
  <si>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</si>
  <si>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</si>
  <si>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</si>
  <si>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</si>
  <si>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</si>
  <si>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</si>
  <si>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</si>
  <si>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</si>
  <si>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</si>
  <si>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</si>
  <si>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</si>
  <si>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</si>
  <si>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</si>
  <si>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</si>
  <si>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</si>
  <si>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</si>
  <si>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</si>
  <si>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</si>
  <si>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</si>
  <si>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</si>
  <si>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</si>
  <si>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</si>
  <si>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</si>
  <si>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</si>
  <si>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</si>
  <si>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</si>
  <si>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</si>
  <si>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</si>
  <si>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</si>
  <si>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</si>
  <si>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</si>
  <si>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</si>
  <si>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</si>
  <si>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</si>
  <si>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</si>
  <si>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</si>
  <si>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</si>
  <si>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</si>
  <si>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</si>
  <si>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</si>
  <si>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</si>
  <si>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</si>
  <si>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</si>
  <si>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</si>
  <si>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</si>
  <si>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</si>
  <si>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</si>
  <si>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</si>
  <si>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</si>
  <si>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</si>
  <si>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</si>
  <si>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</si>
  <si>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</si>
  <si>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</si>
  <si>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</si>
  <si>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</si>
  <si>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</si>
  <si>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</si>
  <si>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</si>
  <si>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</si>
  <si>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</si>
  <si>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</si>
  <si>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</si>
  <si>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</si>
  <si>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</si>
  <si>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</si>
  <si>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</si>
  <si>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</si>
  <si>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</si>
  <si>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</si>
  <si>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</si>
  <si>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</si>
  <si>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</si>
  <si>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</si>
  <si>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</si>
  <si>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</si>
  <si>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</si>
  <si>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</si>
  <si>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</si>
  <si>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</si>
  <si>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</si>
  <si>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</si>
  <si>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</si>
  <si>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</si>
  <si>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</si>
  <si>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</si>
  <si>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</si>
  <si>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</si>
  <si>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</si>
  <si>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</si>
  <si>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</si>
  <si>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</si>
  <si>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</si>
  <si>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</si>
  <si>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</si>
  <si>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</si>
  <si>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</si>
  <si>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</si>
  <si>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</si>
  <si>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</si>
  <si>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</si>
  <si>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</si>
  <si>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</si>
  <si>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</si>
  <si>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</si>
  <si>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</si>
  <si>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</si>
  <si>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</si>
  <si>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</si>
  <si>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</si>
  <si>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</si>
  <si>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</si>
  <si>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</si>
  <si>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</si>
  <si>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</si>
  <si>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</si>
  <si>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</si>
  <si>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</si>
  <si>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</si>
  <si>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</si>
  <si>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</si>
  <si>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</si>
  <si>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</si>
  <si>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</si>
  <si>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</si>
  <si>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</si>
  <si>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</si>
  <si>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</si>
  <si>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</si>
  <si>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</si>
  <si>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</si>
  <si>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</si>
  <si>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</si>
  <si>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</si>
  <si>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</si>
  <si>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</si>
  <si>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</si>
  <si>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</si>
  <si>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</si>
  <si>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</si>
  <si>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</si>
  <si>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</si>
  <si>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</si>
  <si>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</si>
  <si>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</si>
  <si>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</si>
  <si>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</si>
  <si>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</si>
  <si>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</si>
  <si>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</si>
  <si>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</si>
  <si>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</si>
  <si>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</si>
  <si>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</si>
  <si>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</si>
  <si>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</si>
  <si>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</si>
  <si>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</si>
  <si>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</si>
  <si>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</si>
  <si>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</si>
  <si>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</si>
  <si>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</si>
  <si>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</si>
  <si>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</si>
  <si>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</si>
  <si>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</si>
  <si>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</si>
  <si>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</si>
  <si>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</si>
  <si>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</si>
  <si>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</si>
  <si>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</si>
  <si>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</si>
  <si>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</si>
  <si>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</si>
  <si>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</si>
  <si>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</si>
  <si>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</si>
  <si>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</si>
  <si>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</si>
  <si>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</si>
  <si>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</si>
  <si>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</si>
  <si>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</si>
  <si>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</si>
  <si>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</si>
  <si>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</si>
  <si>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</si>
  <si>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</si>
  <si>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</si>
  <si>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</si>
  <si>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</si>
  <si>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</si>
  <si>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</si>
  <si>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</si>
  <si>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</si>
  <si>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</si>
  <si>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</si>
  <si>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</si>
  <si>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</si>
  <si>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</si>
  <si>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</si>
  <si>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</si>
  <si>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</si>
  <si>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</si>
  <si>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</si>
  <si>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</si>
  <si>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</si>
  <si>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</si>
  <si>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</si>
  <si>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</si>
  <si>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</si>
  <si>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</si>
  <si>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</si>
  <si>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</si>
  <si>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</si>
  <si>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</si>
  <si>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</si>
  <si>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</si>
  <si>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</si>
  <si>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</si>
  <si>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</si>
  <si>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</si>
  <si>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</si>
  <si>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</si>
  <si>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</si>
  <si>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</si>
  <si>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</si>
  <si>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</si>
  <si>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</si>
  <si>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</si>
  <si>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</si>
  <si>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</si>
  <si>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</si>
  <si>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</si>
  <si>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</si>
  <si>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</si>
  <si>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</si>
  <si>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</si>
  <si>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</si>
  <si>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</si>
  <si>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</si>
  <si>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</si>
  <si>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</si>
  <si>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</si>
  <si>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</si>
  <si>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</si>
  <si>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</si>
  <si>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</si>
  <si>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</si>
  <si>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</si>
  <si>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</si>
  <si>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</si>
  <si>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</si>
  <si>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</si>
  <si>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</si>
  <si>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</si>
  <si>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</si>
  <si>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</si>
  <si>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</si>
  <si>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</si>
  <si>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</si>
  <si>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</si>
  <si>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</si>
  <si>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</si>
  <si>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</si>
  <si>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</si>
  <si>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</si>
  <si>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</si>
  <si>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</si>
  <si>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</si>
  <si>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</si>
  <si>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</si>
  <si>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</si>
  <si>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</si>
  <si>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</si>
  <si>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</si>
  <si>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</si>
  <si>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</si>
  <si>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</si>
  <si>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</si>
  <si>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</si>
  <si>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</si>
  <si>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</si>
  <si>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</si>
  <si>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</si>
  <si>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</si>
  <si>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</si>
  <si>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</si>
  <si>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</si>
  <si>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</si>
  <si>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</si>
  <si>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</si>
  <si>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</si>
  <si>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</si>
  <si>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</si>
  <si>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</si>
  <si>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</si>
  <si>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</si>
  <si>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</si>
  <si>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</si>
  <si>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</si>
  <si>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</si>
  <si>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</si>
  <si>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</si>
  <si>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</si>
  <si>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</si>
  <si>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</si>
  <si>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</si>
  <si>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</si>
  <si>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</si>
  <si>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</si>
  <si>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</si>
  <si>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</si>
  <si>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</si>
  <si>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</si>
  <si>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</si>
  <si>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</si>
  <si>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</si>
  <si>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</si>
  <si>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</si>
  <si>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</si>
  <si>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</si>
  <si>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</si>
  <si>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</si>
  <si>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</si>
  <si>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</si>
  <si>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</si>
  <si>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</si>
  <si>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</si>
  <si>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</si>
  <si>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</si>
  <si>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</si>
  <si>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</si>
  <si>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</si>
  <si>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</si>
  <si>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</si>
  <si>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</si>
  <si>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</si>
  <si>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</si>
  <si>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</si>
  <si>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</si>
  <si>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</si>
  <si>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</si>
  <si>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</si>
  <si>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</si>
  <si>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</si>
  <si>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</si>
  <si>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</si>
  <si>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</si>
  <si>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</si>
  <si>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</si>
  <si>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</si>
  <si>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</si>
  <si>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</si>
  <si>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</si>
  <si>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</si>
  <si>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</si>
  <si>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</si>
  <si>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</si>
  <si>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</si>
  <si>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</si>
  <si>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</si>
  <si>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</si>
  <si>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</si>
  <si>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</si>
  <si>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</si>
  <si>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</si>
  <si>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</si>
  <si>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</si>
  <si>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</si>
  <si>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</si>
  <si>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</si>
  <si>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</si>
  <si>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</si>
  <si>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</si>
  <si>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</si>
  <si>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</si>
  <si>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</si>
  <si>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</si>
  <si>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</si>
  <si>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</si>
  <si>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</si>
  <si>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</si>
  <si>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</si>
  <si>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</si>
  <si>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</si>
  <si>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</si>
  <si>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</si>
  <si>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</si>
  <si>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</si>
  <si>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</si>
  <si>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</si>
  <si>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</si>
  <si>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</si>
  <si>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</si>
  <si>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</si>
  <si>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</si>
  <si>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</si>
  <si>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</si>
  <si>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</si>
  <si>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</si>
  <si>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</si>
  <si>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</si>
  <si>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</si>
  <si>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</si>
  <si>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</si>
  <si>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</si>
  <si>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</si>
  <si>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</si>
  <si>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</si>
  <si>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</si>
  <si>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</si>
  <si>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</si>
  <si>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</si>
  <si>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</si>
  <si>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</si>
  <si>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</si>
  <si>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</si>
  <si>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</si>
  <si>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</si>
  <si>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</si>
  <si>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</si>
  <si>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</si>
  <si>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</si>
  <si>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</si>
  <si>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</si>
  <si>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</si>
  <si>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</si>
  <si>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</si>
  <si>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</si>
  <si>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</si>
  <si>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</si>
  <si>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</si>
  <si>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</si>
  <si>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</si>
  <si>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</si>
  <si>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</si>
  <si>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</si>
  <si>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</si>
  <si>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</si>
  <si>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</si>
  <si>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</si>
  <si>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</si>
  <si>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</si>
  <si>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</si>
  <si>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</si>
  <si>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</si>
  <si>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</si>
  <si>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</si>
  <si>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</si>
  <si>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</si>
  <si>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</si>
  <si>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</si>
  <si>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</si>
  <si>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</si>
  <si>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</si>
  <si>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</si>
  <si>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</si>
  <si>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</si>
  <si>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</si>
  <si>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</si>
  <si>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</si>
  <si>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</si>
  <si>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</si>
  <si>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</si>
  <si>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</si>
  <si>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</si>
  <si>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</si>
  <si>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</si>
  <si>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</si>
  <si>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</si>
  <si>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</si>
  <si>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</si>
  <si>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</si>
  <si>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</si>
  <si>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</si>
  <si>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</si>
  <si>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</si>
  <si>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</si>
  <si>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</si>
  <si>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</si>
  <si>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</si>
  <si>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</si>
  <si>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</si>
  <si>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</si>
  <si>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</si>
  <si>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</si>
  <si>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</si>
  <si>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</si>
  <si>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</si>
  <si>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</si>
  <si>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</si>
  <si>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</si>
  <si>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</si>
  <si>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</si>
  <si>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</si>
  <si>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</si>
  <si>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</si>
  <si>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</si>
  <si>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</si>
  <si>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</si>
  <si>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</si>
  <si>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</si>
  <si>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</si>
  <si>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</si>
  <si>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</si>
  <si>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</si>
  <si>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</si>
  <si>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</si>
  <si>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</si>
  <si>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</si>
  <si>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</si>
  <si>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</si>
  <si>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</si>
  <si>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</si>
  <si>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</si>
  <si>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</si>
  <si>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</si>
  <si>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</si>
  <si>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</si>
  <si>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</si>
  <si>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</si>
  <si>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</si>
  <si>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</si>
  <si>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</si>
  <si>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</si>
  <si>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</si>
  <si>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</si>
  <si>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</si>
  <si>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</si>
  <si>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</si>
  <si>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</si>
  <si>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</si>
  <si>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</si>
  <si>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</si>
  <si>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</si>
  <si>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</si>
  <si>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</si>
  <si>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</si>
  <si>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</si>
  <si>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</si>
  <si>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</si>
  <si>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</si>
  <si>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</si>
  <si>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</si>
  <si>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</si>
  <si>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</si>
  <si>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</si>
  <si>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</si>
  <si>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</si>
  <si>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</si>
  <si>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</si>
  <si>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</si>
  <si>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</si>
  <si>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</si>
  <si>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</si>
  <si>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</si>
  <si>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</si>
  <si>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</si>
  <si>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</si>
  <si>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</si>
  <si>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</si>
  <si>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</si>
  <si>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</si>
  <si>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</si>
  <si>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</si>
  <si>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</si>
  <si>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</si>
  <si>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</si>
  <si>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</si>
  <si>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</si>
  <si>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</si>
  <si>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</si>
  <si>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</si>
  <si>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</si>
  <si>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</si>
  <si>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</si>
  <si>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</si>
  <si>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</si>
  <si>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</si>
  <si>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</si>
  <si>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</si>
  <si>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</si>
  <si>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</si>
  <si>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</si>
  <si>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</si>
  <si>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</si>
  <si>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</si>
  <si>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</si>
  <si>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</si>
  <si>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</si>
  <si>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</si>
  <si>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</si>
  <si>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</si>
  <si>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</si>
  <si>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</si>
  <si>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</si>
  <si>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</si>
  <si>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</si>
  <si>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</si>
  <si>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</si>
  <si>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</si>
  <si>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</si>
  <si>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</si>
  <si>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</si>
  <si>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</si>
  <si>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</si>
  <si>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</si>
  <si>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</si>
  <si>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</si>
  <si>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</si>
  <si>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</si>
  <si>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</si>
  <si>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</si>
  <si>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</si>
  <si>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</si>
  <si>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</si>
  <si>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</si>
  <si>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</si>
  <si>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</si>
  <si>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</si>
  <si>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</si>
  <si>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</si>
  <si>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</si>
  <si>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</si>
  <si>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</si>
  <si>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</si>
  <si>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</si>
  <si>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</si>
  <si>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</si>
  <si>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</si>
  <si>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</si>
  <si>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</si>
  <si>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</si>
  <si>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</si>
  <si>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</si>
  <si>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</si>
  <si>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</si>
  <si>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</si>
  <si>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</si>
  <si>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</si>
  <si>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</si>
  <si>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</si>
  <si>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</si>
  <si>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</si>
  <si>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</si>
  <si>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</si>
  <si>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</si>
  <si>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</si>
  <si>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</si>
  <si>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</si>
  <si>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</si>
  <si>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</si>
  <si>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</si>
  <si>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</si>
  <si>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</si>
  <si>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</si>
  <si>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</si>
  <si>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</si>
  <si>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</si>
  <si>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</si>
  <si>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</si>
  <si>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</si>
  <si>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</si>
  <si>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</si>
  <si>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</si>
  <si>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</si>
  <si>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</si>
  <si>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</si>
  <si>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</si>
  <si>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</si>
  <si>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</si>
  <si>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</si>
  <si>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</si>
  <si>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</si>
  <si>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</si>
  <si>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</si>
  <si>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</si>
  <si>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</si>
  <si>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</si>
  <si>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</si>
  <si>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</si>
  <si>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</si>
  <si>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</si>
  <si>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</si>
  <si>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</si>
  <si>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</si>
  <si>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</si>
  <si>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</si>
  <si>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</si>
  <si>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</si>
  <si>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</si>
  <si>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</si>
  <si>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</si>
  <si>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</si>
  <si>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</si>
  <si>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</si>
  <si>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</si>
  <si>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</si>
  <si>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</si>
  <si>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</si>
  <si>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</si>
  <si>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</si>
  <si>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</si>
  <si>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</si>
  <si>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</si>
  <si>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</si>
  <si>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</si>
  <si>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</si>
  <si>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</si>
  <si>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</si>
  <si>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</si>
  <si>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</si>
  <si>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</si>
  <si>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</si>
  <si>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</si>
  <si>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</si>
  <si>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</si>
  <si>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</si>
  <si>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</si>
  <si>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</si>
  <si>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</si>
  <si>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</si>
  <si>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</si>
  <si>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</si>
  <si>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</si>
  <si>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</si>
  <si>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</si>
  <si>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</si>
  <si>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</si>
  <si>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</si>
  <si>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</si>
  <si>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</si>
  <si>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</si>
  <si>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</si>
  <si>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</si>
  <si>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</si>
  <si>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</si>
  <si>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</si>
  <si>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</si>
  <si>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</si>
  <si>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</si>
  <si>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</si>
  <si>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</si>
  <si>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</si>
  <si>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</si>
  <si>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</si>
  <si>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</si>
  <si>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</si>
  <si>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</si>
  <si>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</si>
  <si>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</si>
  <si>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</si>
  <si>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</si>
  <si>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</si>
  <si>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</si>
  <si>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</si>
  <si>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</si>
  <si>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</si>
  <si>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</si>
  <si>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</si>
  <si>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</si>
  <si>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</si>
  <si>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</si>
  <si>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</si>
  <si>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</si>
  <si>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</si>
  <si>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</si>
  <si>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</si>
  <si>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</si>
  <si>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</si>
  <si>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</si>
  <si>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</si>
  <si>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</si>
  <si>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</si>
  <si>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</si>
  <si>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</si>
  <si>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</si>
  <si>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</si>
  <si>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</si>
  <si>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</si>
  <si>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</si>
  <si>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</si>
  <si>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</si>
  <si>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</si>
  <si>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</si>
  <si>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</si>
  <si>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</si>
  <si>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</si>
  <si>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</si>
  <si>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</si>
  <si>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</si>
  <si>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</si>
  <si>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</si>
  <si>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</si>
  <si>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</si>
  <si>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</si>
  <si>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</si>
  <si>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</si>
  <si>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</si>
  <si>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</si>
  <si>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</si>
  <si>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</si>
  <si>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</si>
  <si>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</si>
  <si>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</si>
  <si>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</si>
  <si>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</si>
  <si>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</si>
  <si>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</si>
  <si>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</si>
  <si>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</si>
  <si>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</si>
  <si>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</si>
  <si>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</si>
  <si>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</si>
  <si>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</si>
  <si>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</si>
  <si>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</si>
  <si>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</si>
  <si>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</si>
  <si>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</si>
  <si>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</si>
  <si>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</si>
  <si>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</si>
  <si>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</si>
  <si>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</si>
  <si>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</si>
  <si>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</si>
  <si>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</si>
  <si>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</si>
  <si>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</si>
  <si>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</si>
  <si>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</si>
  <si>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</si>
  <si>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</si>
  <si>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</si>
  <si>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</si>
  <si>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</si>
  <si>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</si>
  <si>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</si>
  <si>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</si>
  <si>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</si>
  <si>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</si>
  <si>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</si>
  <si>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</si>
  <si>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</si>
  <si>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</si>
  <si>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</si>
  <si>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</si>
  <si>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</si>
  <si>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</si>
  <si>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</si>
  <si>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</si>
  <si>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</si>
  <si>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</si>
  <si>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</si>
  <si>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</si>
  <si>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</si>
  <si>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</si>
  <si>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</si>
  <si>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</si>
  <si>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</si>
  <si>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</si>
  <si>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</si>
  <si>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</si>
  <si>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</si>
  <si>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</si>
  <si>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</si>
  <si>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</si>
  <si>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</si>
  <si>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</si>
  <si>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</si>
  <si>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</si>
  <si>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</si>
  <si>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</si>
  <si>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</si>
  <si>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</si>
  <si>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</si>
  <si>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</si>
  <si>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</si>
  <si>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</si>
  <si>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</si>
  <si>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</si>
  <si>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</si>
  <si>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</si>
  <si>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</si>
  <si>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</si>
  <si>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</si>
  <si>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</si>
  <si>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</si>
  <si>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</si>
  <si>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</si>
  <si>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</si>
  <si>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</si>
  <si>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</si>
  <si>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</si>
  <si>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</si>
  <si>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</si>
  <si>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</si>
  <si>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</si>
  <si>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</si>
  <si>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</si>
  <si>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</si>
  <si>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</si>
  <si>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</si>
  <si>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</si>
  <si>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</si>
  <si>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</si>
  <si>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</si>
  <si>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</si>
  <si>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</si>
  <si>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</si>
  <si>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</si>
  <si>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</si>
  <si>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</si>
  <si>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</si>
  <si>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</si>
  <si>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</si>
  <si>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</si>
  <si>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</si>
  <si>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</si>
  <si>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</si>
  <si>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</si>
  <si>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</si>
  <si>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</si>
  <si>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</si>
  <si>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</si>
  <si>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</si>
  <si>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</si>
  <si>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</si>
  <si>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</si>
  <si>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</si>
  <si>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</si>
  <si>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</si>
  <si>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</si>
  <si>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</si>
  <si>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</si>
  <si>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</si>
  <si>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</si>
  <si>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</si>
  <si>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</si>
  <si>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</si>
  <si>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</si>
  <si>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</si>
  <si>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</si>
  <si>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</si>
  <si>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</si>
  <si>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</si>
  <si>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</si>
  <si>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</si>
  <si>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</si>
  <si>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</si>
  <si>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</si>
  <si>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</si>
  <si>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</si>
  <si>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</si>
  <si>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</si>
  <si>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</si>
  <si>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</si>
  <si>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</si>
  <si>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</si>
  <si>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</si>
  <si>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</si>
  <si>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</si>
  <si>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</si>
  <si>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</si>
  <si>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</si>
  <si>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</si>
  <si>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</si>
  <si>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</si>
  <si>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</si>
  <si>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</si>
  <si>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</si>
  <si>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</si>
  <si>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</si>
  <si>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</si>
  <si>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</si>
  <si>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</si>
  <si>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</si>
  <si>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</si>
  <si>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</si>
  <si>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</si>
  <si>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</si>
  <si>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</si>
  <si>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</si>
  <si>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</si>
  <si>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</si>
  <si>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</si>
  <si>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</si>
  <si>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</si>
  <si>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</si>
  <si>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</si>
  <si>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</si>
  <si>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</si>
  <si>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</si>
  <si>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</si>
  <si>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</si>
  <si>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</si>
  <si>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</si>
  <si>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</si>
  <si>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</si>
  <si>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</si>
  <si>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</si>
  <si>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</si>
  <si>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</si>
  <si>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</si>
  <si>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</si>
  <si>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</si>
  <si>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</si>
  <si>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</si>
  <si>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</si>
  <si>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</si>
  <si>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</si>
  <si>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</si>
  <si>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</si>
  <si>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</si>
  <si>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</si>
  <si>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</si>
  <si>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</si>
  <si>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</si>
  <si>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</si>
  <si>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</si>
  <si>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UPAH LAIN-LAIN</t>
  </si>
  <si>
    <t>Staff Teknik</t>
  </si>
  <si>
    <t>TL. Teknik</t>
  </si>
  <si>
    <t>MULP</t>
  </si>
  <si>
    <t>PEMASANGAN TRAFO</t>
  </si>
  <si>
    <t>CJ5-T</t>
  </si>
  <si>
    <t>CJ6-T</t>
  </si>
  <si>
    <t>MJ6-T</t>
  </si>
  <si>
    <t>PEMBANGUNAN JARINGAN TR</t>
  </si>
  <si>
    <t>Pemasangan APP 1 Fasa Di Bangunan</t>
  </si>
  <si>
    <t>DPU-POMPA AIR LOIRENG</t>
  </si>
  <si>
    <t>KOORDINAT : -6.936508, 110.542413</t>
  </si>
  <si>
    <t>https://goo.gl/maps/MxXpoCT4nTUC1wo48</t>
  </si>
  <si>
    <t>DS LOIRENG KEC. SAYUNG</t>
  </si>
  <si>
    <t>SYG 5 - 32</t>
  </si>
  <si>
    <t>SYG 05</t>
  </si>
  <si>
    <t>DPU-RUMAH POMPA LOIRENG</t>
  </si>
  <si>
    <t>Trafo 3 Fasa 50 KVA 1 Tiang (G312-A)</t>
  </si>
  <si>
    <t xml:space="preserve">Jumper Wire : </t>
  </si>
  <si>
    <t>CM2-11M</t>
  </si>
  <si>
    <t>Stainless Steel Strap 20 X 0.7 mm</t>
  </si>
  <si>
    <t>Daya 10.600 VA</t>
  </si>
  <si>
    <t>ACHMAD SUHENDRO</t>
  </si>
  <si>
    <t>MANAGER ULP</t>
  </si>
  <si>
    <t>Demak, 21 JUNI 2023</t>
  </si>
  <si>
    <t>Asman Ren</t>
  </si>
  <si>
    <t>P1T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</si>
</sst>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75" fillId="0" borderId="0" applyNumberFormat="0" applyFill="0" applyBorder="0" applyAlignment="0" applyProtection="0"/>
  </cellStyleXfs>
  <cellXfs count="718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1" fillId="0" borderId="21" xfId="1652" applyFont="1" applyBorder="1" applyAlignment="1">
      <alignment vertical="center" wrapText="1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37" fontId="149" fillId="0" borderId="0" xfId="1614" applyNumberFormat="1" applyFont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0" xfId="1614" applyNumberFormat="1" applyFont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48" fillId="0" borderId="0" xfId="1614" applyFont="1" applyAlignment="1">
      <alignment horizontal="center" vertic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167" fontId="140" fillId="40" borderId="85" xfId="2672" applyFont="1" applyFill="1" applyBorder="1" applyAlignment="1" applyProtection="1">
      <alignment horizontal="right" vertical="center" wrapText="1"/>
      <protection locked="0"/>
    </xf>
    <xf numFmtId="167" fontId="140" fillId="40" borderId="87" xfId="2672" applyFont="1" applyFill="1" applyBorder="1" applyAlignment="1" applyProtection="1">
      <alignment horizontal="right" vertical="center"/>
      <protection locked="0"/>
    </xf>
    <xf numFmtId="169" fontId="140" fillId="40" borderId="87" xfId="2672" applyNumberFormat="1" applyFont="1" applyFill="1" applyBorder="1" applyAlignment="1" applyProtection="1">
      <alignment horizontal="right" vertical="center"/>
      <protection locked="0"/>
    </xf>
    <xf numFmtId="169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7" borderId="0" xfId="2672" applyNumberFormat="1" applyFont="1" applyFill="1" applyBorder="1" applyAlignment="1" applyProtection="1">
      <alignment horizontal="right" vertical="center"/>
    </xf>
    <xf numFmtId="0" fontId="5" fillId="0" borderId="20" xfId="1652" applyFont="1" applyBorder="1" applyAlignment="1">
      <alignment horizontal="center" vertical="center"/>
    </xf>
    <xf numFmtId="0" fontId="174" fillId="0" borderId="69" xfId="1450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119" fillId="0" borderId="99" xfId="1450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75" fillId="33" borderId="0" xfId="2678" applyFill="1"/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43" fillId="0" borderId="21" xfId="0" applyFont="1" applyBorder="1" applyAlignment="1">
      <alignment horizontal="left" vertical="center" wrapText="1"/>
    </xf>
    <xf numFmtId="3" fontId="9" fillId="0" borderId="21" xfId="1599" applyNumberFormat="1" applyFont="1" applyBorder="1" applyAlignment="1">
      <alignment horizontal="center" vertical="center"/>
    </xf>
    <xf numFmtId="0" fontId="113" fillId="0" borderId="21" xfId="1652" applyFont="1" applyBorder="1" applyAlignment="1">
      <alignment vertical="center"/>
    </xf>
    <xf numFmtId="0" fontId="43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8" fontId="119" fillId="0" borderId="73" xfId="1450" applyNumberFormat="1" applyFont="1" applyBorder="1" applyAlignment="1">
      <alignment horizontal="left" vertical="center"/>
    </xf>
    <xf numFmtId="208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14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0.21200000000000002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2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2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78441</xdr:colOff>
      <xdr:row>37</xdr:row>
      <xdr:rowOff>67235</xdr:rowOff>
    </xdr:from>
    <xdr:to>
      <xdr:col>19</xdr:col>
      <xdr:colOff>392205</xdr:colOff>
      <xdr:row>40</xdr:row>
      <xdr:rowOff>112059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829A91-2830-4A37-A3FF-61C9A3796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7353" y="8875059"/>
          <a:ext cx="313764" cy="7283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408215</xdr:colOff>
      <xdr:row>95</xdr:row>
      <xdr:rowOff>122464</xdr:rowOff>
    </xdr:from>
    <xdr:to>
      <xdr:col>10</xdr:col>
      <xdr:colOff>703453</xdr:colOff>
      <xdr:row>99</xdr:row>
      <xdr:rowOff>88846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904ACE-15D4-4F3B-AA89-6D3F8DD70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2786" y="18328821"/>
          <a:ext cx="295238" cy="72838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329626</xdr:colOff>
      <xdr:row>1</xdr:row>
      <xdr:rowOff>78441</xdr:rowOff>
    </xdr:from>
    <xdr:to>
      <xdr:col>21</xdr:col>
      <xdr:colOff>44925</xdr:colOff>
      <xdr:row>6</xdr:row>
      <xdr:rowOff>76911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AAAFD724-B75A-47C3-9399-441148F7BB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39391" y="235323"/>
          <a:ext cx="858299" cy="782882"/>
        </a:xfrm>
        <a:prstGeom prst="rect">
          <a:avLst/>
        </a:prstGeom>
      </xdr:spPr>
    </xdr:pic>
    <xdr:clientData/>
  </xdr:twoCellAnchor>
  <xdr:twoCellAnchor>
    <xdr:from>
      <xdr:col>26</xdr:col>
      <xdr:colOff>11987</xdr:colOff>
      <xdr:row>5</xdr:row>
      <xdr:rowOff>28195</xdr:rowOff>
    </xdr:from>
    <xdr:to>
      <xdr:col>29</xdr:col>
      <xdr:colOff>298573</xdr:colOff>
      <xdr:row>16</xdr:row>
      <xdr:rowOff>88920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45BE0520-4E5A-4245-B259-DA32F71DB8DC}"/>
            </a:ext>
          </a:extLst>
        </xdr:cNvPr>
        <xdr:cNvGrpSpPr/>
      </xdr:nvGrpSpPr>
      <xdr:grpSpPr>
        <a:xfrm>
          <a:off x="9512139" y="806760"/>
          <a:ext cx="1487564" cy="1717247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id="{9412D9AA-5951-4E10-BEC5-7109B30BFE4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id="{AF206DC6-6406-4918-B6F1-BAE64D7D59E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id="{E83BC8C5-4828-4EA8-8419-9B2555EF752E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7">
              <a:extLst>
                <a:ext uri="{FF2B5EF4-FFF2-40B4-BE49-F238E27FC236}">
                  <a16:creationId xmlns:a16="http://schemas.microsoft.com/office/drawing/2014/main" id="{B4FED70A-C867-4B9A-8B26-B6A9B8A5CA93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F5F01811-1A60-4F9B-99C3-EE39BDC92F73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3" name="Group 132">
            <a:extLst>
              <a:ext uri="{FF2B5EF4-FFF2-40B4-BE49-F238E27FC236}">
                <a16:creationId xmlns:a16="http://schemas.microsoft.com/office/drawing/2014/main" id="{786485FE-823A-4AA5-A10A-929A5E9D4217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id="{BF5D4B79-1AEC-4989-97DD-47BF1FAF4D3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id="{8CE540F6-9455-4DD4-92BA-6D712E2E666C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id="{139BC90A-F074-4140-A64C-F1530AFB977C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70266B81-2C26-43E5-A4F2-AFFC4124490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F24A3AE0-2794-4C47-839A-2C6FE73B6698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54315F1A-D0B3-4121-9BC0-F87769F8B388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8C108C54-148B-4915-976D-BF88FDA15332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18076C5C-FA00-4E1B-AD3E-3B93F9DD4213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F062578B-CCE0-4F26-817E-4BA749E8A23B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728C744B-F48E-4BCB-B147-E4AFC65F700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2467518C-BE84-4A1B-A0EE-5D053B3481BF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DA9D9325-A801-43A6-BB30-0B0C40688D3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D817108B-5C33-4B1D-A007-6BBACFF9B1C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F854F61D-B960-4137-ADDE-9B23AB4A999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9B31F27C-02BB-4170-878D-B77D5C3E647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302E65E-9ACE-47BF-B56B-21A54C01FD9D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id="{17EC2D06-3D11-4143-B213-9A0915ED8A8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9CBA07D0-0E21-4202-BA83-A10E261AD82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id="{A1378599-2CC7-4EFC-AF96-DD4F7C038826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0D3607A8-871E-4A5B-8D82-E6121E6FA1DB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166F0B55-DF94-4CD4-A86D-263D3409857C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E5ABBE26-8929-4C9D-99AD-6402A40E2499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948FC064-0283-4242-AB1F-5BA6A20409D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2A82C516-63FF-4E37-BC7C-7D60C5961ED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9B5273B3-A9FC-4E02-BFDC-5FF0E9F7E207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610C6822-F36C-4086-9E75-D60936884043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E4033C22-3F2E-40DD-839E-E564E48CD38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id="{A17B6CA2-B7E4-484B-961D-60451A02047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id="{F34E2CB1-DDA7-4D9E-9FBF-90DE817E5ED9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85" name="TextBox 184">
              <a:extLst>
                <a:ext uri="{FF2B5EF4-FFF2-40B4-BE49-F238E27FC236}">
                  <a16:creationId xmlns:a16="http://schemas.microsoft.com/office/drawing/2014/main" id="{69DF00D0-96DB-4322-98E1-48337680F97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id="{0030C649-8FC8-4581-8C23-A15AB52A8418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id="{BC56B58B-304B-4F01-A8BC-602053B22DD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182">
              <a:extLst>
                <a:ext uri="{FF2B5EF4-FFF2-40B4-BE49-F238E27FC236}">
                  <a16:creationId xmlns:a16="http://schemas.microsoft.com/office/drawing/2014/main" id="{C2E72D68-CC5A-43DD-9A3B-4EF804453E0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EB9674B9-AD53-4BC7-95ED-CF335F21ECE9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id="{89B24793-2F73-4404-82E0-FBD94E64D8EF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id="{9F3ABF18-E81B-435F-A861-7B8E29A6CEE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id="{E01FC15D-D3E7-420A-8A44-1D44F332C9BD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id="{C8524247-49F9-4C93-BB42-300D51C4DA7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id="{F64AB99B-647D-452F-8ABC-F1D8A20AAD5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id="{BEEDC45C-1AF9-4661-A8DF-88562FDFA54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6354A39A-6B36-499F-ACE8-B375DCBC248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93A935C9-A72F-4595-A71C-A6D1404DC40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id="{2363C326-01BA-46AF-AE25-F2FA7E5E9BE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id="{3787295C-D691-486F-9DE1-DD7706C7337A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159C1259-84FE-4CA5-BE4F-82C1DF99C73C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EC9D32EC-3133-4EC7-93C3-899095342127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id="{D42E6A92-E02B-4BBF-B492-E619FC28BF41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4CF0C972-CF48-42C2-BD85-C4E43B670364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id="{768108EF-083D-442F-AEDF-772DB88AD25D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id="{4CC685D9-FF2C-4026-8A28-EB1D8E3DC56C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id="{B24CF195-46CC-408B-ABC9-B33898B23D63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id="{FA1A4C52-6671-4036-8CD8-910D427B02A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id="{F9745F95-DD3A-4728-85F9-F55D8BD46A2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E74B8469-0BEE-4B9C-8ED4-6A1BD19A0B79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A87E6555-21A5-4BA9-80F7-910B4BC51D8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id="{A557F8A8-6C36-4616-A6E5-9A8207897F4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82385</xdr:colOff>
      <xdr:row>14</xdr:row>
      <xdr:rowOff>79457</xdr:rowOff>
    </xdr:from>
    <xdr:to>
      <xdr:col>11</xdr:col>
      <xdr:colOff>237476</xdr:colOff>
      <xdr:row>15</xdr:row>
      <xdr:rowOff>81728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DDCDE8D5-6E0F-44DD-B4CF-B6B3E3728F6F}"/>
            </a:ext>
          </a:extLst>
        </xdr:cNvPr>
        <xdr:cNvCxnSpPr>
          <a:cxnSpLocks/>
          <a:stCxn id="219" idx="1"/>
          <a:endCxn id="240" idx="0"/>
        </xdr:cNvCxnSpPr>
      </xdr:nvCxnSpPr>
      <xdr:spPr>
        <a:xfrm flipH="1" flipV="1">
          <a:off x="3821628" y="2245714"/>
          <a:ext cx="155091" cy="15467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235578</xdr:colOff>
      <xdr:row>29</xdr:row>
      <xdr:rowOff>136968</xdr:rowOff>
    </xdr:from>
    <xdr:to>
      <xdr:col>12</xdr:col>
      <xdr:colOff>181984</xdr:colOff>
      <xdr:row>31</xdr:row>
      <xdr:rowOff>113328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D77B64AF-B90B-4DD6-A775-1618BF2906A7}"/>
            </a:ext>
          </a:extLst>
        </xdr:cNvPr>
        <xdr:cNvCxnSpPr/>
      </xdr:nvCxnSpPr>
      <xdr:spPr>
        <a:xfrm flipH="1">
          <a:off x="2073343" y="4686556"/>
          <a:ext cx="2232406" cy="278919"/>
        </a:xfrm>
        <a:prstGeom prst="line">
          <a:avLst/>
        </a:prstGeom>
        <a:ln w="127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245832</xdr:colOff>
      <xdr:row>9</xdr:row>
      <xdr:rowOff>129219</xdr:rowOff>
    </xdr:from>
    <xdr:to>
      <xdr:col>11</xdr:col>
      <xdr:colOff>245832</xdr:colOff>
      <xdr:row>33</xdr:row>
      <xdr:rowOff>111899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C15A4883-036F-469D-9EB5-54BF20E2E5D2}"/>
            </a:ext>
          </a:extLst>
        </xdr:cNvPr>
        <xdr:cNvCxnSpPr/>
      </xdr:nvCxnSpPr>
      <xdr:spPr>
        <a:xfrm flipV="1">
          <a:off x="3985075" y="1522590"/>
          <a:ext cx="0" cy="364028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123369</xdr:colOff>
      <xdr:row>10</xdr:row>
      <xdr:rowOff>7060</xdr:rowOff>
    </xdr:from>
    <xdr:to>
      <xdr:col>12</xdr:col>
      <xdr:colOff>138248</xdr:colOff>
      <xdr:row>33</xdr:row>
      <xdr:rowOff>111481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CD70414F-030C-4295-9412-8F1C31BDA75A}"/>
            </a:ext>
          </a:extLst>
        </xdr:cNvPr>
        <xdr:cNvCxnSpPr/>
      </xdr:nvCxnSpPr>
      <xdr:spPr>
        <a:xfrm flipH="1">
          <a:off x="4247134" y="1575884"/>
          <a:ext cx="14879" cy="370150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67057</xdr:colOff>
      <xdr:row>29</xdr:row>
      <xdr:rowOff>9530</xdr:rowOff>
    </xdr:from>
    <xdr:to>
      <xdr:col>10</xdr:col>
      <xdr:colOff>131430</xdr:colOff>
      <xdr:row>31</xdr:row>
      <xdr:rowOff>73805</xdr:rowOff>
    </xdr:to>
    <xdr:sp macro="" textlink="">
      <xdr:nvSpPr>
        <xdr:cNvPr id="200" name="Arc 199">
          <a:extLst>
            <a:ext uri="{FF2B5EF4-FFF2-40B4-BE49-F238E27FC236}">
              <a16:creationId xmlns:a16="http://schemas.microsoft.com/office/drawing/2014/main" id="{CF12B4BC-2E0B-4BA3-865E-C8F421B65D63}"/>
            </a:ext>
          </a:extLst>
        </xdr:cNvPr>
        <xdr:cNvSpPr/>
      </xdr:nvSpPr>
      <xdr:spPr>
        <a:xfrm rot="21512589">
          <a:off x="3047822" y="4559118"/>
          <a:ext cx="445373" cy="366834"/>
        </a:xfrm>
        <a:prstGeom prst="arc">
          <a:avLst>
            <a:gd name="adj1" fmla="val 16200000"/>
            <a:gd name="adj2" fmla="val 17467"/>
          </a:avLst>
        </a:prstGeom>
        <a:ln w="127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 u="sng"/>
        </a:p>
      </xdr:txBody>
    </xdr:sp>
    <xdr:clientData/>
  </xdr:twoCellAnchor>
  <xdr:twoCellAnchor>
    <xdr:from>
      <xdr:col>6</xdr:col>
      <xdr:colOff>56029</xdr:colOff>
      <xdr:row>27</xdr:row>
      <xdr:rowOff>65244</xdr:rowOff>
    </xdr:from>
    <xdr:to>
      <xdr:col>9</xdr:col>
      <xdr:colOff>245800</xdr:colOff>
      <xdr:row>31</xdr:row>
      <xdr:rowOff>103089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26BCE26B-4CEF-4FD1-8C8B-D1055C304C1D}"/>
            </a:ext>
          </a:extLst>
        </xdr:cNvPr>
        <xdr:cNvCxnSpPr/>
      </xdr:nvCxnSpPr>
      <xdr:spPr>
        <a:xfrm rot="1226917" flipH="1">
          <a:off x="1893794" y="4301068"/>
          <a:ext cx="1332771" cy="654168"/>
        </a:xfrm>
        <a:prstGeom prst="line">
          <a:avLst/>
        </a:prstGeom>
        <a:ln w="127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1782</xdr:colOff>
      <xdr:row>13</xdr:row>
      <xdr:rowOff>44876</xdr:rowOff>
    </xdr:from>
    <xdr:to>
      <xdr:col>13</xdr:col>
      <xdr:colOff>210359</xdr:colOff>
      <xdr:row>18</xdr:row>
      <xdr:rowOff>32844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EA6319A8-F4CC-4A9C-989D-50732BA5FD9E}"/>
            </a:ext>
          </a:extLst>
        </xdr:cNvPr>
        <xdr:cNvSpPr txBox="1"/>
      </xdr:nvSpPr>
      <xdr:spPr>
        <a:xfrm>
          <a:off x="4120523" y="2048410"/>
          <a:ext cx="589577" cy="7434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SYG05-32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  <xdr:twoCellAnchor>
    <xdr:from>
      <xdr:col>8</xdr:col>
      <xdr:colOff>27148</xdr:colOff>
      <xdr:row>31</xdr:row>
      <xdr:rowOff>143244</xdr:rowOff>
    </xdr:from>
    <xdr:to>
      <xdr:col>9</xdr:col>
      <xdr:colOff>284660</xdr:colOff>
      <xdr:row>35</xdr:row>
      <xdr:rowOff>102576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88EF708C-B88F-429A-8EC2-A41A92EF7070}"/>
            </a:ext>
          </a:extLst>
        </xdr:cNvPr>
        <xdr:cNvSpPr txBox="1"/>
      </xdr:nvSpPr>
      <xdr:spPr>
        <a:xfrm>
          <a:off x="2620879" y="4927725"/>
          <a:ext cx="638512" cy="57479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C9-350 DAN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CA5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  <xdr:twoCellAnchor>
    <xdr:from>
      <xdr:col>9</xdr:col>
      <xdr:colOff>276497</xdr:colOff>
      <xdr:row>18</xdr:row>
      <xdr:rowOff>3913</xdr:rowOff>
    </xdr:from>
    <xdr:to>
      <xdr:col>11</xdr:col>
      <xdr:colOff>76744</xdr:colOff>
      <xdr:row>21</xdr:row>
      <xdr:rowOff>65943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64C76258-D93E-47C8-A98B-42335C5C844D}"/>
            </a:ext>
          </a:extLst>
        </xdr:cNvPr>
        <xdr:cNvSpPr txBox="1"/>
      </xdr:nvSpPr>
      <xdr:spPr>
        <a:xfrm>
          <a:off x="3251228" y="2795471"/>
          <a:ext cx="562247" cy="52362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11</xdr:col>
      <xdr:colOff>238878</xdr:colOff>
      <xdr:row>26</xdr:row>
      <xdr:rowOff>95685</xdr:rowOff>
    </xdr:from>
    <xdr:to>
      <xdr:col>11</xdr:col>
      <xdr:colOff>349396</xdr:colOff>
      <xdr:row>27</xdr:row>
      <xdr:rowOff>50672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id="{AD2D6225-7422-41B4-BAE3-79DFD5BA7492}"/>
            </a:ext>
          </a:extLst>
        </xdr:cNvPr>
        <xdr:cNvGrpSpPr/>
      </xdr:nvGrpSpPr>
      <xdr:grpSpPr>
        <a:xfrm>
          <a:off x="3982617" y="4021642"/>
          <a:ext cx="110518" cy="1040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7" name="Oval 206">
            <a:extLst>
              <a:ext uri="{FF2B5EF4-FFF2-40B4-BE49-F238E27FC236}">
                <a16:creationId xmlns:a16="http://schemas.microsoft.com/office/drawing/2014/main" id="{352CDD8F-18A0-430A-82EB-D7A0C9B36F2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F78DFC67-7935-4A1C-8507-8F42000D8FC3}"/>
              </a:ext>
            </a:extLst>
          </xdr:cNvPr>
          <xdr:cNvCxnSpPr>
            <a:stCxn id="207" idx="1"/>
            <a:endCxn id="20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5024AE6E-DAF1-436C-BCD0-044073074F6D}"/>
              </a:ext>
            </a:extLst>
          </xdr:cNvPr>
          <xdr:cNvCxnSpPr>
            <a:stCxn id="207" idx="3"/>
            <a:endCxn id="20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238878</xdr:colOff>
      <xdr:row>22</xdr:row>
      <xdr:rowOff>55015</xdr:rowOff>
    </xdr:from>
    <xdr:to>
      <xdr:col>11</xdr:col>
      <xdr:colOff>349396</xdr:colOff>
      <xdr:row>23</xdr:row>
      <xdr:rowOff>16614</xdr:rowOff>
    </xdr:to>
    <xdr:grpSp>
      <xdr:nvGrpSpPr>
        <xdr:cNvPr id="210" name="Group 209">
          <a:extLst>
            <a:ext uri="{FF2B5EF4-FFF2-40B4-BE49-F238E27FC236}">
              <a16:creationId xmlns:a16="http://schemas.microsoft.com/office/drawing/2014/main" id="{135E77CA-D697-4D09-B4BC-66C12CFAB4D3}"/>
            </a:ext>
          </a:extLst>
        </xdr:cNvPr>
        <xdr:cNvGrpSpPr/>
      </xdr:nvGrpSpPr>
      <xdr:grpSpPr>
        <a:xfrm>
          <a:off x="3982617" y="3384624"/>
          <a:ext cx="110518" cy="11068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1" name="Oval 210">
            <a:extLst>
              <a:ext uri="{FF2B5EF4-FFF2-40B4-BE49-F238E27FC236}">
                <a16:creationId xmlns:a16="http://schemas.microsoft.com/office/drawing/2014/main" id="{7F5584FF-41B5-46B0-B6C7-8E9727C412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AAF6AEA6-0FDD-4E7E-A255-323DE2C42ADC}"/>
              </a:ext>
            </a:extLst>
          </xdr:cNvPr>
          <xdr:cNvCxnSpPr>
            <a:stCxn id="211" idx="1"/>
            <a:endCxn id="2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121A32D0-A501-4091-A0AC-4F30D97E8297}"/>
              </a:ext>
            </a:extLst>
          </xdr:cNvPr>
          <xdr:cNvCxnSpPr>
            <a:stCxn id="211" idx="3"/>
            <a:endCxn id="2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227153</xdr:colOff>
      <xdr:row>18</xdr:row>
      <xdr:rowOff>138950</xdr:rowOff>
    </xdr:from>
    <xdr:to>
      <xdr:col>11</xdr:col>
      <xdr:colOff>337671</xdr:colOff>
      <xdr:row>19</xdr:row>
      <xdr:rowOff>93937</xdr:rowOff>
    </xdr:to>
    <xdr:grpSp>
      <xdr:nvGrpSpPr>
        <xdr:cNvPr id="214" name="Group 213">
          <a:extLst>
            <a:ext uri="{FF2B5EF4-FFF2-40B4-BE49-F238E27FC236}">
              <a16:creationId xmlns:a16="http://schemas.microsoft.com/office/drawing/2014/main" id="{E1195F7C-64CD-4976-9350-F9C721262BA7}"/>
            </a:ext>
          </a:extLst>
        </xdr:cNvPr>
        <xdr:cNvGrpSpPr/>
      </xdr:nvGrpSpPr>
      <xdr:grpSpPr>
        <a:xfrm>
          <a:off x="3970892" y="2872211"/>
          <a:ext cx="110518" cy="104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89BC831D-B542-4D26-88C3-BF35890F243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42F463AF-788A-403E-BC09-8501D1361761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AD1DE3C2-08D2-4578-AAC9-75DD3B3E7AEB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221291</xdr:colOff>
      <xdr:row>15</xdr:row>
      <xdr:rowOff>66002</xdr:rowOff>
    </xdr:from>
    <xdr:to>
      <xdr:col>11</xdr:col>
      <xdr:colOff>331809</xdr:colOff>
      <xdr:row>16</xdr:row>
      <xdr:rowOff>20989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6F6BED5B-518E-407C-8C24-79A5031CDC82}"/>
            </a:ext>
          </a:extLst>
        </xdr:cNvPr>
        <xdr:cNvGrpSpPr/>
      </xdr:nvGrpSpPr>
      <xdr:grpSpPr>
        <a:xfrm>
          <a:off x="3965030" y="2352002"/>
          <a:ext cx="110518" cy="104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9" name="Oval 218">
            <a:extLst>
              <a:ext uri="{FF2B5EF4-FFF2-40B4-BE49-F238E27FC236}">
                <a16:creationId xmlns:a16="http://schemas.microsoft.com/office/drawing/2014/main" id="{45B78114-24DD-4D87-9AAF-84C1B48E171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87F30B01-F81D-4A21-BA09-D74D2D823CE9}"/>
              </a:ext>
            </a:extLst>
          </xdr:cNvPr>
          <xdr:cNvCxnSpPr>
            <a:stCxn id="219" idx="1"/>
            <a:endCxn id="2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8A9CAA1E-02F0-4FE2-8247-6ED268499380}"/>
              </a:ext>
            </a:extLst>
          </xdr:cNvPr>
          <xdr:cNvCxnSpPr>
            <a:stCxn id="219" idx="3"/>
            <a:endCxn id="2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221291</xdr:colOff>
      <xdr:row>10</xdr:row>
      <xdr:rowOff>100901</xdr:rowOff>
    </xdr:from>
    <xdr:to>
      <xdr:col>11</xdr:col>
      <xdr:colOff>331809</xdr:colOff>
      <xdr:row>11</xdr:row>
      <xdr:rowOff>55889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5D3A91C0-70CB-4133-B7EF-6D9A17141959}"/>
            </a:ext>
          </a:extLst>
        </xdr:cNvPr>
        <xdr:cNvGrpSpPr/>
      </xdr:nvGrpSpPr>
      <xdr:grpSpPr>
        <a:xfrm>
          <a:off x="3965030" y="1624901"/>
          <a:ext cx="110518" cy="104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3" name="Oval 222">
            <a:extLst>
              <a:ext uri="{FF2B5EF4-FFF2-40B4-BE49-F238E27FC236}">
                <a16:creationId xmlns:a16="http://schemas.microsoft.com/office/drawing/2014/main" id="{C6CD76F6-783D-4BE9-B0D4-6C975B9EA31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ABF31E22-B418-4521-B984-A5064DAC7FC9}"/>
              </a:ext>
            </a:extLst>
          </xdr:cNvPr>
          <xdr:cNvCxnSpPr>
            <a:stCxn id="223" idx="1"/>
            <a:endCxn id="2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90E0C338-171F-4949-B69E-DAE756D1C269}"/>
              </a:ext>
            </a:extLst>
          </xdr:cNvPr>
          <xdr:cNvCxnSpPr>
            <a:stCxn id="223" idx="3"/>
            <a:endCxn id="2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198931</xdr:colOff>
      <xdr:row>31</xdr:row>
      <xdr:rowOff>68821</xdr:rowOff>
    </xdr:from>
    <xdr:to>
      <xdr:col>10</xdr:col>
      <xdr:colOff>310119</xdr:colOff>
      <xdr:row>32</xdr:row>
      <xdr:rowOff>23809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18DB6730-E86C-4E7F-B2C9-F12F5B6BAA1F}"/>
            </a:ext>
          </a:extLst>
        </xdr:cNvPr>
        <xdr:cNvGrpSpPr/>
      </xdr:nvGrpSpPr>
      <xdr:grpSpPr>
        <a:xfrm>
          <a:off x="3561670" y="4731930"/>
          <a:ext cx="111188" cy="104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7" name="Oval 226">
            <a:extLst>
              <a:ext uri="{FF2B5EF4-FFF2-40B4-BE49-F238E27FC236}">
                <a16:creationId xmlns:a16="http://schemas.microsoft.com/office/drawing/2014/main" id="{AF5C5C7B-8885-4C49-A39A-C0460273E26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4249834D-92E9-407B-8E4E-F3B2B5422380}"/>
              </a:ext>
            </a:extLst>
          </xdr:cNvPr>
          <xdr:cNvCxnSpPr>
            <a:stCxn id="227" idx="1"/>
            <a:endCxn id="2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F49952DD-018E-489D-A8BF-1E8EF149DC0F}"/>
              </a:ext>
            </a:extLst>
          </xdr:cNvPr>
          <xdr:cNvCxnSpPr>
            <a:stCxn id="227" idx="3"/>
            <a:endCxn id="2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291069</xdr:colOff>
      <xdr:row>31</xdr:row>
      <xdr:rowOff>56046</xdr:rowOff>
    </xdr:from>
    <xdr:to>
      <xdr:col>11</xdr:col>
      <xdr:colOff>249201</xdr:colOff>
      <xdr:row>31</xdr:row>
      <xdr:rowOff>93076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04340386-B73A-4176-8ACF-460E314D4F9B}"/>
            </a:ext>
          </a:extLst>
        </xdr:cNvPr>
        <xdr:cNvCxnSpPr>
          <a:endCxn id="248" idx="1"/>
        </xdr:cNvCxnSpPr>
      </xdr:nvCxnSpPr>
      <xdr:spPr>
        <a:xfrm flipV="1">
          <a:off x="3652834" y="4908193"/>
          <a:ext cx="339132" cy="37030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25803</xdr:colOff>
      <xdr:row>32</xdr:row>
      <xdr:rowOff>49064</xdr:rowOff>
    </xdr:from>
    <xdr:to>
      <xdr:col>10</xdr:col>
      <xdr:colOff>175575</xdr:colOff>
      <xdr:row>33</xdr:row>
      <xdr:rowOff>29511</xdr:rowOff>
    </xdr:to>
    <xdr:sp macro="" textlink="">
      <xdr:nvSpPr>
        <xdr:cNvPr id="231" name="Isosceles Triangle 230">
          <a:extLst>
            <a:ext uri="{FF2B5EF4-FFF2-40B4-BE49-F238E27FC236}">
              <a16:creationId xmlns:a16="http://schemas.microsoft.com/office/drawing/2014/main" id="{294AFACB-1010-4677-B7F5-40CB4402DE9F}"/>
            </a:ext>
          </a:extLst>
        </xdr:cNvPr>
        <xdr:cNvSpPr/>
      </xdr:nvSpPr>
      <xdr:spPr>
        <a:xfrm>
          <a:off x="3387568" y="5058093"/>
          <a:ext cx="149772" cy="13733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106402</xdr:colOff>
      <xdr:row>11</xdr:row>
      <xdr:rowOff>12134</xdr:rowOff>
    </xdr:from>
    <xdr:to>
      <xdr:col>11</xdr:col>
      <xdr:colOff>356818</xdr:colOff>
      <xdr:row>13</xdr:row>
      <xdr:rowOff>102024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15F55F29-2BE4-4AE9-8909-66BA2D9AE30A}"/>
            </a:ext>
          </a:extLst>
        </xdr:cNvPr>
        <xdr:cNvSpPr txBox="1"/>
      </xdr:nvSpPr>
      <xdr:spPr>
        <a:xfrm rot="16200000">
          <a:off x="3772547" y="1814460"/>
          <a:ext cx="403655" cy="2504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10</xdr:col>
      <xdr:colOff>15702</xdr:colOff>
      <xdr:row>25</xdr:row>
      <xdr:rowOff>116064</xdr:rowOff>
    </xdr:from>
    <xdr:to>
      <xdr:col>11</xdr:col>
      <xdr:colOff>193955</xdr:colOff>
      <xdr:row>28</xdr:row>
      <xdr:rowOff>139210</xdr:rowOff>
    </xdr:to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0BE8C2DA-40E8-4736-841E-9F685CA8547E}"/>
            </a:ext>
          </a:extLst>
        </xdr:cNvPr>
        <xdr:cNvSpPr txBox="1"/>
      </xdr:nvSpPr>
      <xdr:spPr>
        <a:xfrm>
          <a:off x="3371433" y="3984679"/>
          <a:ext cx="559253" cy="48474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12</xdr:col>
      <xdr:colOff>16227</xdr:colOff>
      <xdr:row>8</xdr:row>
      <xdr:rowOff>139212</xdr:rowOff>
    </xdr:from>
    <xdr:to>
      <xdr:col>13</xdr:col>
      <xdr:colOff>197887</xdr:colOff>
      <xdr:row>11</xdr:row>
      <xdr:rowOff>118516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6B67F536-7096-49D5-B71E-06A5B77EBEE2}"/>
            </a:ext>
          </a:extLst>
        </xdr:cNvPr>
        <xdr:cNvSpPr txBox="1"/>
      </xdr:nvSpPr>
      <xdr:spPr>
        <a:xfrm>
          <a:off x="4133958" y="1384789"/>
          <a:ext cx="562660" cy="4409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12</xdr:col>
      <xdr:colOff>78956</xdr:colOff>
      <xdr:row>21</xdr:row>
      <xdr:rowOff>103698</xdr:rowOff>
    </xdr:from>
    <xdr:to>
      <xdr:col>13</xdr:col>
      <xdr:colOff>270141</xdr:colOff>
      <xdr:row>25</xdr:row>
      <xdr:rowOff>36634</xdr:rowOff>
    </xdr:to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CD6328A3-52D4-4298-BD45-D370401D6629}"/>
            </a:ext>
          </a:extLst>
        </xdr:cNvPr>
        <xdr:cNvSpPr txBox="1"/>
      </xdr:nvSpPr>
      <xdr:spPr>
        <a:xfrm>
          <a:off x="4196687" y="3356852"/>
          <a:ext cx="572185" cy="54839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12</xdr:col>
      <xdr:colOff>70249</xdr:colOff>
      <xdr:row>31</xdr:row>
      <xdr:rowOff>13078</xdr:rowOff>
    </xdr:from>
    <xdr:to>
      <xdr:col>13</xdr:col>
      <xdr:colOff>261434</xdr:colOff>
      <xdr:row>35</xdr:row>
      <xdr:rowOff>21981</xdr:rowOff>
    </xdr:to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AB10357-6E7C-40D1-AFCF-9DA8BC76DE04}"/>
            </a:ext>
          </a:extLst>
        </xdr:cNvPr>
        <xdr:cNvSpPr txBox="1"/>
      </xdr:nvSpPr>
      <xdr:spPr>
        <a:xfrm>
          <a:off x="4187980" y="4797559"/>
          <a:ext cx="572185" cy="6243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</xdr:txBody>
    </xdr:sp>
    <xdr:clientData/>
  </xdr:twoCellAnchor>
  <xdr:twoCellAnchor>
    <xdr:from>
      <xdr:col>10</xdr:col>
      <xdr:colOff>146957</xdr:colOff>
      <xdr:row>13</xdr:row>
      <xdr:rowOff>18724</xdr:rowOff>
    </xdr:from>
    <xdr:to>
      <xdr:col>11</xdr:col>
      <xdr:colOff>82385</xdr:colOff>
      <xdr:row>15</xdr:row>
      <xdr:rowOff>140190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D10A831-4047-4E5B-AEFA-DB525FFA36A5}"/>
            </a:ext>
          </a:extLst>
        </xdr:cNvPr>
        <xdr:cNvSpPr txBox="1"/>
      </xdr:nvSpPr>
      <xdr:spPr>
        <a:xfrm rot="5400000">
          <a:off x="3450281" y="2087500"/>
          <a:ext cx="426266" cy="31642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POMPA</a:t>
          </a:r>
          <a:endParaRPr lang="en-US" sz="2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233016</xdr:colOff>
      <xdr:row>31</xdr:row>
      <xdr:rowOff>39178</xdr:rowOff>
    </xdr:from>
    <xdr:to>
      <xdr:col>11</xdr:col>
      <xdr:colOff>343534</xdr:colOff>
      <xdr:row>31</xdr:row>
      <xdr:rowOff>151048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606AD011-BA69-49C2-9D9D-9A350C4F96C9}"/>
            </a:ext>
          </a:extLst>
        </xdr:cNvPr>
        <xdr:cNvGrpSpPr/>
      </xdr:nvGrpSpPr>
      <xdr:grpSpPr>
        <a:xfrm>
          <a:off x="3976755" y="4702287"/>
          <a:ext cx="110518" cy="1118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8" name="Oval 247">
            <a:extLst>
              <a:ext uri="{FF2B5EF4-FFF2-40B4-BE49-F238E27FC236}">
                <a16:creationId xmlns:a16="http://schemas.microsoft.com/office/drawing/2014/main" id="{BBCE038E-9190-4548-9224-83AFB6776A6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3" name="Straight Connector 372">
            <a:extLst>
              <a:ext uri="{FF2B5EF4-FFF2-40B4-BE49-F238E27FC236}">
                <a16:creationId xmlns:a16="http://schemas.microsoft.com/office/drawing/2014/main" id="{D922B0A8-B28E-43AE-90F1-FBA897E4F1DA}"/>
              </a:ext>
            </a:extLst>
          </xdr:cNvPr>
          <xdr:cNvCxnSpPr>
            <a:stCxn id="248" idx="1"/>
            <a:endCxn id="2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Connector 373">
            <a:extLst>
              <a:ext uri="{FF2B5EF4-FFF2-40B4-BE49-F238E27FC236}">
                <a16:creationId xmlns:a16="http://schemas.microsoft.com/office/drawing/2014/main" id="{0881105A-6650-4FDD-9376-414DF71BA83E}"/>
              </a:ext>
            </a:extLst>
          </xdr:cNvPr>
          <xdr:cNvCxnSpPr>
            <a:stCxn id="248" idx="3"/>
            <a:endCxn id="2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11</xdr:col>
      <xdr:colOff>285749</xdr:colOff>
      <xdr:row>40</xdr:row>
      <xdr:rowOff>106007</xdr:rowOff>
    </xdr:from>
    <xdr:to>
      <xdr:col>21</xdr:col>
      <xdr:colOff>260661</xdr:colOff>
      <xdr:row>54</xdr:row>
      <xdr:rowOff>51644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7292FA-BBA6-431F-AF9F-2721F3E82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4312" y="5940070"/>
          <a:ext cx="3784912" cy="2088762"/>
        </a:xfrm>
        <a:prstGeom prst="rect">
          <a:avLst/>
        </a:prstGeom>
      </xdr:spPr>
    </xdr:pic>
    <xdr:clientData/>
  </xdr:twoCellAnchor>
  <xdr:twoCellAnchor>
    <xdr:from>
      <xdr:col>27</xdr:col>
      <xdr:colOff>170793</xdr:colOff>
      <xdr:row>51</xdr:row>
      <xdr:rowOff>6569</xdr:rowOff>
    </xdr:from>
    <xdr:to>
      <xdr:col>27</xdr:col>
      <xdr:colOff>246993</xdr:colOff>
      <xdr:row>52</xdr:row>
      <xdr:rowOff>7883</xdr:rowOff>
    </xdr:to>
    <xdr:sp macro="" textlink="">
      <xdr:nvSpPr>
        <xdr:cNvPr id="112" name="Freeform: Shape 111">
          <a:extLst>
            <a:ext uri="{FF2B5EF4-FFF2-40B4-BE49-F238E27FC236}">
              <a16:creationId xmlns:a16="http://schemas.microsoft.com/office/drawing/2014/main" id="{B97CBC3B-56D0-4CAC-9D3E-3D3FF36BF52E}"/>
            </a:ext>
          </a:extLst>
        </xdr:cNvPr>
        <xdr:cNvSpPr/>
      </xdr:nvSpPr>
      <xdr:spPr>
        <a:xfrm>
          <a:off x="10103069" y="7882759"/>
          <a:ext cx="76200" cy="152400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124810</xdr:colOff>
      <xdr:row>51</xdr:row>
      <xdr:rowOff>111672</xdr:rowOff>
    </xdr:from>
    <xdr:to>
      <xdr:col>28</xdr:col>
      <xdr:colOff>181960</xdr:colOff>
      <xdr:row>53</xdr:row>
      <xdr:rowOff>2134</xdr:rowOff>
    </xdr:to>
    <xdr:sp macro="" textlink="">
      <xdr:nvSpPr>
        <xdr:cNvPr id="113" name="Freeform: Shape 112">
          <a:extLst>
            <a:ext uri="{FF2B5EF4-FFF2-40B4-BE49-F238E27FC236}">
              <a16:creationId xmlns:a16="http://schemas.microsoft.com/office/drawing/2014/main" id="{26B91B6C-4714-4F27-8330-021C05FE5119}"/>
            </a:ext>
          </a:extLst>
        </xdr:cNvPr>
        <xdr:cNvSpPr/>
      </xdr:nvSpPr>
      <xdr:spPr>
        <a:xfrm>
          <a:off x="10438086" y="7987862"/>
          <a:ext cx="57150" cy="192634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17</xdr:row>
      <xdr:rowOff>38100</xdr:rowOff>
    </xdr:from>
    <xdr:to>
      <xdr:col>21</xdr:col>
      <xdr:colOff>152400</xdr:colOff>
      <xdr:row>53</xdr:row>
      <xdr:rowOff>112415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A64F0-13E0-41C3-834D-20CAC983D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2667000"/>
          <a:ext cx="8991600" cy="5560715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155864</xdr:colOff>
      <xdr:row>18</xdr:row>
      <xdr:rowOff>34636</xdr:rowOff>
    </xdr:from>
    <xdr:to>
      <xdr:col>13</xdr:col>
      <xdr:colOff>363682</xdr:colOff>
      <xdr:row>18</xdr:row>
      <xdr:rowOff>34636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>
          <a:off x="6719455" y="2805545"/>
          <a:ext cx="20781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17</xdr:row>
      <xdr:rowOff>103909</xdr:rowOff>
    </xdr:from>
    <xdr:to>
      <xdr:col>13</xdr:col>
      <xdr:colOff>190499</xdr:colOff>
      <xdr:row>19</xdr:row>
      <xdr:rowOff>34635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6494318" y="2718954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/>
      <sheetData sheetId="241"/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goo.gl/maps/MxXpoCT4nTUC1wo48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1134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1135</v>
      </c>
      <c r="G7" s="531" t="s">
        <v>41</v>
      </c>
      <c r="H7" s="527" t="s">
        <v>1042</v>
      </c>
      <c r="I7" s="527" t="s">
        <v>1137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10.6 kVA MCCB 16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50 kVA YNyn0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42757200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FCO Polymer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3</v>
      </c>
      <c r="G14" s="41">
        <f ca="1">IF(ISERROR(OFFSET('HARGA SATUAN'!$I$6,MATCH(C14,'HARGA SATUAN'!$C$7:$C$1492,0),0)),"",OFFSET('HARGA SATUAN'!$I$6,MATCH(C14,'HARGA SATUAN'!$C$7:$C$1492,0),0))</f>
        <v>848250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Lightning Arester (Polymer) 21 KV, 10 KA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725900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9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4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35</v>
      </c>
      <c r="G18" s="41">
        <f ca="1">IF(ISERROR(OFFSET('HARGA SATUAN'!$I$6,MATCH(C18,'HARGA SATUAN'!$C$7:$C$1492,0),0)),"",OFFSET('HARGA SATUAN'!$I$6,MATCH(C18,'HARGA SATUAN'!$C$7:$C$1492,0),0))</f>
        <v>13500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KWH MPB; 3P; 4W; 230/400 V; 5(80) A; Class 1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1719200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SUMIFS(RAB!$F$14:$F$79,RAB!$C$14:$C$79,C714)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SUMIFS(RAB!$F$14:$F$79,RAB!$C$14:$C$79,C715)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SUMIFS(RAB!$F$14:$F$79,RAB!$C$14:$C$79,C716)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SUMIFS(RAB!$F$14:$F$79,RAB!$C$14:$C$79,C717)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SUMIFS(RAB!$F$14:$F$79,RAB!$C$14:$C$79,C718)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SUMIFS(RAB!$F$14:$F$79,RAB!$C$14:$C$79,C719)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SUMIFS(RAB!$F$14:$F$79,RAB!$C$14:$C$79,C720)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SUMIFS(RAB!$F$14:$F$79,RAB!$C$14:$C$79,C721)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SUMIFS(RAB!$F$14:$F$79,RAB!$C$14:$C$79,C722)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SUMIFS(RAB!$F$14:$F$79,RAB!$C$14:$C$79,C723)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SUMIFS(RAB!$F$14:$F$79,RAB!$C$14:$C$79,C724)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SUMIFS(RAB!$F$14:$F$79,RAB!$C$14:$C$79,C725)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SUMIFS(RAB!$F$14:$F$79,RAB!$C$14:$C$79,C726)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SUMIFS(RAB!$F$14:$F$79,RAB!$C$14:$C$79,C727)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SUMIFS(RAB!$F$14:$F$79,RAB!$C$14:$C$79,C728)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SUMIFS(RAB!$F$14:$F$79,RAB!$C$14:$C$79,C729)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SUMIFS(RAB!$F$14:$F$79,RAB!$C$14:$C$79,C730)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SUMIFS(RAB!$F$14:$F$79,RAB!$C$14:$C$79,C731)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SUMIFS(RAB!$F$14:$F$79,RAB!$C$14:$C$79,C732)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SUMIFS(RAB!$F$14:$F$79,RAB!$C$14:$C$79,C733)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SUMIFS(RAB!$F$14:$F$79,RAB!$C$14:$C$79,C734)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SUMIFS(RAB!$F$14:$F$79,RAB!$C$14:$C$79,C735)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SUMIFS(RAB!$F$14:$F$79,RAB!$C$14:$C$79,C736)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SUMIFS(RAB!$F$14:$F$79,RAB!$C$14:$C$79,C737)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SUMIFS(RAB!$F$14:$F$79,RAB!$C$14:$C$79,C738)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SUMIFS(RAB!$F$14:$F$79,RAB!$C$14:$C$79,C739)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SUMIFS(RAB!$F$14:$F$79,RAB!$C$14:$C$79,C740)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SUMIFS(RAB!$F$14:$F$79,RAB!$C$14:$C$79,C741)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SUMIFS(RAB!$F$14:$F$79,RAB!$C$14:$C$79,C742)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SUMIFS(RAB!$F$14:$F$79,RAB!$C$14:$C$79,C743)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SUMIFS(RAB!$F$14:$F$79,RAB!$C$14:$C$79,C744)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SUMIFS(RAB!$F$14:$F$79,RAB!$C$14:$C$79,C745)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SUMIFS(RAB!$F$14:$F$79,RAB!$C$14:$C$79,C746)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SUMIFS(RAB!$F$14:$F$79,RAB!$C$14:$C$79,C747)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SUMIFS(RAB!$F$14:$F$79,RAB!$C$14:$C$79,C748)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SUMIFS(RAB!$F$14:$F$79,RAB!$C$14:$C$79,C749)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SUMIFS(RAB!$F$14:$F$79,RAB!$C$14:$C$79,C750)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SUMIFS(RAB!$F$14:$F$79,RAB!$C$14:$C$79,C751)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SUMIFS(RAB!$F$14:$F$79,RAB!$C$14:$C$79,C752)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SUMIFS(RAB!$F$14:$F$79,RAB!$C$14:$C$79,C753)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SUMIFS(RAB!$F$14:$F$79,RAB!$C$14:$C$79,C754)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SUMIFS(RAB!$F$14:$F$79,RAB!$C$14:$C$79,C755)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SUMIFS(RAB!$F$14:$F$79,RAB!$C$14:$C$79,C756)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SUMIFS(RAB!$F$14:$F$79,RAB!$C$14:$C$79,C757)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SUMIFS(RAB!$F$14:$F$79,RAB!$C$14:$C$79,C758)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SUMIFS(RAB!$F$14:$F$79,RAB!$C$14:$C$79,C759)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SUMIFS(RAB!$F$14:$F$79,RAB!$C$14:$C$79,C760)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SUMIFS(RAB!$F$14:$F$79,RAB!$C$14:$C$79,C761)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SUMIFS(RAB!$F$14:$F$79,RAB!$C$14:$C$79,C762)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SUMIFS(RAB!$F$14:$F$79,RAB!$C$14:$C$79,C763)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SUMIFS(RAB!$F$14:$F$79,RAB!$C$14:$C$79,C764)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SUMIFS(RAB!$F$14:$F$79,RAB!$C$14:$C$79,C765)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SUMIFS(RAB!$F$14:$F$79,RAB!$C$14:$C$79,C766)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SUMIFS(RAB!$F$14:$F$79,RAB!$C$14:$C$79,C767)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SUMIFS(RAB!$F$14:$F$79,RAB!$C$14:$C$79,C768)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SUMIFS(RAB!$F$14:$F$79,RAB!$C$14:$C$79,C769)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SUMIFS(RAB!$F$14:$F$79,RAB!$C$14:$C$79,C770)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SUMIFS(RAB!$F$14:$F$79,RAB!$C$14:$C$79,C771)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SUMIFS(RAB!$F$14:$F$79,RAB!$C$14:$C$79,C772)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SUMIFS(RAB!$F$14:$F$79,RAB!$C$14:$C$79,C773)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SUMIFS(RAB!$F$14:$F$79,RAB!$C$14:$C$79,C774)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SUMIFS(RAB!$F$14:$F$79,RAB!$C$14:$C$79,C775)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SUMIFS(RAB!$F$14:$F$79,RAB!$C$14:$C$79,C776)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SUMIFS(RAB!$F$14:$F$79,RAB!$C$14:$C$79,C777)</f>
        <v>1</v>
      </c>
      <c r="E777" s="26">
        <f t="shared" ca="1" si="33"/>
        <v>1</v>
      </c>
      <c r="F777" s="26">
        <f ca="1">IF(D777=0,0,SUM($E$713:E777))</f>
        <v>1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SUMIFS(RAB!$F$14:$F$79,RAB!$C$14:$C$79,C778)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SUMIFS(RAB!$F$14:$F$79,RAB!$C$14:$C$79,C779)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SUMIFS(RAB!$F$14:$F$79,RAB!$C$14:$C$79,C780)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SUMIFS(RAB!$F$14:$F$79,RAB!$C$14:$C$79,C781)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SUMIFS(RAB!$F$14:$F$79,RAB!$C$14:$C$79,C782)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SUMIFS(RAB!$F$14:$F$79,RAB!$C$14:$C$79,C783)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SUMIFS(RAB!$F$14:$F$79,RAB!$C$14:$C$79,C784)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SUMIFS(RAB!$F$14:$F$79,RAB!$C$14:$C$79,C785)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SUMIFS(RAB!$F$14:$F$79,RAB!$C$14:$C$79,C786)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SUMIFS(RAB!$F$14:$F$79,RAB!$C$14:$C$79,C787)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SUMIFS(RAB!$F$14:$F$79,RAB!$C$14:$C$79,C788)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SUMIFS(RAB!$F$14:$F$79,RAB!$C$14:$C$79,C789)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SUMIFS(RAB!$F$14:$F$79,RAB!$C$14:$C$79,C790)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SUMIFS(RAB!$F$14:$F$79,RAB!$C$14:$C$79,C791)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SUMIFS(RAB!$F$14:$F$79,RAB!$C$14:$C$79,C792)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SUMIFS(RAB!$F$14:$F$79,RAB!$C$14:$C$79,C793)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SUMIFS(RAB!$F$14:$F$79,RAB!$C$14:$C$79,C794)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SUMIFS(RAB!$F$14:$F$79,RAB!$C$14:$C$79,C795)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SUMIFS(RAB!$F$14:$F$79,RAB!$C$14:$C$79,C796)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SUMIFS(RAB!$F$14:$F$79,RAB!$C$14:$C$79,C797)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SUMIFS(RAB!$F$14:$F$79,RAB!$C$14:$C$79,C798)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SUMIFS(RAB!$F$14:$F$79,RAB!$C$14:$C$79,C799)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SUMIFS(RAB!$F$14:$F$79,RAB!$C$14:$C$79,C800)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SUMIFS(RAB!$F$14:$F$79,RAB!$C$14:$C$79,C801)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SUMIFS(RAB!$F$14:$F$79,RAB!$C$14:$C$79,C802)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SUMIFS(RAB!$F$14:$F$79,RAB!$C$14:$C$79,C803)</f>
        <v>1</v>
      </c>
      <c r="E803" s="26">
        <f t="shared" ca="1" si="34"/>
        <v>1</v>
      </c>
      <c r="F803" s="26">
        <f ca="1">IF(D803=0,0,SUM($E$713:E803))</f>
        <v>2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SUMIFS(RAB!$F$14:$F$79,RAB!$C$14:$C$79,C804)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SUMIFS(RAB!$F$14:$F$79,RAB!$C$14:$C$79,C805)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SUMIFS(RAB!$F$14:$F$79,RAB!$C$14:$C$79,C806)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SUMIFS(RAB!$F$14:$F$79,RAB!$C$14:$C$79,C807)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SUMIFS(RAB!$F$14:$F$79,RAB!$C$14:$C$79,C808)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SUMIFS(RAB!$F$14:$F$79,RAB!$C$14:$C$79,C809)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SUMIFS(RAB!$F$14:$F$79,RAB!$C$14:$C$79,C810)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SUMIFS(RAB!$F$14:$F$79,RAB!$C$14:$C$79,C811)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SUMIFS(RAB!$F$14:$F$79,RAB!$C$14:$C$79,C812)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SUMIFS(RAB!$F$14:$F$79,RAB!$C$14:$C$79,C813)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SUMIFS(RAB!$F$14:$F$79,RAB!$C$14:$C$79,C814)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SUMIFS(RAB!$F$14:$F$79,RAB!$C$14:$C$79,C815)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SUMIFS(RAB!$F$14:$F$79,RAB!$C$14:$C$79,C816)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SUMIFS(RAB!$F$14:$F$79,RAB!$C$14:$C$79,C817)</f>
        <v>3</v>
      </c>
      <c r="E817" s="26">
        <f t="shared" ca="1" si="34"/>
        <v>1</v>
      </c>
      <c r="F817" s="26">
        <f ca="1">IF(D817=0,0,SUM($E$713:E817))</f>
        <v>3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SUMIFS(RAB!$F$14:$F$79,RAB!$C$14:$C$79,C818)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SUMIFS(RAB!$F$14:$F$79,RAB!$C$14:$C$79,C819)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SUMIFS(RAB!$F$14:$F$79,RAB!$C$14:$C$79,C820)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SUMIFS(RAB!$F$14:$F$79,RAB!$C$14:$C$79,C821)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SUMIFS(RAB!$F$14:$F$79,RAB!$C$14:$C$79,C822)</f>
        <v>3</v>
      </c>
      <c r="E822" s="26">
        <f t="shared" ca="1" si="34"/>
        <v>1</v>
      </c>
      <c r="F822" s="26">
        <f ca="1">IF(D822=0,0,SUM($E$713:E822))</f>
        <v>4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SUMIFS(RAB!$F$14:$F$79,RAB!$C$14:$C$79,C823)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SUMIFS(RAB!$F$14:$F$79,RAB!$C$14:$C$79,C824)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SUMIFS(RAB!$F$14:$F$79,RAB!$C$14:$C$79,C825)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SUMIFS(RAB!$F$14:$F$79,RAB!$C$14:$C$79,C826)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SUMIFS(RAB!$F$14:$F$79,RAB!$C$14:$C$79,C827)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SUMIFS(RAB!$F$14:$F$79,RAB!$C$14:$C$79,C828)</f>
        <v>9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SUMIFS(RAB!$F$14:$F$79,RAB!$C$14:$C$79,C829)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SUMIFS(RAB!$F$14:$F$79,RAB!$C$14:$C$79,C830)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SUMIFS(RAB!$F$14:$F$79,RAB!$C$14:$C$79,C831)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SUMIFS(RAB!$F$14:$F$79,RAB!$C$14:$C$79,C832)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SUMIFS(RAB!$F$14:$F$79,RAB!$C$14:$C$79,C833)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SUMIFS(RAB!$F$14:$F$79,RAB!$C$14:$C$79,C834)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SUMIFS(RAB!$F$14:$F$79,RAB!$C$14:$C$79,C835)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SUMIFS(RAB!$F$14:$F$79,RAB!$C$14:$C$79,C836)</f>
        <v>3</v>
      </c>
      <c r="E836" s="26">
        <f t="shared" ca="1" si="34"/>
        <v>1</v>
      </c>
      <c r="F836" s="26">
        <f ca="1">IF(D836=0,0,SUM($E$713:E836))</f>
        <v>6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SUMIFS(RAB!$F$14:$F$79,RAB!$C$14:$C$79,C837)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SUMIFS(RAB!$F$14:$F$79,RAB!$C$14:$C$79,C838)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SUMIFS(RAB!$F$14:$F$79,RAB!$C$14:$C$79,C839)</f>
        <v>35</v>
      </c>
      <c r="E839" s="26">
        <f t="shared" ca="1" si="34"/>
        <v>1</v>
      </c>
      <c r="F839" s="26">
        <f ca="1">IF(D839=0,0,SUM($E$713:E839))</f>
        <v>7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SUMIFS(RAB!$F$14:$F$79,RAB!$C$14:$C$79,C840)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SUMIFS(RAB!$F$14:$F$79,RAB!$C$14:$C$79,C841)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SUMIFS(RAB!$F$14:$F$79,RAB!$C$14:$C$79,C842)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SUMIFS(RAB!$F$14:$F$79,RAB!$C$14:$C$79,C843)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SUMIFS(RAB!$F$14:$F$79,RAB!$C$14:$C$79,C844)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SUMIFS(RAB!$F$14:$F$79,RAB!$C$14:$C$79,C845)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SUMIFS(RAB!$F$14:$F$79,RAB!$C$14:$C$79,C846)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SUMIFS(RAB!$F$14:$F$79,RAB!$C$14:$C$79,C847)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SUMIFS(RAB!$F$14:$F$79,RAB!$C$14:$C$79,C848)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SUMIFS(RAB!$F$14:$F$79,RAB!$C$14:$C$79,C849)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SUMIFS(RAB!$F$14:$F$79,RAB!$C$14:$C$79,C850)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SUMIFS(RAB!$F$14:$F$79,RAB!$C$14:$C$79,C851)</f>
        <v>1</v>
      </c>
      <c r="E851" s="26">
        <f t="shared" ca="1" si="35"/>
        <v>1</v>
      </c>
      <c r="F851" s="26">
        <f ca="1">IF(D851=0,0,SUM($E$713:E851))</f>
        <v>8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SUMIFS(RAB!$F$14:$F$79,RAB!$C$14:$C$79,C852)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SUMIFS(RAB!$F$14:$F$79,RAB!$C$14:$C$79,C853)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SUMIFS(RAB!$F$14:$F$79,RAB!$C$14:$C$79,C854)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SUMIFS(RAB!$F$14:$F$79,RAB!$C$14:$C$79,C855)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SUMIFS(RAB!$F$14:$F$79,RAB!$C$14:$C$79,C856)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SUMIFS(RAB!$F$14:$F$79,RAB!$C$14:$C$79,C857)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SUMIFS(RAB!$F$14:$F$79,RAB!$C$14:$C$79,C858)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SUMIFS(RAB!$F$14:$F$79,RAB!$C$14:$C$79,C859)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SUMIFS(RAB!$F$14:$F$79,RAB!$C$14:$C$79,C860)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SUMIFS(RAB!$F$14:$F$79,RAB!$C$14:$C$79,C861)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SUMIFS(RAB!$F$14:$F$79,RAB!$C$14:$C$79,C862)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SUMIFS(RAB!$F$14:$F$79,RAB!$C$14:$C$79,C863)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SUMIFS(RAB!$F$14:$F$79,RAB!$C$14:$C$79,C864)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SUMIFS(RAB!$F$14:$F$79,RAB!$C$14:$C$79,C865)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SUMIFS(RAB!$F$14:$F$79,RAB!$C$14:$C$79,C866)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SUMIFS(RAB!$F$14:$F$79,RAB!$C$14:$C$79,C867)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SUMIFS(RAB!$F$14:$F$79,RAB!$C$14:$C$79,C868)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SUMIFS(RAB!$F$14:$F$79,RAB!$C$14:$C$79,C869)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SUMIFS(RAB!$F$14:$F$79,RAB!$C$14:$C$79,C870)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SUMIFS(RAB!$F$14:$F$79,RAB!$C$14:$C$79,C871)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SUMIFS(RAB!$F$14:$F$79,RAB!$C$14:$C$79,C872)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SUMIFS(RAB!$F$14:$F$79,RAB!$C$14:$C$79,C873)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SUMIFS(RAB!$F$14:$F$79,RAB!$C$14:$C$79,C874)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SUMIFS(RAB!$F$14:$F$79,RAB!$C$14:$C$79,C875)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SUMIFS(RAB!$F$14:$F$79,RAB!$C$14:$C$79,C876)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SUMIFS(RAB!$F$14:$F$79,RAB!$C$14:$C$79,C877)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SUMIFS(RAB!$F$14:$F$79,RAB!$C$14:$C$79,C878)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SUMIFS(RAB!$F$14:$F$79,RAB!$C$14:$C$79,C879)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SUMIFS(RAB!$F$14:$F$79,RAB!$C$14:$C$79,C880)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SUMIFS(RAB!$F$14:$F$79,RAB!$C$14:$C$79,C881)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SUMIFS(RAB!$F$14:$F$79,RAB!$C$14:$C$79,C882)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SUMIFS(RAB!$F$14:$F$79,RAB!$C$14:$C$79,C883)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SUMIFS(RAB!$F$14:$F$79,RAB!$C$14:$C$79,C884)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SUMIFS(RAB!$F$14:$F$79,RAB!$C$14:$C$79,C885)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SUMIFS(RAB!$F$14:$F$79,RAB!$C$14:$C$79,C886)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SUMIFS(RAB!$F$14:$F$79,RAB!$C$14:$C$79,C887)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SUMIFS(RAB!$F$14:$F$79,RAB!$C$14:$C$79,C888)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SUMIFS(RAB!$F$14:$F$79,RAB!$C$14:$C$79,C889)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SUMIFS(RAB!$F$14:$F$79,RAB!$C$14:$C$79,C890)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SUMIFS(RAB!$F$14:$F$79,RAB!$C$14:$C$79,C891)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SUMIFS(RAB!$F$14:$F$79,RAB!$C$14:$C$79,C892)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SUMIFS(RAB!$F$14:$F$79,RAB!$C$14:$C$79,C893)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SUMIFS(RAB!$F$14:$F$79,RAB!$C$14:$C$79,C894)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SUMIFS(RAB!$F$14:$F$79,RAB!$C$14:$C$79,C895)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SUMIFS(RAB!$F$14:$F$79,RAB!$C$14:$C$79,C896)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SUMIFS(RAB!$F$14:$F$79,RAB!$C$14:$C$79,C897)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SUMIFS(RAB!$F$14:$F$79,RAB!$C$14:$C$79,C898)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SUMIFS(RAB!$F$14:$F$79,RAB!$C$14:$C$79,C899)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SUMIFS(RAB!$F$14:$F$79,RAB!$C$14:$C$79,C900)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SUMIFS(RAB!$F$14:$F$79,RAB!$C$14:$C$79,C901)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SUMIFS(RAB!$F$14:$F$79,RAB!$C$14:$C$79,C902)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SUMIFS(RAB!$F$14:$F$79,RAB!$C$14:$C$79,C903)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SUMIFS(RAB!$F$14:$F$79,RAB!$C$14:$C$79,C904)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SUMIFS(RAB!$F$14:$F$79,RAB!$C$14:$C$79,C905)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SUMIFS(RAB!$F$14:$F$79,RAB!$C$14:$C$79,C906)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SUMIFS(RAB!$F$14:$F$79,RAB!$C$14:$C$79,C907)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SUMIFS(RAB!$F$14:$F$79,RAB!$C$14:$C$79,C908)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SUMIFS(RAB!$F$14:$F$79,RAB!$C$14:$C$79,C909)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SUMIFS(RAB!$F$14:$F$79,RAB!$C$14:$C$79,C910)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SUMIFS(RAB!$F$14:$F$79,RAB!$C$14:$C$79,C911)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SUMIFS(RAB!$F$14:$F$79,RAB!$C$14:$C$79,C912)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SUMIFS(RAB!$F$14:$F$79,RAB!$C$14:$C$79,C913)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SUMIFS(RAB!$F$14:$F$79,RAB!$C$14:$C$79,C914)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SUMIFS(RAB!$F$14:$F$79,RAB!$C$14:$C$79,C915)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SUMIFS(RAB!$F$14:$F$79,RAB!$C$14:$C$79,C916)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SUMIFS(RAB!$F$14:$F$79,RAB!$C$14:$C$79,C917)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SUMIFS(RAB!$F$14:$F$79,RAB!$C$14:$C$79,C918)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SUMIFS(RAB!$F$14:$F$79,RAB!$C$14:$C$79,C919)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SUMIFS(RAB!$F$14:$F$79,RAB!$C$14:$C$79,C920)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SUMIFS(RAB!$F$14:$F$79,RAB!$C$14:$C$79,C921)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SUMIFS(RAB!$F$14:$F$79,RAB!$C$14:$C$79,C922)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SUMIFS(RAB!$F$14:$F$79,RAB!$C$14:$C$79,C923)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SUMIFS(RAB!$F$14:$F$79,RAB!$C$14:$C$79,C924)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SUMIFS(RAB!$F$14:$F$79,RAB!$C$14:$C$79,C925)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SUMIFS(RAB!$F$14:$F$79,RAB!$C$14:$C$79,C926)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SUMIFS(RAB!$F$14:$F$79,RAB!$C$14:$C$79,C927)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SUMIFS(RAB!$F$14:$F$79,RAB!$C$14:$C$79,C928)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SUMIFS(RAB!$F$14:$F$79,RAB!$C$14:$C$79,C929)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SUMIFS(RAB!$F$14:$F$79,RAB!$C$14:$C$79,C930)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SUMIFS(RAB!$F$14:$F$79,RAB!$C$14:$C$79,C931)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SUMIFS(RAB!$F$14:$F$79,RAB!$C$14:$C$79,C932)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SUMIFS(RAB!$F$14:$F$79,RAB!$C$14:$C$79,C933)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SUMIFS(RAB!$F$14:$F$79,RAB!$C$14:$C$79,C934)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SUMIFS(RAB!$F$14:$F$79,RAB!$C$14:$C$79,C935)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SUMIFS(RAB!$F$14:$F$79,RAB!$C$14:$C$79,C936)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SUMIFS(RAB!$F$14:$F$79,RAB!$C$14:$C$79,C937)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SUMIFS(RAB!$F$14:$F$79,RAB!$C$14:$C$79,C938)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SUMIFS(RAB!$F$14:$F$79,RAB!$C$14:$C$79,C939)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SUMIFS(RAB!$F$14:$F$79,RAB!$C$14:$C$79,C940)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SUMIFS(RAB!$F$14:$F$79,RAB!$C$14:$C$79,C941)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SUMIFS(RAB!$F$14:$F$79,RAB!$C$14:$C$79,C942)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SUMIFS(RAB!$F$14:$F$79,RAB!$C$14:$C$79,C943)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SUMIFS(RAB!$F$14:$F$79,RAB!$C$14:$C$79,C944)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SUMIFS(RAB!$F$14:$F$79,RAB!$C$14:$C$79,C945)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SUMIFS(RAB!$F$14:$F$79,RAB!$C$14:$C$79,C946)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SUMIFS(RAB!$F$14:$F$79,RAB!$C$14:$C$79,C947)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SUMIFS(RAB!$F$14:$F$79,RAB!$C$14:$C$79,C948)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SUMIFS(RAB!$F$14:$F$79,RAB!$C$14:$C$79,C949)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SUMIFS(RAB!$F$14:$F$79,RAB!$C$14:$C$79,C950)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SUMIFS(RAB!$F$14:$F$79,RAB!$C$14:$C$79,C951)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SUMIFS(RAB!$F$14:$F$79,RAB!$C$14:$C$79,C952)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SUMIFS(RAB!$F$14:$F$79,RAB!$C$14:$C$79,C953)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SUMIFS(RAB!$F$14:$F$79,RAB!$C$14:$C$79,C954)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SUMIFS(RAB!$F$14:$F$79,RAB!$C$14:$C$79,C955)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SUMIFS(RAB!$F$14:$F$79,RAB!$C$14:$C$79,C956)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SUMIFS(RAB!$F$14:$F$79,RAB!$C$14:$C$79,C957)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SUMIFS(RAB!$F$14:$F$79,RAB!$C$14:$C$79,C958)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SUMIFS(RAB!$F$14:$F$79,RAB!$C$14:$C$79,C959)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SUMIFS(RAB!$F$14:$F$79,RAB!$C$14:$C$79,C960)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SUMIFS(RAB!$F$14:$F$79,RAB!$C$14:$C$79,C961)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SUMIFS(RAB!$F$14:$F$79,RAB!$C$14:$C$79,C962)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SUMIFS(RAB!$F$14:$F$79,RAB!$C$14:$C$79,C963)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SUMIFS(RAB!$F$14:$F$79,RAB!$C$14:$C$79,C964)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SUMIFS(RAB!$F$14:$F$79,RAB!$C$14:$C$79,C965)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SUMIFS(RAB!$F$14:$F$79,RAB!$C$14:$C$79,C966)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SUMIFS(RAB!$F$14:$F$79,RAB!$C$14:$C$79,C967)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SUMIFS(RAB!$F$14:$F$79,RAB!$C$14:$C$79,C968)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SUMIFS(RAB!$F$14:$F$79,RAB!$C$14:$C$79,C969)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SUMIFS(RAB!$F$14:$F$79,RAB!$C$14:$C$79,C970)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SUMIFS(RAB!$F$14:$F$79,RAB!$C$14:$C$79,C971)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SUMIFS(RAB!$F$14:$F$79,RAB!$C$14:$C$79,C972)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SUMIFS(RAB!$F$14:$F$79,RAB!$C$14:$C$79,C973)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SUMIFS(RAB!$F$14:$F$79,RAB!$C$14:$C$79,C974)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SUMIFS(RAB!$F$14:$F$79,RAB!$C$14:$C$79,C975)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SUMIFS(RAB!$F$14:$F$79,RAB!$C$14:$C$79,C976)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SUMIFS(RAB!$F$14:$F$79,RAB!$C$14:$C$79,C977)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SUMIFS(RAB!$F$14:$F$79,RAB!$C$14:$C$79,C978)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SUMIFS(RAB!$F$14:$F$79,RAB!$C$14:$C$79,C979)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SUMIFS(RAB!$F$14:$F$79,RAB!$C$14:$C$79,C980)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SUMIFS(RAB!$F$14:$F$79,RAB!$C$14:$C$79,C981)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SUMIFS(RAB!$F$14:$F$79,RAB!$C$14:$C$79,C982)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SUMIFS(RAB!$F$14:$F$79,RAB!$C$14:$C$79,C983)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SUMIFS(RAB!$F$14:$F$79,RAB!$C$14:$C$79,C984)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SUMIFS(RAB!$F$14:$F$79,RAB!$C$14:$C$79,C985)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SUMIFS(RAB!$F$14:$F$79,RAB!$C$14:$C$79,C986)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SUMIFS(RAB!$F$14:$F$79,RAB!$C$14:$C$79,C987)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SUMIFS(RAB!$F$14:$F$79,RAB!$C$14:$C$79,C988)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SUMIFS(RAB!$F$14:$F$79,RAB!$C$14:$C$79,C989)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SUMIFS(RAB!$F$14:$F$79,RAB!$C$14:$C$79,C990)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SUMIFS(RAB!$F$14:$F$79,RAB!$C$14:$C$79,C991)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SUMIFS(RAB!$F$14:$F$79,RAB!$C$14:$C$79,C992)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SUMIFS(RAB!$F$14:$F$79,RAB!$C$14:$C$79,C993)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SUMIFS(RAB!$F$14:$F$79,RAB!$C$14:$C$79,C994)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SUMIFS(RAB!$F$14:$F$79,RAB!$C$14:$C$79,C995)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SUMIFS(RAB!$F$14:$F$79,RAB!$C$14:$C$79,C996)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SUMIFS(RAB!$F$14:$F$79,RAB!$C$14:$C$79,C997)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SUMIFS(RAB!$F$14:$F$79,RAB!$C$14:$C$79,C998)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SUMIFS(RAB!$F$14:$F$79,RAB!$C$14:$C$79,C999)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SUMIFS(RAB!$F$14:$F$79,RAB!$C$14:$C$79,C1000)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SUMIFS(RAB!$F$14:$F$79,RAB!$C$14:$C$79,C1001)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SUMIFS(RAB!$F$14:$F$79,RAB!$C$14:$C$79,C1002)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SUMIFS(RAB!$F$14:$F$79,RAB!$C$14:$C$79,C1003)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SUMIFS(RAB!$F$14:$F$79,RAB!$C$14:$C$79,C1004)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SUMIFS(RAB!$F$14:$F$79,RAB!$C$14:$C$79,C1005)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SUMIFS(RAB!$F$14:$F$79,RAB!$C$14:$C$79,C1006)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SUMIFS(RAB!$F$14:$F$79,RAB!$C$14:$C$79,C1007)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SUMIFS(RAB!$F$14:$F$79,RAB!$C$14:$C$79,C1008)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SUMIFS(RAB!$F$14:$F$79,RAB!$C$14:$C$79,C1009)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SUMIFS(RAB!$F$14:$F$79,RAB!$C$14:$C$79,C1010)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SUMIFS(RAB!$F$14:$F$79,RAB!$C$14:$C$79,C1011)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SUMIFS(RAB!$F$14:$F$79,RAB!$C$14:$C$79,C1012)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SUMIFS(RAB!$F$14:$F$79,RAB!$C$14:$C$79,C1013)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SUMIFS(RAB!$F$14:$F$79,RAB!$C$14:$C$79,C1014)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SUMIFS(RAB!$F$14:$F$79,RAB!$C$14:$C$79,C1015)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SUMIFS(RAB!$F$14:$F$79,RAB!$C$14:$C$79,C1016)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SUMIFS(RAB!$F$14:$F$79,RAB!$C$14:$C$79,C1017)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SUMIFS(RAB!$F$14:$F$79,RAB!$C$14:$C$79,C1018)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SUMIFS(RAB!$F$14:$F$79,RAB!$C$14:$C$79,C1019)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SUMIFS(RAB!$F$14:$F$79,RAB!$C$14:$C$79,C1020)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SUMIFS(RAB!$F$14:$F$79,RAB!$C$14:$C$79,C1021)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SUMIFS(RAB!$F$14:$F$79,RAB!$C$14:$C$79,C1022)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SUMIFS(RAB!$F$14:$F$79,RAB!$C$14:$C$79,C1023)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SUMIFS(RAB!$F$14:$F$79,RAB!$C$14:$C$79,C1024)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SUMIFS(RAB!$F$14:$F$79,RAB!$C$14:$C$79,C1025)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SUMIFS(RAB!$F$14:$F$79,RAB!$C$14:$C$79,C1026)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SUMIFS(RAB!$F$14:$F$79,RAB!$C$14:$C$79,C1027)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SUMIFS(RAB!$F$14:$F$79,RAB!$C$14:$C$79,C1028)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SUMIFS(RAB!$F$14:$F$79,RAB!$C$14:$C$79,C1029)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SUMIFS(RAB!$F$14:$F$79,RAB!$C$14:$C$79,C1030)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SUMIFS(RAB!$F$14:$F$79,RAB!$C$14:$C$79,C1031)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SUMIFS(RAB!$F$14:$F$79,RAB!$C$14:$C$79,C1032)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SUMIFS(RAB!$F$14:$F$79,RAB!$C$14:$C$79,C1033)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SUMIFS(RAB!$F$14:$F$79,RAB!$C$14:$C$79,C1034)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SUMIFS(RAB!$F$14:$F$79,RAB!$C$14:$C$79,C1035)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SUMIFS(RAB!$F$14:$F$79,RAB!$C$14:$C$79,C1036)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SUMIFS(RAB!$F$14:$F$79,RAB!$C$14:$C$79,C1037)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SUMIFS(RAB!$F$14:$F$79,RAB!$C$14:$C$79,C1038)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SUMIFS(RAB!$F$14:$F$79,RAB!$C$14:$C$79,C1039)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SUMIFS(RAB!$F$14:$F$79,RAB!$C$14:$C$79,C1040)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SUMIFS(RAB!$F$14:$F$79,RAB!$C$14:$C$79,C1041)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SUMIFS(RAB!$F$14:$F$79,RAB!$C$14:$C$79,C1042)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SUMIFS(RAB!$F$14:$F$79,RAB!$C$14:$C$79,C1043)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SUMIFS(RAB!$F$14:$F$79,RAB!$C$14:$C$79,C1044)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SUMIFS(RAB!$F$14:$F$79,RAB!$C$14:$C$79,C1045)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SUMIFS(RAB!$F$14:$F$79,RAB!$C$14:$C$79,C1046)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SUMIFS(RAB!$F$14:$F$79,RAB!$C$14:$C$79,C1047)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SUMIFS(RAB!$F$14:$F$79,RAB!$C$14:$C$79,C1048)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SUMIFS(RAB!$F$14:$F$79,RAB!$C$14:$C$79,C1049)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SUMIFS(RAB!$F$14:$F$79,RAB!$C$14:$C$79,C1050)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SUMIFS(RAB!$F$14:$F$79,RAB!$C$14:$C$79,C1051)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SUMIFS(RAB!$F$14:$F$79,RAB!$C$14:$C$79,C1052)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SUMIFS(RAB!$F$14:$F$79,RAB!$C$14:$C$79,C1053)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SUMIFS(RAB!$F$14:$F$79,RAB!$C$14:$C$79,C1054)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SUMIFS(RAB!$F$14:$F$79,RAB!$C$14:$C$79,C1055)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SUMIFS(RAB!$F$14:$F$79,RAB!$C$14:$C$79,C1056)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SUMIFS(RAB!$F$14:$F$79,RAB!$C$14:$C$79,C1057)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SUMIFS(RAB!$F$14:$F$79,RAB!$C$14:$C$79,C1058)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SUMIFS(RAB!$F$14:$F$79,RAB!$C$14:$C$79,C1059)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SUMIFS(RAB!$F$14:$F$79,RAB!$C$14:$C$79,C1060)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SUMIFS(RAB!$F$14:$F$79,RAB!$C$14:$C$79,C1061)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SUMIFS(RAB!$F$14:$F$79,RAB!$C$14:$C$79,C1062)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SUMIFS(RAB!$F$14:$F$79,RAB!$C$14:$C$79,C1063)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SUMIFS(RAB!$F$14:$F$79,RAB!$C$14:$C$79,C1064)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SUMIFS(RAB!$F$14:$F$79,RAB!$C$14:$C$79,C1065)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SUMIFS(RAB!$F$14:$F$79,RAB!$C$14:$C$79,C1066)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SUMIFS(RAB!$F$14:$F$79,RAB!$C$14:$C$79,C1067)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SUMIFS(RAB!$F$14:$F$79,RAB!$C$14:$C$79,C1068)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SUMIFS(RAB!$F$14:$F$79,RAB!$C$14:$C$79,C1069)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SUMIFS(RAB!$F$14:$F$79,RAB!$C$14:$C$79,C1070)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SUMIFS(RAB!$F$14:$F$79,RAB!$C$14:$C$79,C1071)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SUMIFS(RAB!$F$14:$F$79,RAB!$C$14:$C$79,C1072)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SUMIFS(RAB!$F$14:$F$79,RAB!$C$14:$C$79,C1073)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SUMIFS(RAB!$F$14:$F$79,RAB!$C$14:$C$79,C1074)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SUMIFS(RAB!$F$14:$F$79,RAB!$C$14:$C$79,C1075)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SUMIFS(RAB!$F$14:$F$79,RAB!$C$14:$C$79,C1076)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SUMIFS(RAB!$F$14:$F$79,RAB!$C$14:$C$79,C1077)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SUMIFS(RAB!$F$14:$F$79,RAB!$C$14:$C$79,C1078)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SUMIFS(RAB!$F$14:$F$79,RAB!$C$14:$C$79,C1079)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SUMIFS(RAB!$F$14:$F$79,RAB!$C$14:$C$79,C1080)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SUMIFS(RAB!$F$14:$F$79,RAB!$C$14:$C$79,C1081)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SUMIFS(RAB!$F$14:$F$79,RAB!$C$14:$C$79,C1082)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SUMIFS(RAB!$F$14:$F$79,RAB!$C$14:$C$79,C1083)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SUMIFS(RAB!$F$14:$F$79,RAB!$C$14:$C$79,C1084)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SUMIFS(RAB!$F$14:$F$79,RAB!$C$14:$C$79,C1085)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SUMIFS(RAB!$F$14:$F$79,RAB!$C$14:$C$79,C1086)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SUMIFS(RAB!$F$14:$F$79,RAB!$C$14:$C$79,C1087)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SUMIFS(RAB!$F$14:$F$79,RAB!$C$14:$C$79,C1088)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SUMIFS(RAB!$F$14:$F$79,RAB!$C$14:$C$79,C1089)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SUMIFS(RAB!$F$14:$F$79,RAB!$C$14:$C$79,C1090)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SUMIFS(RAB!$F$14:$F$79,RAB!$C$14:$C$79,C1091)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SUMIFS(RAB!$F$14:$F$79,RAB!$C$14:$C$79,C1092)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SUMIFS(RAB!$F$14:$F$79,RAB!$C$14:$C$79,C1093)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SUMIFS(RAB!$F$14:$F$79,RAB!$C$14:$C$79,C1094)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SUMIFS(RAB!$F$14:$F$79,RAB!$C$14:$C$79,C1095)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SUMIFS(RAB!$F$14:$F$79,RAB!$C$14:$C$79,C1096)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SUMIFS(RAB!$F$14:$F$79,RAB!$C$14:$C$79,C1097)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SUMIFS(RAB!$F$14:$F$79,RAB!$C$14:$C$79,C1098)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SUMIFS(RAB!$F$14:$F$79,RAB!$C$14:$C$79,C1099)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SUMIFS(RAB!$F$14:$F$79,RAB!$C$14:$C$79,C1100)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SUMIFS(RAB!$F$14:$F$79,RAB!$C$14:$C$79,C1101)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SUMIFS(RAB!$F$14:$F$79,RAB!$C$14:$C$79,C1102)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SUMIFS(RAB!$F$14:$F$79,RAB!$C$14:$C$79,C1103)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SUMIFS(RAB!$F$14:$F$79,RAB!$C$14:$C$79,C1104)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SUMIFS(RAB!$F$14:$F$79,RAB!$C$14:$C$79,C1105)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SUMIFS(RAB!$F$14:$F$79,RAB!$C$14:$C$79,C1106)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SUMIFS(RAB!$F$14:$F$79,RAB!$C$14:$C$79,C1107)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SUMIFS(RAB!$F$14:$F$79,RAB!$C$14:$C$79,C1108)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SUMIFS(RAB!$F$14:$F$79,RAB!$C$14:$C$79,C1109)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SUMIFS(RAB!$F$14:$F$79,RAB!$C$14:$C$79,C1110)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SUMIFS(RAB!$F$14:$F$79,RAB!$C$14:$C$79,C1111)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SUMIFS(RAB!$F$14:$F$79,RAB!$C$14:$C$79,C1112)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SUMIFS(RAB!$F$14:$F$79,RAB!$C$14:$C$79,C1113)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SUMIFS(RAB!$F$14:$F$79,RAB!$C$14:$C$79,C1114)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SUMIFS(RAB!$F$14:$F$79,RAB!$C$14:$C$79,C1115)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SUMIFS(RAB!$F$14:$F$79,RAB!$C$14:$C$79,C1116)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SUMIFS(RAB!$F$14:$F$79,RAB!$C$14:$C$79,C1117)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SUMIFS(RAB!$F$14:$F$79,RAB!$C$14:$C$79,C1118)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SUMIFS(RAB!$F$14:$F$79,RAB!$C$14:$C$79,C1119)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SUMIFS(RAB!$F$14:$F$79,RAB!$C$14:$C$79,C1120)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SUMIFS(RAB!$F$14:$F$79,RAB!$C$14:$C$79,C1121)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SUMIFS(RAB!$F$14:$F$79,RAB!$C$14:$C$79,C1122)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SUMIFS(RAB!$F$14:$F$79,RAB!$C$14:$C$79,C1123)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SUMIFS(RAB!$F$14:$F$79,RAB!$C$14:$C$79,C1124)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SUMIFS(RAB!$F$14:$F$79,RAB!$C$14:$C$79,C1125)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SUMIFS(RAB!$F$14:$F$79,RAB!$C$14:$C$79,C1126)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SUMIFS(RAB!$F$14:$F$79,RAB!$C$14:$C$79,C1127)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SUMIFS(RAB!$F$14:$F$79,RAB!$C$14:$C$79,C1128)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SUMIFS(RAB!$F$14:$F$79,RAB!$C$14:$C$79,C1129)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SUMIFS(RAB!$F$14:$F$79,RAB!$C$14:$C$79,C1130)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SUMIFS(RAB!$F$14:$F$79,RAB!$C$14:$C$79,C1131)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SUMIFS(RAB!$F$14:$F$79,RAB!$C$14:$C$79,C1132)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SUMIFS(RAB!$F$14:$F$79,RAB!$C$14:$C$79,C1133)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SUMIFS(RAB!$F$14:$F$79,RAB!$C$14:$C$79,C1134)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SUMIFS(RAB!$F$14:$F$79,RAB!$C$14:$C$79,C1135)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SUMIFS(RAB!$F$14:$F$79,RAB!$C$14:$C$79,C1136)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SUMIFS(RAB!$F$14:$F$79,RAB!$C$14:$C$79,C1137)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SUMIFS(RAB!$F$14:$F$79,RAB!$C$14:$C$79,C1138)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SUMIFS(RAB!$F$14:$F$79,RAB!$C$14:$C$79,C1139)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SUMIFS(RAB!$F$14:$F$79,RAB!$C$14:$C$79,C1140)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SUMIFS(RAB!$F$14:$F$79,RAB!$C$14:$C$79,C1141)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SUMIFS(RAB!$F$14:$F$79,RAB!$C$14:$C$79,C1142)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SUMIFS(RAB!$F$14:$F$79,RAB!$C$14:$C$79,C1143)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SUMIFS(RAB!$F$14:$F$79,RAB!$C$14:$C$79,C1144)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SUMIFS(RAB!$F$14:$F$79,RAB!$C$14:$C$79,C1145)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SUMIFS(RAB!$F$14:$F$79,RAB!$C$14:$C$79,C1146)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SUMIFS(RAB!$F$14:$F$79,RAB!$C$14:$C$79,C1147)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SUMIFS(RAB!$F$14:$F$79,RAB!$C$14:$C$79,C1148)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SUMIFS(RAB!$F$14:$F$79,RAB!$C$14:$C$79,C1149)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SUMIFS(RAB!$F$14:$F$79,RAB!$C$14:$C$79,C1150)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SUMIFS(RAB!$F$14:$F$79,RAB!$C$14:$C$79,C1151)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SUMIFS(RAB!$F$14:$F$79,RAB!$C$14:$C$79,C1152)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SUMIFS(RAB!$F$14:$F$79,RAB!$C$14:$C$79,C1153)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SUMIFS(RAB!$F$14:$F$79,RAB!$C$14:$C$79,C1154)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SUMIFS(RAB!$F$14:$F$79,RAB!$C$14:$C$79,C1155)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SUMIFS(RAB!$F$14:$F$79,RAB!$C$14:$C$79,C1156)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SUMIFS(RAB!$F$14:$F$79,RAB!$C$14:$C$79,C1157)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SUMIFS(RAB!$F$14:$F$79,RAB!$C$14:$C$79,C1158)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SUMIFS(RAB!$F$14:$F$79,RAB!$C$14:$C$79,C1159)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SUMIFS(RAB!$F$14:$F$79,RAB!$C$14:$C$79,C1160)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SUMIFS(RAB!$F$14:$F$79,RAB!$C$14:$C$79,C1161)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SUMIFS(RAB!$F$14:$F$79,RAB!$C$14:$C$79,C1162)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SUMIFS(RAB!$F$14:$F$79,RAB!$C$14:$C$79,C1163)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SUMIFS(RAB!$F$14:$F$79,RAB!$C$14:$C$79,C1164)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SUMIFS(RAB!$F$14:$F$79,RAB!$C$14:$C$79,C1165)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SUMIFS(RAB!$F$14:$F$79,RAB!$C$14:$C$79,C1166)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SUMIFS(RAB!$F$14:$F$79,RAB!$C$14:$C$79,C1167)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SUMIFS(RAB!$F$14:$F$79,RAB!$C$14:$C$79,C1168)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SUMIFS(RAB!$F$14:$F$79,RAB!$C$14:$C$79,C1169)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SUMIFS(RAB!$F$14:$F$79,RAB!$C$14:$C$79,C1170)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SUMIFS(RAB!$F$14:$F$79,RAB!$C$14:$C$79,C1171)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SUMIFS(RAB!$F$14:$F$79,RAB!$C$14:$C$79,C1172)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SUMIFS(RAB!$F$14:$F$79,RAB!$C$14:$C$79,C1173)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SUMIFS(RAB!$F$14:$F$79,RAB!$C$14:$C$79,C1174)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SUMIFS(RAB!$F$14:$F$79,RAB!$C$14:$C$79,C1175)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SUMIFS(RAB!$F$14:$F$79,RAB!$C$14:$C$79,C1176)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SUMIFS(RAB!$F$14:$F$79,RAB!$C$14:$C$79,C1177)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SUMIFS(RAB!$F$14:$F$79,RAB!$C$14:$C$79,C1178)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SUMIFS(RAB!$F$14:$F$79,RAB!$C$14:$C$79,C1179)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SUMIFS(RAB!$F$14:$F$79,RAB!$C$14:$C$79,C1180)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SUMIFS(RAB!$F$14:$F$79,RAB!$C$14:$C$79,C1181)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SUMIFS(RAB!$F$14:$F$79,RAB!$C$14:$C$79,C1182)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SUMIFS(RAB!$F$14:$F$79,RAB!$C$14:$C$79,C1183)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SUMIFS(RAB!$F$14:$F$79,RAB!$C$14:$C$79,C1184)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SUMIFS(RAB!$F$14:$F$79,RAB!$C$14:$C$79,C1185)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SUMIFS(RAB!$F$14:$F$79,RAB!$C$14:$C$79,C1186)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SUMIFS(RAB!$F$14:$F$79,RAB!$C$14:$C$79,C1187)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SUMIFS(RAB!$F$14:$F$79,RAB!$C$14:$C$79,C1188)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SUMIFS(RAB!$F$14:$F$79,RAB!$C$14:$C$79,C1189)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SUMIFS(RAB!$F$14:$F$79,RAB!$C$14:$C$79,C1190)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SUMIFS(RAB!$F$14:$F$79,RAB!$C$14:$C$79,C1191)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SUMIFS(RAB!$F$14:$F$79,RAB!$C$14:$C$79,C1192)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SUMIFS(RAB!$F$14:$F$79,RAB!$C$14:$C$79,C1193)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SUMIFS(RAB!$F$14:$F$79,RAB!$C$14:$C$79,C1194)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SUMIFS(RAB!$F$14:$F$79,RAB!$C$14:$C$79,C1195)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SUMIFS(RAB!$F$14:$F$79,RAB!$C$14:$C$79,C1196)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SUMIFS(RAB!$F$14:$F$79,RAB!$C$14:$C$79,C1197)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SUMIFS(RAB!$F$14:$F$79,RAB!$C$14:$C$79,C1198)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SUMIFS(RAB!$F$14:$F$79,RAB!$C$14:$C$79,C1199)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SUMIFS(RAB!$F$14:$F$79,RAB!$C$14:$C$79,C1200)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SUMIFS(RAB!$F$14:$F$79,RAB!$C$14:$C$79,C1201)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SUMIFS(RAB!$F$14:$F$79,RAB!$C$14:$C$79,C1202)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SUMIFS(RAB!$F$14:$F$79,RAB!$C$14:$C$79,C1203)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SUMIFS(RAB!$F$14:$F$79,RAB!$C$14:$C$79,C1204)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SUMIFS(RAB!$F$14:$F$79,RAB!$C$14:$C$79,C1205)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SUMIFS(RAB!$F$14:$F$79,RAB!$C$14:$C$79,C1206)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SUMIFS(RAB!$F$14:$F$79,RAB!$C$14:$C$79,C1207)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SUMIFS(RAB!$F$14:$F$79,RAB!$C$14:$C$79,C1208)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SUMIFS(RAB!$F$14:$F$79,RAB!$C$14:$C$79,C1209)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SUMIFS(RAB!$F$14:$F$79,RAB!$C$14:$C$79,C1210)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SUMIFS(RAB!$F$14:$F$79,RAB!$C$14:$C$79,C1211)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SUMIFS(RAB!$F$14:$F$79,RAB!$C$14:$C$79,C1212)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SUMIFS(RAB!$F$14:$F$79,RAB!$C$14:$C$79,C1213)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SUMIFS(RAB!$F$14:$F$79,RAB!$C$14:$C$79,C1214)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SUMIFS(RAB!$F$14:$F$79,RAB!$C$14:$C$79,C1215)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SUMIFS(RAB!$F$14:$F$79,RAB!$C$14:$C$79,C1216)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SUMIFS(RAB!$F$14:$F$79,RAB!$C$14:$C$79,C1217)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SUMIFS(RAB!$F$14:$F$79,RAB!$C$14:$C$79,C1218)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SUMIFS(RAB!$F$14:$F$79,RAB!$C$14:$C$79,C1219)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SUMIFS(RAB!$F$14:$F$79,RAB!$C$14:$C$79,C1220)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SUMIFS(RAB!$F$14:$F$79,RAB!$C$14:$C$79,C1221)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SUMIFS(RAB!$F$14:$F$79,RAB!$C$14:$C$79,C1222)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SUMIFS(RAB!$F$14:$F$79,RAB!$C$14:$C$79,C1223)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SUMIFS(RAB!$F$14:$F$79,RAB!$C$14:$C$79,C1224)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SUMIFS(RAB!$F$14:$F$79,RAB!$C$14:$C$79,C1225)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SUMIFS(RAB!$F$14:$F$79,RAB!$C$14:$C$79,C1226)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SUMIFS(RAB!$F$14:$F$79,RAB!$C$14:$C$79,C1227)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SUMIFS(RAB!$F$14:$F$79,RAB!$C$14:$C$79,C1228)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SUMIFS(RAB!$F$14:$F$79,RAB!$C$14:$C$79,C1229)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SUMIFS(RAB!$F$14:$F$79,RAB!$C$14:$C$79,C1230)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SUMIFS(RAB!$F$14:$F$79,RAB!$C$14:$C$79,C1231)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SUMIFS(RAB!$F$14:$F$79,RAB!$C$14:$C$79,C1232)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SUMIFS(RAB!$F$14:$F$79,RAB!$C$14:$C$79,C1233)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SUMIFS(RAB!$F$14:$F$79,RAB!$C$14:$C$79,C1234)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SUMIFS(RAB!$F$14:$F$79,RAB!$C$14:$C$79,C1235)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SUMIFS(RAB!$F$14:$F$79,RAB!$C$14:$C$79,C1236)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SUMIFS(RAB!$F$14:$F$79,RAB!$C$14:$C$79,C1237)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SUMIFS(RAB!$F$14:$F$79,RAB!$C$14:$C$79,C1238)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SUMIFS(RAB!$F$14:$F$79,RAB!$C$14:$C$79,C1239)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SUMIFS(RAB!$F$14:$F$79,RAB!$C$14:$C$79,C1240)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SUMIFS(RAB!$F$14:$F$79,RAB!$C$14:$C$79,C1241)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SUMIFS(RAB!$F$14:$F$79,RAB!$C$14:$C$79,C1242)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SUMIFS(RAB!$F$14:$F$79,RAB!$C$14:$C$79,C1243)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SUMIFS(RAB!$F$14:$F$79,RAB!$C$14:$C$79,C1244)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SUMIFS(RAB!$F$14:$F$79,RAB!$C$14:$C$79,C1245)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SUMIFS(RAB!$F$14:$F$79,RAB!$C$14:$C$79,C1246)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SUMIFS(RAB!$F$14:$F$79,RAB!$C$14:$C$79,C1247)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SUMIFS(RAB!$F$14:$F$79,RAB!$C$14:$C$79,C1248)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SUMIFS(RAB!$F$14:$F$79,RAB!$C$14:$C$79,C1249)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SUMIFS(RAB!$F$14:$F$79,RAB!$C$14:$C$79,C1250)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SUMIFS(RAB!$F$14:$F$79,RAB!$C$14:$C$79,C1251)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SUMIFS(RAB!$F$14:$F$79,RAB!$C$14:$C$79,C1252)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SUMIFS(RAB!$F$14:$F$79,RAB!$C$14:$C$79,C1253)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SUMIFS(RAB!$F$14:$F$79,RAB!$C$14:$C$79,C1254)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SUMIFS(RAB!$F$14:$F$79,RAB!$C$14:$C$79,C1255)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SUMIFS(RAB!$F$14:$F$79,RAB!$C$14:$C$79,C1256)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SUMIFS(RAB!$F$14:$F$79,RAB!$C$14:$C$79,C1257)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SUMIFS(RAB!$F$14:$F$79,RAB!$C$14:$C$79,C1258)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SUMIFS(RAB!$F$14:$F$79,RAB!$C$14:$C$79,C1259)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SUMIFS(RAB!$F$14:$F$79,RAB!$C$14:$C$79,C1260)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SUMIFS(RAB!$F$14:$F$79,RAB!$C$14:$C$79,C1261)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SUMIFS(RAB!$F$14:$F$79,RAB!$C$14:$C$79,C1262)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SUMIFS(RAB!$F$14:$F$79,RAB!$C$14:$C$79,C1263)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SUMIFS(RAB!$F$14:$F$79,RAB!$C$14:$C$79,C1264)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SUMIFS(RAB!$F$14:$F$79,RAB!$C$14:$C$79,C1265)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SUMIFS(RAB!$F$14:$F$79,RAB!$C$14:$C$79,C1266)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SUMIFS(RAB!$F$14:$F$79,RAB!$C$14:$C$79,C1267)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SUMIFS(RAB!$F$14:$F$79,RAB!$C$14:$C$79,C1268)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SUMIFS(RAB!$F$14:$F$79,RAB!$C$14:$C$79,C1269)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SUMIFS(RAB!$F$14:$F$79,RAB!$C$14:$C$79,C1270)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SUMIFS(RAB!$F$14:$F$79,RAB!$C$14:$C$79,C1271)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SUMIFS(RAB!$F$14:$F$79,RAB!$C$14:$C$79,C1272)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SUMIFS(RAB!$F$14:$F$79,RAB!$C$14:$C$79,C1273)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SUMIFS(RAB!$F$14:$F$79,RAB!$C$14:$C$79,C1274)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SUMIFS(RAB!$F$14:$F$79,RAB!$C$14:$C$79,C1275)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SUMIFS(RAB!$F$14:$F$79,RAB!$C$14:$C$79,C1276)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SUMIFS(RAB!$F$14:$F$79,RAB!$C$14:$C$79,C1277)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SUMIFS(RAB!$F$14:$F$79,RAB!$C$14:$C$79,C1278)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SUMIFS(RAB!$F$14:$F$79,RAB!$C$14:$C$79,C1279)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SUMIFS(RAB!$F$14:$F$79,RAB!$C$14:$C$79,C1280)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SUMIFS(RAB!$F$14:$F$79,RAB!$C$14:$C$79,C1281)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SUMIFS(RAB!$F$14:$F$79,RAB!$C$14:$C$79,C1282)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SUMIFS(RAB!$F$14:$F$79,RAB!$C$14:$C$79,C1283)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SUMIFS(RAB!$F$14:$F$79,RAB!$C$14:$C$79,C1284)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SUMIFS(RAB!$F$14:$F$79,RAB!$C$14:$C$79,C1285)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SUMIFS(RAB!$F$14:$F$79,RAB!$C$14:$C$79,C1286)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SUMIFS(RAB!$F$14:$F$79,RAB!$C$14:$C$79,C1287)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SUMIFS(RAB!$F$14:$F$79,RAB!$C$14:$C$79,C1288)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SUMIFS(RAB!$F$14:$F$79,RAB!$C$14:$C$79,C1289)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SUMIFS(RAB!$F$14:$F$79,RAB!$C$14:$C$79,C1290)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SUMIFS(RAB!$F$14:$F$79,RAB!$C$14:$C$79,C1291)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SUMIFS(RAB!$F$14:$F$79,RAB!$C$14:$C$79,C1292)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SUMIFS(RAB!$F$14:$F$79,RAB!$C$14:$C$79,C1293)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SUMIFS(RAB!$F$14:$F$79,RAB!$C$14:$C$79,C1294)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SUMIFS(RAB!$F$14:$F$79,RAB!$C$14:$C$79,C1295)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SUMIFS(RAB!$F$14:$F$79,RAB!$C$14:$C$79,C1296)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SUMIFS(RAB!$F$14:$F$79,RAB!$C$14:$C$79,C1297)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SUMIFS(RAB!$F$14:$F$79,RAB!$C$14:$C$79,C1298)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SUMIFS(RAB!$F$14:$F$79,RAB!$C$14:$C$79,C1299)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SUMIFS(RAB!$F$14:$F$79,RAB!$C$14:$C$79,C1300)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SUMIFS(RAB!$F$14:$F$79,RAB!$C$14:$C$79,C1301)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SUMIFS(RAB!$F$14:$F$79,RAB!$C$14:$C$79,C1302)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SUMIFS(RAB!$F$14:$F$79,RAB!$C$14:$C$79,C1303)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SUMIFS(RAB!$F$14:$F$79,RAB!$C$14:$C$79,C1304)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SUMIFS(RAB!$F$14:$F$79,RAB!$C$14:$C$79,C1305)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SUMIFS(RAB!$F$14:$F$79,RAB!$C$14:$C$79,C1306)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SUMIFS(RAB!$F$14:$F$79,RAB!$C$14:$C$79,C1307)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SUMIFS(RAB!$F$14:$F$79,RAB!$C$14:$C$79,C1308)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SUMIFS(RAB!$F$14:$F$79,RAB!$C$14:$C$79,C1309)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SUMIFS(RAB!$F$14:$F$79,RAB!$C$14:$C$79,C1310)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SUMIFS(RAB!$F$14:$F$79,RAB!$C$14:$C$79,C1311)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SUMIFS(RAB!$F$14:$F$79,RAB!$C$14:$C$79,C1312)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SUMIFS(RAB!$F$14:$F$79,RAB!$C$14:$C$79,C1313)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SUMIFS(RAB!$F$14:$F$79,RAB!$C$14:$C$79,C1314)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SUMIFS(RAB!$F$14:$F$79,RAB!$C$14:$C$79,C1315)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SUMIFS(RAB!$F$14:$F$79,RAB!$C$14:$C$79,C1316)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SUMIFS(RAB!$F$14:$F$79,RAB!$C$14:$C$79,C1317)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SUMIFS(RAB!$F$14:$F$79,RAB!$C$14:$C$79,C1318)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SUMIFS(RAB!$F$14:$F$79,RAB!$C$14:$C$79,C1319)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SUMIFS(RAB!$F$14:$F$79,RAB!$C$14:$C$79,C1320)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E1:E3 E712:E713 H10:H11 H7 E1321:E65536 G712:G65536 E6:E11 G1:G11 F10:F711">
    <cfRule type="cellIs" dxfId="141" priority="69" stopIfTrue="1" operator="equal">
      <formula>0</formula>
    </cfRule>
  </conditionalFormatting>
  <conditionalFormatting sqref="A8:G9 F11:H11 A10:H10 B12 A1:J7 A712:H713 A1321:H65536 G714:H1320 M1:IV1048576 A714:D1320 F12:F711">
    <cfRule type="cellIs" dxfId="140" priority="68" operator="equal">
      <formula>0</formula>
    </cfRule>
  </conditionalFormatting>
  <conditionalFormatting sqref="A11:E11 A12:B12 A13:A711">
    <cfRule type="cellIs" dxfId="139" priority="67" operator="equal">
      <formula>0</formula>
    </cfRule>
  </conditionalFormatting>
  <conditionalFormatting sqref="H12:H711">
    <cfRule type="cellIs" dxfId="138" priority="49" operator="equal">
      <formula>0</formula>
    </cfRule>
  </conditionalFormatting>
  <conditionalFormatting sqref="C12:C711">
    <cfRule type="cellIs" dxfId="137" priority="66" stopIfTrue="1" operator="equal">
      <formula>0</formula>
    </cfRule>
  </conditionalFormatting>
  <conditionalFormatting sqref="C12:C711">
    <cfRule type="cellIs" dxfId="136" priority="65" operator="equal">
      <formula>0</formula>
    </cfRule>
  </conditionalFormatting>
  <conditionalFormatting sqref="H12:H711">
    <cfRule type="cellIs" dxfId="135" priority="50" stopIfTrue="1" operator="equal">
      <formula>0</formula>
    </cfRule>
  </conditionalFormatting>
  <conditionalFormatting sqref="B13:B711">
    <cfRule type="cellIs" dxfId="134" priority="46" operator="equal">
      <formula>0</formula>
    </cfRule>
  </conditionalFormatting>
  <conditionalFormatting sqref="D711:E711 B13:B711">
    <cfRule type="cellIs" dxfId="133" priority="45" operator="equal">
      <formula>0</formula>
    </cfRule>
  </conditionalFormatting>
  <conditionalFormatting sqref="I10:I11 I7">
    <cfRule type="cellIs" dxfId="132" priority="28" stopIfTrue="1" operator="equal">
      <formula>0</formula>
    </cfRule>
  </conditionalFormatting>
  <conditionalFormatting sqref="I712:I65536 I10:I11">
    <cfRule type="cellIs" dxfId="131" priority="27" operator="equal">
      <formula>0</formula>
    </cfRule>
  </conditionalFormatting>
  <conditionalFormatting sqref="I12:I711">
    <cfRule type="cellIs" dxfId="130" priority="25" operator="equal">
      <formula>0</formula>
    </cfRule>
  </conditionalFormatting>
  <conditionalFormatting sqref="I12:I711">
    <cfRule type="cellIs" dxfId="129" priority="26" stopIfTrue="1" operator="equal">
      <formula>0</formula>
    </cfRule>
  </conditionalFormatting>
  <conditionalFormatting sqref="J10:J11 J7">
    <cfRule type="cellIs" dxfId="128" priority="22" stopIfTrue="1" operator="equal">
      <formula>0</formula>
    </cfRule>
  </conditionalFormatting>
  <conditionalFormatting sqref="J712:J65536 J10:J11">
    <cfRule type="cellIs" dxfId="127" priority="21" operator="equal">
      <formula>0</formula>
    </cfRule>
  </conditionalFormatting>
  <conditionalFormatting sqref="J12:J711">
    <cfRule type="cellIs" dxfId="126" priority="19" operator="equal">
      <formula>0</formula>
    </cfRule>
  </conditionalFormatting>
  <conditionalFormatting sqref="J12:J711">
    <cfRule type="cellIs" dxfId="125" priority="20" stopIfTrue="1" operator="equal">
      <formula>0</formula>
    </cfRule>
  </conditionalFormatting>
  <conditionalFormatting sqref="E714:E1320">
    <cfRule type="cellIs" dxfId="124" priority="16" stopIfTrue="1" operator="equal">
      <formula>0</formula>
    </cfRule>
  </conditionalFormatting>
  <conditionalFormatting sqref="E714:F1320">
    <cfRule type="cellIs" dxfId="123" priority="15" operator="equal">
      <formula>0</formula>
    </cfRule>
  </conditionalFormatting>
  <conditionalFormatting sqref="D12:E710">
    <cfRule type="cellIs" dxfId="122" priority="14" operator="equal">
      <formula>0</formula>
    </cfRule>
  </conditionalFormatting>
  <conditionalFormatting sqref="G12:G711">
    <cfRule type="cellIs" dxfId="121" priority="12" stopIfTrue="1" operator="equal">
      <formula>0</formula>
    </cfRule>
  </conditionalFormatting>
  <conditionalFormatting sqref="G12:G711">
    <cfRule type="cellIs" dxfId="120" priority="11" operator="equal">
      <formula>0</formula>
    </cfRule>
  </conditionalFormatting>
  <conditionalFormatting sqref="L1:L6">
    <cfRule type="cellIs" dxfId="119" priority="10" operator="equal">
      <formula>0</formula>
    </cfRule>
  </conditionalFormatting>
  <conditionalFormatting sqref="L10:L11">
    <cfRule type="cellIs" dxfId="118" priority="9" stopIfTrue="1" operator="equal">
      <formula>0</formula>
    </cfRule>
  </conditionalFormatting>
  <conditionalFormatting sqref="L712:L65536 L10:L11">
    <cfRule type="cellIs" dxfId="117" priority="8" operator="equal">
      <formula>0</formula>
    </cfRule>
  </conditionalFormatting>
  <conditionalFormatting sqref="L12:L711">
    <cfRule type="cellIs" dxfId="116" priority="6" operator="equal">
      <formula>0</formula>
    </cfRule>
  </conditionalFormatting>
  <conditionalFormatting sqref="L12:L711">
    <cfRule type="cellIs" dxfId="115" priority="7" stopIfTrue="1" operator="equal">
      <formula>0</formula>
    </cfRule>
  </conditionalFormatting>
  <conditionalFormatting sqref="K1:K7">
    <cfRule type="cellIs" dxfId="114" priority="5" operator="equal">
      <formula>0</formula>
    </cfRule>
  </conditionalFormatting>
  <conditionalFormatting sqref="K10:K11 K7">
    <cfRule type="cellIs" dxfId="113" priority="4" stopIfTrue="1" operator="equal">
      <formula>0</formula>
    </cfRule>
  </conditionalFormatting>
  <conditionalFormatting sqref="K712:K65536 K10:K11">
    <cfRule type="cellIs" dxfId="112" priority="3" operator="equal">
      <formula>0</formula>
    </cfRule>
  </conditionalFormatting>
  <conditionalFormatting sqref="K12:K711">
    <cfRule type="cellIs" dxfId="111" priority="1" operator="equal">
      <formula>0</formula>
    </cfRule>
  </conditionalFormatting>
  <conditionalFormatting sqref="K12:K711">
    <cfRule type="cellIs" dxfId="110" priority="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1127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DPU-POMPA AIR LOIRENG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LOIRENG KEC.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2" t="s">
        <v>1008</v>
      </c>
      <c r="D38" s="542"/>
      <c r="E38" s="542"/>
      <c r="F38" s="54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3" t="s">
        <v>462</v>
      </c>
      <c r="D39" s="543"/>
      <c r="E39" s="543"/>
      <c r="F39" s="54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2" t="s">
        <v>463</v>
      </c>
      <c r="D40" s="532"/>
      <c r="E40" s="532"/>
      <c r="F40" s="53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5" t="e">
        <f ca="1">"Terbilang : ( "&amp;L42&amp;" Rupiah )"</f>
        <v>#NAME?</v>
      </c>
      <c r="C41" s="536"/>
      <c r="D41" s="536"/>
      <c r="E41" s="536"/>
      <c r="F41" s="536"/>
      <c r="G41" s="536"/>
      <c r="H41" s="536"/>
      <c r="I41" s="536"/>
      <c r="J41" s="536"/>
      <c r="K41" s="537"/>
      <c r="L41" s="44"/>
      <c r="R41" s="58"/>
      <c r="S41" s="58"/>
      <c r="T41" s="58"/>
    </row>
    <row r="42" spans="1:20" s="36" customFormat="1">
      <c r="A42" s="30"/>
      <c r="B42" s="538"/>
      <c r="C42" s="539"/>
      <c r="D42" s="539"/>
      <c r="E42" s="539"/>
      <c r="F42" s="539"/>
      <c r="G42" s="539"/>
      <c r="H42" s="539"/>
      <c r="I42" s="539"/>
      <c r="J42" s="539"/>
      <c r="K42" s="54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SUMIFS(RAB!$F$14:$F$79,RAB!$C$14:$C$79,'REKAP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SUMIFS(RAB!$F$14:$F$79,RAB!$C$14:$C$79,'REKAP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SUMIFS(RAB!$F$14:$F$79,RAB!$C$14:$C$79,'REKAP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SUMIFS(RAB!$F$14:$F$79,RAB!$C$14:$C$79,'REKAP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SUMIFS(RAB!$F$14:$F$79,RAB!$C$14:$C$79,'REKAP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SUMIFS(RAB!$F$14:$F$79,RAB!$C$14:$C$79,'REKAP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SUMIFS(RAB!$F$14:$F$79,RAB!$C$14:$C$79,'REKAP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SUMIFS(RAB!$F$14:$F$79,RAB!$C$14:$C$79,'REKAP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SUMIFS(RAB!$F$14:$F$79,RAB!$C$14:$C$79,'REKAP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SUMIFS(RAB!$F$14:$F$79,RAB!$C$14:$C$79,'REKAP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SUMIFS(RAB!$F$14:$F$79,RAB!$C$14:$C$79,'REKAP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SUMIFS(RAB!$F$14:$F$79,RAB!$C$14:$C$79,'REKAP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SUMIFS(RAB!$F$14:$F$79,RAB!$C$14:$C$79,'REKAP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SUMIFS(RAB!$F$14:$F$79,RAB!$C$14:$C$79,'REKAP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SUMIFS(RAB!$F$14:$F$79,RAB!$C$14:$C$79,'REKAP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SUMIFS(RAB!$F$14:$F$79,RAB!$C$14:$C$79,'REKAP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SUMIFS(RAB!$F$14:$F$79,RAB!$C$14:$C$79,'REKAP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SUMIFS(RAB!$F$14:$F$79,RAB!$C$14:$C$79,'REKAP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SUMIFS(RAB!$F$14:$F$79,RAB!$C$14:$C$79,'REKAP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SUMIFS(RAB!$F$14:$F$79,RAB!$C$14:$C$79,'REKAP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E37:F37 H37:K37 F36:K36 N13 H12:I12 F14:F15 E1:E3 F17:F35 H14:K35 C16:C35 R14:T36 G37:G65536 E41:E65536 G1:G35 E6:E15">
    <cfRule type="cellIs" dxfId="109" priority="4" stopIfTrue="1" operator="equal">
      <formula>0</formula>
    </cfRule>
  </conditionalFormatting>
  <conditionalFormatting sqref="G7:IV9 G6 L6:IV6 A10:XFD65536 A6:E9 A1:XFD5">
    <cfRule type="cellIs" dxfId="108" priority="2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6"/>
  <sheetViews>
    <sheetView showGridLines="0" zoomScale="85" zoomScaleNormal="85" workbookViewId="0">
      <pane xSplit="2" ySplit="13" topLeftCell="C35" activePane="bottomRight" state="frozen"/>
      <selection activeCell="D209" sqref="D209"/>
      <selection pane="topRight" activeCell="D209" sqref="D209"/>
      <selection pane="bottomLeft" activeCell="D209" sqref="D209"/>
      <selection pane="bottomRight" activeCell="B25" sqref="B25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1034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DPU-POMPA AIR LOIRENG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LOIRENG KEC.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6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9" si="1">IF(OR(D15="MDU",D15="MDU-KD"),G15*F15,0)</f>
        <v>0</v>
      </c>
      <c r="I15" s="42">
        <f t="shared" ref="I15:I79" si="2">IF(D15="HDW",G15*F15,0)</f>
        <v>0</v>
      </c>
      <c r="J15" s="42">
        <f t="shared" ref="J15:J79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23" ca="1" si="4">IF(ISERROR(OFFSET($C$224,MATCH(A16,$F$225:$F$374,0),0)),"",OFFSET($C$224,MATCH(A16,$F$225:$F$374,0),0))</f>
        <v>Smart Box Langsung Daya 10.6 kVA MCCB 16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t="shared" ref="F16:F23" ca="1" si="5">IF(ISERROR(OFFSET($D$224,MATCH(A16,$F$225:$F$374,0),0)),"",OFFSET($D$224,MATCH(A16,$F$225:$F$374,0),0))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/>
      <c r="B17" s="100">
        <v>2</v>
      </c>
      <c r="C17" s="109" t="str">
        <f t="shared" ca="1" si="4"/>
        <v>KWH MPB; 1P;230V;5(60)A;1;2W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ca="1" si="5"/>
        <v>0</v>
      </c>
      <c r="G17" s="41">
        <f ca="1">IF(ISERROR(OFFSET('HARGA SATUAN'!$I$6,MATCH(C17,'HARGA SATUAN'!$C$7:$C$1492,0),0)),"",OFFSET('HARGA SATUAN'!$I$6,MATCH(C17,'HARGA SATUAN'!$C$7:$C$1492,0),0))</f>
        <v>327600</v>
      </c>
      <c r="H17" s="42">
        <f t="shared" ref="H17" ca="1" si="6">IF(OR(D17="MDU",D17="MDU-KD"),G17*F17,0)</f>
        <v>0</v>
      </c>
      <c r="I17" s="42">
        <f t="shared" ref="I17" ca="1" si="7">IF(D17="HDW",G17*F17,0)</f>
        <v>0</v>
      </c>
      <c r="J17" s="42">
        <f t="shared" ref="J17" ca="1" si="8">IF(D17="JASA",G17*F17,0)</f>
        <v>0</v>
      </c>
      <c r="K17" s="43">
        <f t="shared" ref="K17" ca="1" si="9">SUM(H17:J17)</f>
        <v>0</v>
      </c>
      <c r="L17" s="46"/>
      <c r="Q17" s="36"/>
      <c r="R17" s="45"/>
      <c r="S17" s="45"/>
      <c r="T17" s="45"/>
    </row>
    <row r="18" spans="1:20" s="47" customFormat="1">
      <c r="A18" s="30">
        <v>2</v>
      </c>
      <c r="B18" s="100">
        <f t="shared" ref="B18" ca="1" si="10">IF(C18="","",A18)</f>
        <v>2</v>
      </c>
      <c r="C18" s="109" t="str">
        <f t="shared" ca="1" si="4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5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3</v>
      </c>
      <c r="B19" s="100">
        <v>3</v>
      </c>
      <c r="C19" s="109" t="str">
        <f t="shared" ca="1" si="4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5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4</v>
      </c>
      <c r="B20" s="100">
        <f t="shared" ref="B20" ca="1" si="11">IF(C20="","",A20)</f>
        <v>4</v>
      </c>
      <c r="C20" s="109" t="str">
        <f t="shared" ca="1" si="4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5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5</v>
      </c>
      <c r="B21" s="100">
        <v>4</v>
      </c>
      <c r="C21" s="109" t="str">
        <f t="shared" ca="1" si="4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5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6</v>
      </c>
      <c r="B22" s="100">
        <f t="shared" ref="B22" ca="1" si="12">IF(C22="","",A22)</f>
        <v>6</v>
      </c>
      <c r="C22" s="109" t="str">
        <f t="shared" ca="1" si="4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5"/>
        <v>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163500</v>
      </c>
      <c r="I22" s="42">
        <f t="shared" ca="1" si="2"/>
        <v>0</v>
      </c>
      <c r="J22" s="42">
        <f t="shared" ca="1" si="3"/>
        <v>0</v>
      </c>
      <c r="K22" s="43">
        <f t="shared" ca="1" si="0"/>
        <v>163500</v>
      </c>
      <c r="L22" s="46"/>
      <c r="Q22" s="36"/>
      <c r="R22" s="45"/>
      <c r="S22" s="45"/>
      <c r="T22" s="45"/>
    </row>
    <row r="23" spans="1:20" s="47" customFormat="1">
      <c r="A23" s="30">
        <v>7</v>
      </c>
      <c r="B23" s="100">
        <f t="shared" ref="B23:B81" ca="1" si="13">IF(C23="","",A23)</f>
        <v>7</v>
      </c>
      <c r="C23" s="109" t="str">
        <f t="shared" ca="1" si="4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5"/>
        <v>35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472500</v>
      </c>
      <c r="I23" s="42">
        <f t="shared" ca="1" si="2"/>
        <v>0</v>
      </c>
      <c r="J23" s="42">
        <f t="shared" ca="1" si="3"/>
        <v>0</v>
      </c>
      <c r="K23" s="43">
        <f t="shared" ca="1" si="0"/>
        <v>472500</v>
      </c>
      <c r="L23" s="46"/>
      <c r="Q23" s="36"/>
      <c r="R23" s="45"/>
      <c r="S23" s="45"/>
      <c r="T23" s="45"/>
    </row>
    <row r="24" spans="1:20" s="47" customFormat="1">
      <c r="A24" s="30">
        <v>8</v>
      </c>
      <c r="B24" s="100" t="str">
        <f t="shared" ref="B24:B25" ca="1" si="14">IF(C24="","",A24)</f>
        <v/>
      </c>
      <c r="C24" s="109" t="str">
        <f t="shared" ref="C24:C25" ca="1" si="15">IF(ISERROR(OFFSET($C$224,MATCH(A24,$F$225:$F$374,0),0)),"",OFFSET($C$224,MATCH(A24,$F$225:$F$374,0),0))</f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ref="F24:F25" ca="1" si="16">IF(ISERROR(OFFSET($D$224,MATCH(A24,$F$225:$F$374,0),0)),"",OFFSET($D$224,MATCH(A24,$F$225:$F$374,0),0))</f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25" ca="1" si="17">IF(OR(D24="MDU",D24="MDU-KD"),G24*F24,0)</f>
        <v>0</v>
      </c>
      <c r="I24" s="42">
        <f t="shared" ref="I24:I25" ca="1" si="18">IF(D24="HDW",G24*F24,0)</f>
        <v>0</v>
      </c>
      <c r="J24" s="42">
        <f t="shared" ref="J24:J25" ca="1" si="19">IF(D24="JASA",G24*F24,0)</f>
        <v>0</v>
      </c>
      <c r="K24" s="43">
        <f t="shared" ref="K24:K25" ca="1" si="20">SUM(H24:J24)</f>
        <v>0</v>
      </c>
      <c r="L24" s="46"/>
      <c r="Q24" s="36"/>
      <c r="R24" s="45"/>
      <c r="S24" s="45"/>
      <c r="T24" s="45"/>
    </row>
    <row r="25" spans="1:20" s="47" customFormat="1">
      <c r="A25" s="30">
        <v>9</v>
      </c>
      <c r="B25" s="100" t="str">
        <f t="shared" ca="1" si="14"/>
        <v/>
      </c>
      <c r="C25" s="109" t="str">
        <f t="shared" ca="1" si="1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1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7"/>
        <v>0</v>
      </c>
      <c r="I25" s="42">
        <f t="shared" ca="1" si="18"/>
        <v>0</v>
      </c>
      <c r="J25" s="42">
        <f t="shared" ca="1" si="19"/>
        <v>0</v>
      </c>
      <c r="K25" s="43">
        <f t="shared" ca="1" si="20"/>
        <v>0</v>
      </c>
      <c r="L25" s="46"/>
      <c r="Q25" s="36"/>
      <c r="R25" s="45"/>
      <c r="S25" s="45"/>
      <c r="T25" s="45"/>
    </row>
    <row r="26" spans="1:20" s="47" customFormat="1">
      <c r="A26" s="30">
        <v>10</v>
      </c>
      <c r="B26" s="100" t="str">
        <f t="shared" ca="1" si="13"/>
        <v/>
      </c>
      <c r="C26" s="109" t="str">
        <f t="shared" ref="C26:C57" ca="1" si="21">IF(ISERROR(OFFSET($C$224,MATCH(A26,$F$225:$F$374,0),0)),"",OFFSET($C$224,MATCH(A26,$F$225:$F$374,0),0))</f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ref="F26:F57" ca="1" si="22">IF(ISERROR(OFFSET($D$224,MATCH(A26,$F$225:$F$374,0),0)),"",OFFSET($D$224,MATCH(A26,$F$225:$F$374,0),0))</f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11</v>
      </c>
      <c r="B27" s="100" t="str">
        <f t="shared" ca="1" si="13"/>
        <v/>
      </c>
      <c r="C27" s="109" t="str">
        <f t="shared" ca="1" si="2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2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12</v>
      </c>
      <c r="B28" s="100" t="str">
        <f t="shared" ca="1" si="13"/>
        <v/>
      </c>
      <c r="C28" s="109" t="str">
        <f t="shared" ca="1" si="2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2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13</v>
      </c>
      <c r="B29" s="100" t="str">
        <f t="shared" ca="1" si="13"/>
        <v/>
      </c>
      <c r="C29" s="109" t="str">
        <f t="shared" ca="1" si="2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2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14</v>
      </c>
      <c r="B30" s="100" t="str">
        <f t="shared" ca="1" si="13"/>
        <v/>
      </c>
      <c r="C30" s="109" t="str">
        <f t="shared" ca="1" si="2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2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15</v>
      </c>
      <c r="B31" s="100" t="str">
        <f t="shared" ca="1" si="13"/>
        <v/>
      </c>
      <c r="C31" s="109" t="str">
        <f t="shared" ca="1" si="2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2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16</v>
      </c>
      <c r="B32" s="100" t="str">
        <f t="shared" ca="1" si="13"/>
        <v/>
      </c>
      <c r="C32" s="109" t="str">
        <f t="shared" ca="1" si="2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2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17</v>
      </c>
      <c r="B33" s="100" t="str">
        <f t="shared" ca="1" si="13"/>
        <v/>
      </c>
      <c r="C33" s="109" t="str">
        <f t="shared" ca="1" si="2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2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18</v>
      </c>
      <c r="B34" s="100" t="str">
        <f t="shared" ca="1" si="13"/>
        <v/>
      </c>
      <c r="C34" s="109" t="str">
        <f t="shared" ca="1" si="2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2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19</v>
      </c>
      <c r="B35" s="100" t="str">
        <f t="shared" ca="1" si="13"/>
        <v/>
      </c>
      <c r="C35" s="109" t="str">
        <f t="shared" ca="1" si="2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2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20</v>
      </c>
      <c r="B36" s="100" t="str">
        <f t="shared" ca="1" si="13"/>
        <v/>
      </c>
      <c r="C36" s="109" t="str">
        <f t="shared" ca="1" si="2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2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21</v>
      </c>
      <c r="B37" s="100" t="str">
        <f t="shared" ca="1" si="13"/>
        <v/>
      </c>
      <c r="C37" s="109" t="str">
        <f t="shared" ca="1" si="2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2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22</v>
      </c>
      <c r="B38" s="100" t="str">
        <f t="shared" ca="1" si="13"/>
        <v/>
      </c>
      <c r="C38" s="109" t="str">
        <f t="shared" ca="1" si="2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2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23</v>
      </c>
      <c r="B39" s="100" t="str">
        <f t="shared" ca="1" si="13"/>
        <v/>
      </c>
      <c r="C39" s="109" t="str">
        <f t="shared" ca="1" si="2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2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24</v>
      </c>
      <c r="B40" s="100" t="str">
        <f t="shared" ca="1" si="13"/>
        <v/>
      </c>
      <c r="C40" s="109" t="str">
        <f t="shared" ca="1" si="2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2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25</v>
      </c>
      <c r="B41" s="100" t="str">
        <f t="shared" ca="1" si="13"/>
        <v/>
      </c>
      <c r="C41" s="109" t="str">
        <f t="shared" ca="1" si="2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2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26</v>
      </c>
      <c r="B42" s="100" t="str">
        <f t="shared" ca="1" si="13"/>
        <v/>
      </c>
      <c r="C42" s="109" t="str">
        <f t="shared" ca="1" si="2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2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27</v>
      </c>
      <c r="B43" s="100" t="str">
        <f t="shared" ca="1" si="13"/>
        <v/>
      </c>
      <c r="C43" s="109" t="str">
        <f t="shared" ca="1" si="2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2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28</v>
      </c>
      <c r="B44" s="100" t="str">
        <f t="shared" ca="1" si="13"/>
        <v/>
      </c>
      <c r="C44" s="109" t="str">
        <f t="shared" ca="1" si="2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2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29</v>
      </c>
      <c r="B45" s="100" t="str">
        <f t="shared" ca="1" si="13"/>
        <v/>
      </c>
      <c r="C45" s="109" t="str">
        <f t="shared" ca="1" si="2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2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30</v>
      </c>
      <c r="B46" s="100" t="str">
        <f t="shared" ca="1" si="13"/>
        <v/>
      </c>
      <c r="C46" s="109" t="str">
        <f t="shared" ca="1" si="2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2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31</v>
      </c>
      <c r="B47" s="100" t="str">
        <f t="shared" ca="1" si="13"/>
        <v/>
      </c>
      <c r="C47" s="109" t="str">
        <f t="shared" ca="1" si="2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2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32</v>
      </c>
      <c r="B48" s="100" t="str">
        <f t="shared" ca="1" si="13"/>
        <v/>
      </c>
      <c r="C48" s="109" t="str">
        <f t="shared" ca="1" si="2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2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33</v>
      </c>
      <c r="B49" s="100" t="str">
        <f t="shared" ca="1" si="13"/>
        <v/>
      </c>
      <c r="C49" s="109" t="str">
        <f t="shared" ca="1" si="2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2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34</v>
      </c>
      <c r="B50" s="100" t="str">
        <f t="shared" ca="1" si="13"/>
        <v/>
      </c>
      <c r="C50" s="109" t="str">
        <f t="shared" ca="1" si="2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2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35</v>
      </c>
      <c r="B51" s="100" t="str">
        <f t="shared" ca="1" si="13"/>
        <v/>
      </c>
      <c r="C51" s="109" t="str">
        <f t="shared" ca="1" si="2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2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36</v>
      </c>
      <c r="B52" s="100" t="str">
        <f t="shared" ca="1" si="13"/>
        <v/>
      </c>
      <c r="C52" s="109" t="str">
        <f t="shared" ca="1" si="2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2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37</v>
      </c>
      <c r="B53" s="100" t="str">
        <f t="shared" ca="1" si="13"/>
        <v/>
      </c>
      <c r="C53" s="109" t="str">
        <f t="shared" ca="1" si="2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2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38</v>
      </c>
      <c r="B54" s="100" t="str">
        <f t="shared" ca="1" si="13"/>
        <v/>
      </c>
      <c r="C54" s="109" t="str">
        <f t="shared" ca="1" si="2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2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39</v>
      </c>
      <c r="B55" s="100" t="str">
        <f t="shared" ca="1" si="13"/>
        <v/>
      </c>
      <c r="C55" s="109" t="str">
        <f t="shared" ca="1" si="2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2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40</v>
      </c>
      <c r="B56" s="100" t="str">
        <f t="shared" ca="1" si="13"/>
        <v/>
      </c>
      <c r="C56" s="109" t="str">
        <f t="shared" ca="1" si="2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2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41</v>
      </c>
      <c r="B57" s="100" t="str">
        <f t="shared" ca="1" si="13"/>
        <v/>
      </c>
      <c r="C57" s="109" t="str">
        <f t="shared" ca="1" si="2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2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42</v>
      </c>
      <c r="B58" s="100" t="str">
        <f t="shared" ca="1" si="13"/>
        <v/>
      </c>
      <c r="C58" s="109" t="str">
        <f t="shared" ref="C58:C81" ca="1" si="23">IF(ISERROR(OFFSET($C$224,MATCH(A58,$F$225:$F$374,0),0)),"",OFFSET($C$224,MATCH(A58,$F$225:$F$374,0),0))</f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ref="F58:F81" ca="1" si="24">IF(ISERROR(OFFSET($D$224,MATCH(A58,$F$225:$F$374,0),0)),"",OFFSET($D$224,MATCH(A58,$F$225:$F$374,0),0))</f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43</v>
      </c>
      <c r="B59" s="100" t="str">
        <f t="shared" ca="1" si="13"/>
        <v/>
      </c>
      <c r="C59" s="109" t="str">
        <f t="shared" ca="1" si="23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24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44</v>
      </c>
      <c r="B60" s="100" t="str">
        <f t="shared" ca="1" si="13"/>
        <v/>
      </c>
      <c r="C60" s="109" t="str">
        <f t="shared" ca="1" si="23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24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45</v>
      </c>
      <c r="B61" s="100" t="str">
        <f t="shared" ca="1" si="13"/>
        <v/>
      </c>
      <c r="C61" s="109" t="str">
        <f t="shared" ca="1" si="23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24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46</v>
      </c>
      <c r="B62" s="100" t="str">
        <f t="shared" ca="1" si="13"/>
        <v/>
      </c>
      <c r="C62" s="109" t="str">
        <f t="shared" ca="1" si="23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24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47</v>
      </c>
      <c r="B63" s="100" t="str">
        <f t="shared" ca="1" si="13"/>
        <v/>
      </c>
      <c r="C63" s="109" t="str">
        <f t="shared" ca="1" si="23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24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48</v>
      </c>
      <c r="B64" s="100" t="str">
        <f t="shared" ca="1" si="13"/>
        <v/>
      </c>
      <c r="C64" s="109" t="str">
        <f t="shared" ca="1" si="23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24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49</v>
      </c>
      <c r="B65" s="100" t="str">
        <f t="shared" ca="1" si="13"/>
        <v/>
      </c>
      <c r="C65" s="109" t="str">
        <f t="shared" ca="1" si="23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24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50</v>
      </c>
      <c r="B66" s="100" t="str">
        <f t="shared" ca="1" si="13"/>
        <v/>
      </c>
      <c r="C66" s="109" t="str">
        <f t="shared" ca="1" si="23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24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51</v>
      </c>
      <c r="B67" s="100" t="str">
        <f t="shared" ca="1" si="13"/>
        <v/>
      </c>
      <c r="C67" s="109" t="str">
        <f t="shared" ca="1" si="23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24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ca="1" si="0"/>
        <v>0</v>
      </c>
      <c r="L67" s="46"/>
      <c r="Q67" s="36"/>
      <c r="R67" s="45"/>
      <c r="S67" s="45"/>
      <c r="T67" s="45"/>
    </row>
    <row r="68" spans="1:20" s="47" customFormat="1">
      <c r="A68" s="30">
        <v>52</v>
      </c>
      <c r="B68" s="100" t="str">
        <f t="shared" ca="1" si="13"/>
        <v/>
      </c>
      <c r="C68" s="109" t="str">
        <f t="shared" ca="1" si="23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24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ref="K68:K105" ca="1" si="25">SUM(H68:J68)</f>
        <v>0</v>
      </c>
      <c r="L68" s="46"/>
      <c r="Q68" s="36"/>
      <c r="R68" s="45"/>
      <c r="S68" s="45"/>
      <c r="T68" s="45"/>
    </row>
    <row r="69" spans="1:20" s="47" customFormat="1">
      <c r="A69" s="30">
        <v>53</v>
      </c>
      <c r="B69" s="100" t="str">
        <f t="shared" ca="1" si="13"/>
        <v/>
      </c>
      <c r="C69" s="109" t="str">
        <f t="shared" ca="1" si="23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24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25"/>
        <v>0</v>
      </c>
      <c r="L69" s="46"/>
      <c r="Q69" s="36"/>
      <c r="R69" s="45"/>
      <c r="S69" s="45"/>
      <c r="T69" s="45"/>
    </row>
    <row r="70" spans="1:20" s="47" customFormat="1">
      <c r="A70" s="30">
        <v>54</v>
      </c>
      <c r="B70" s="100" t="str">
        <f t="shared" ca="1" si="13"/>
        <v/>
      </c>
      <c r="C70" s="109" t="str">
        <f t="shared" ca="1" si="23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24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25"/>
        <v>0</v>
      </c>
      <c r="L70" s="46"/>
      <c r="Q70" s="36"/>
      <c r="R70" s="45"/>
      <c r="S70" s="45"/>
      <c r="T70" s="45"/>
    </row>
    <row r="71" spans="1:20" s="47" customFormat="1">
      <c r="A71" s="30">
        <v>55</v>
      </c>
      <c r="B71" s="100" t="str">
        <f t="shared" ca="1" si="13"/>
        <v/>
      </c>
      <c r="C71" s="109" t="str">
        <f t="shared" ca="1" si="23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24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25"/>
        <v>0</v>
      </c>
      <c r="L71" s="46"/>
      <c r="Q71" s="36"/>
      <c r="R71" s="45"/>
      <c r="S71" s="45"/>
      <c r="T71" s="45"/>
    </row>
    <row r="72" spans="1:20" s="47" customFormat="1">
      <c r="A72" s="30">
        <v>56</v>
      </c>
      <c r="B72" s="100" t="str">
        <f t="shared" ca="1" si="13"/>
        <v/>
      </c>
      <c r="C72" s="109" t="str">
        <f t="shared" ca="1" si="23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24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25"/>
        <v>0</v>
      </c>
      <c r="L72" s="46"/>
      <c r="Q72" s="36"/>
      <c r="R72" s="45"/>
      <c r="S72" s="45"/>
      <c r="T72" s="45"/>
    </row>
    <row r="73" spans="1:20" s="47" customFormat="1">
      <c r="A73" s="30">
        <v>57</v>
      </c>
      <c r="B73" s="100" t="str">
        <f t="shared" ca="1" si="13"/>
        <v/>
      </c>
      <c r="C73" s="109" t="str">
        <f t="shared" ca="1" si="23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24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25"/>
        <v>0</v>
      </c>
      <c r="L73" s="46"/>
      <c r="Q73" s="36"/>
      <c r="R73" s="45"/>
      <c r="S73" s="45"/>
      <c r="T73" s="45"/>
    </row>
    <row r="74" spans="1:20" s="47" customFormat="1">
      <c r="A74" s="30">
        <v>58</v>
      </c>
      <c r="B74" s="100" t="str">
        <f t="shared" ca="1" si="13"/>
        <v/>
      </c>
      <c r="C74" s="109" t="str">
        <f t="shared" ca="1" si="23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24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25"/>
        <v>0</v>
      </c>
      <c r="L74" s="46"/>
      <c r="Q74" s="36"/>
      <c r="R74" s="45"/>
      <c r="S74" s="45"/>
      <c r="T74" s="45"/>
    </row>
    <row r="75" spans="1:20" s="47" customFormat="1">
      <c r="A75" s="30">
        <v>59</v>
      </c>
      <c r="B75" s="100" t="str">
        <f t="shared" ca="1" si="13"/>
        <v/>
      </c>
      <c r="C75" s="109" t="str">
        <f t="shared" ca="1" si="23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24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25"/>
        <v>0</v>
      </c>
      <c r="L75" s="46"/>
      <c r="Q75" s="36"/>
      <c r="R75" s="45"/>
      <c r="S75" s="45"/>
      <c r="T75" s="45"/>
    </row>
    <row r="76" spans="1:20" s="47" customFormat="1">
      <c r="A76" s="30">
        <v>60</v>
      </c>
      <c r="B76" s="100" t="str">
        <f t="shared" ca="1" si="13"/>
        <v/>
      </c>
      <c r="C76" s="109" t="str">
        <f t="shared" ca="1" si="23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24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25"/>
        <v>0</v>
      </c>
      <c r="L76" s="46"/>
      <c r="Q76" s="36"/>
      <c r="R76" s="45"/>
      <c r="S76" s="45"/>
      <c r="T76" s="45"/>
    </row>
    <row r="77" spans="1:20" s="47" customFormat="1">
      <c r="A77" s="30">
        <v>61</v>
      </c>
      <c r="B77" s="100" t="str">
        <f t="shared" ca="1" si="13"/>
        <v/>
      </c>
      <c r="C77" s="109" t="str">
        <f t="shared" ca="1" si="23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24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25"/>
        <v>0</v>
      </c>
      <c r="L77" s="46"/>
      <c r="Q77" s="36"/>
      <c r="R77" s="45"/>
      <c r="S77" s="45"/>
      <c r="T77" s="45"/>
    </row>
    <row r="78" spans="1:20" s="47" customFormat="1">
      <c r="A78" s="30">
        <v>62</v>
      </c>
      <c r="B78" s="100" t="str">
        <f t="shared" ca="1" si="13"/>
        <v/>
      </c>
      <c r="C78" s="109" t="str">
        <f t="shared" ca="1" si="23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24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25"/>
        <v>0</v>
      </c>
      <c r="L78" s="46"/>
      <c r="Q78" s="36"/>
      <c r="R78" s="45"/>
      <c r="S78" s="45"/>
      <c r="T78" s="45"/>
    </row>
    <row r="79" spans="1:20" s="47" customFormat="1">
      <c r="A79" s="30">
        <v>63</v>
      </c>
      <c r="B79" s="100" t="str">
        <f t="shared" ca="1" si="13"/>
        <v/>
      </c>
      <c r="C79" s="109" t="str">
        <f t="shared" ca="1" si="23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24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ca="1" si="1"/>
        <v>0</v>
      </c>
      <c r="I79" s="42">
        <f t="shared" ca="1" si="2"/>
        <v>0</v>
      </c>
      <c r="J79" s="42">
        <f t="shared" ca="1" si="3"/>
        <v>0</v>
      </c>
      <c r="K79" s="43">
        <f t="shared" ca="1" si="25"/>
        <v>0</v>
      </c>
      <c r="L79" s="46"/>
      <c r="Q79" s="36"/>
      <c r="R79" s="45"/>
      <c r="S79" s="45"/>
      <c r="T79" s="45"/>
    </row>
    <row r="80" spans="1:20" s="47" customFormat="1">
      <c r="A80" s="30">
        <v>64</v>
      </c>
      <c r="B80" s="100" t="str">
        <f t="shared" ca="1" si="13"/>
        <v/>
      </c>
      <c r="C80" s="109" t="str">
        <f t="shared" ca="1" si="23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24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ref="H80:H116" ca="1" si="26">IF(OR(D80="MDU",D80="MDU-KD"),G80*F80,0)</f>
        <v>0</v>
      </c>
      <c r="I80" s="42">
        <f t="shared" ref="I80:I116" ca="1" si="27">IF(D80="HDW",G80*F80,0)</f>
        <v>0</v>
      </c>
      <c r="J80" s="42">
        <f t="shared" ref="J80:J116" ca="1" si="28">IF(D80="JASA",G80*F80,0)</f>
        <v>0</v>
      </c>
      <c r="K80" s="43">
        <f t="shared" ca="1" si="25"/>
        <v>0</v>
      </c>
      <c r="L80" s="46"/>
      <c r="Q80" s="36"/>
      <c r="R80" s="45"/>
      <c r="S80" s="45"/>
      <c r="T80" s="45"/>
    </row>
    <row r="81" spans="1:20" s="47" customFormat="1">
      <c r="A81" s="30">
        <v>65</v>
      </c>
      <c r="B81" s="100" t="str">
        <f t="shared" ca="1" si="13"/>
        <v/>
      </c>
      <c r="C81" s="109" t="str">
        <f t="shared" ca="1" si="23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ca="1" si="24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26"/>
        <v>0</v>
      </c>
      <c r="I81" s="42">
        <f t="shared" ca="1" si="27"/>
        <v>0</v>
      </c>
      <c r="J81" s="42">
        <f t="shared" ca="1" si="28"/>
        <v>0</v>
      </c>
      <c r="K81" s="43">
        <f t="shared" ca="1" si="25"/>
        <v>0</v>
      </c>
      <c r="L81" s="46"/>
      <c r="Q81" s="36"/>
      <c r="R81" s="45"/>
      <c r="S81" s="45"/>
      <c r="T81" s="45"/>
    </row>
    <row r="82" spans="1:20" s="47" customFormat="1">
      <c r="A82" s="30">
        <v>66</v>
      </c>
      <c r="B82" s="100" t="str">
        <f t="shared" ref="B82:B166" ca="1" si="29">IF(C82="","",A82)</f>
        <v/>
      </c>
      <c r="C82" s="109" t="str">
        <f t="shared" ref="C82:C145" ca="1" si="30">IF(ISERROR(OFFSET($C$224,MATCH(A82,$F$225:$F$374,0),0)),"",OFFSET($C$224,MATCH(A82,$F$225:$F$374,0),0))</f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ref="F82:F145" ca="1" si="31">IF(ISERROR(OFFSET($D$224,MATCH(A82,$F$225:$F$374,0),0)),"",OFFSET($D$224,MATCH(A82,$F$225:$F$374,0),0))</f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26"/>
        <v>0</v>
      </c>
      <c r="I82" s="42">
        <f t="shared" ca="1" si="27"/>
        <v>0</v>
      </c>
      <c r="J82" s="42">
        <f t="shared" ca="1" si="28"/>
        <v>0</v>
      </c>
      <c r="K82" s="43">
        <f t="shared" ca="1" si="25"/>
        <v>0</v>
      </c>
      <c r="L82" s="46"/>
      <c r="Q82" s="36"/>
      <c r="R82" s="45"/>
      <c r="S82" s="45"/>
      <c r="T82" s="45"/>
    </row>
    <row r="83" spans="1:20" s="47" customFormat="1">
      <c r="A83" s="30">
        <v>67</v>
      </c>
      <c r="B83" s="100" t="str">
        <f t="shared" ca="1" si="29"/>
        <v/>
      </c>
      <c r="C83" s="109" t="str">
        <f t="shared" ca="1" si="30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31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26"/>
        <v>0</v>
      </c>
      <c r="I83" s="42">
        <f t="shared" ca="1" si="27"/>
        <v>0</v>
      </c>
      <c r="J83" s="42">
        <f t="shared" ca="1" si="28"/>
        <v>0</v>
      </c>
      <c r="K83" s="43">
        <f t="shared" ca="1" si="25"/>
        <v>0</v>
      </c>
      <c r="L83" s="46"/>
      <c r="Q83" s="36"/>
      <c r="R83" s="45"/>
      <c r="S83" s="45"/>
      <c r="T83" s="45"/>
    </row>
    <row r="84" spans="1:20" s="47" customFormat="1">
      <c r="A84" s="30">
        <v>68</v>
      </c>
      <c r="B84" s="100" t="str">
        <f t="shared" ca="1" si="29"/>
        <v/>
      </c>
      <c r="C84" s="109" t="str">
        <f t="shared" ca="1" si="30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31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26"/>
        <v>0</v>
      </c>
      <c r="I84" s="42">
        <f t="shared" ca="1" si="27"/>
        <v>0</v>
      </c>
      <c r="J84" s="42">
        <f t="shared" ca="1" si="28"/>
        <v>0</v>
      </c>
      <c r="K84" s="43">
        <f t="shared" ca="1" si="25"/>
        <v>0</v>
      </c>
      <c r="L84" s="46"/>
      <c r="Q84" s="36"/>
      <c r="R84" s="45"/>
      <c r="S84" s="45"/>
      <c r="T84" s="45"/>
    </row>
    <row r="85" spans="1:20" s="47" customFormat="1">
      <c r="A85" s="30">
        <v>69</v>
      </c>
      <c r="B85" s="100" t="str">
        <f t="shared" ca="1" si="29"/>
        <v/>
      </c>
      <c r="C85" s="109" t="str">
        <f t="shared" ca="1" si="30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31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26"/>
        <v>0</v>
      </c>
      <c r="I85" s="42">
        <f t="shared" ca="1" si="27"/>
        <v>0</v>
      </c>
      <c r="J85" s="42">
        <f t="shared" ca="1" si="28"/>
        <v>0</v>
      </c>
      <c r="K85" s="43">
        <f t="shared" ca="1" si="25"/>
        <v>0</v>
      </c>
      <c r="L85" s="46"/>
      <c r="Q85" s="36"/>
      <c r="R85" s="45"/>
      <c r="S85" s="45"/>
      <c r="T85" s="45"/>
    </row>
    <row r="86" spans="1:20" s="47" customFormat="1">
      <c r="A86" s="30">
        <v>70</v>
      </c>
      <c r="B86" s="100" t="str">
        <f t="shared" ca="1" si="29"/>
        <v/>
      </c>
      <c r="C86" s="109" t="str">
        <f t="shared" ca="1" si="30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31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26"/>
        <v>0</v>
      </c>
      <c r="I86" s="42">
        <f t="shared" ca="1" si="27"/>
        <v>0</v>
      </c>
      <c r="J86" s="42">
        <f t="shared" ca="1" si="28"/>
        <v>0</v>
      </c>
      <c r="K86" s="43">
        <f t="shared" ca="1" si="25"/>
        <v>0</v>
      </c>
      <c r="L86" s="46"/>
      <c r="Q86" s="36"/>
      <c r="R86" s="45"/>
      <c r="S86" s="45"/>
      <c r="T86" s="45"/>
    </row>
    <row r="87" spans="1:20" s="47" customFormat="1">
      <c r="A87" s="30">
        <v>71</v>
      </c>
      <c r="B87" s="100" t="str">
        <f t="shared" ca="1" si="29"/>
        <v/>
      </c>
      <c r="C87" s="109" t="str">
        <f t="shared" ca="1" si="30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31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26"/>
        <v>0</v>
      </c>
      <c r="I87" s="42">
        <f t="shared" ca="1" si="27"/>
        <v>0</v>
      </c>
      <c r="J87" s="42">
        <f t="shared" ca="1" si="28"/>
        <v>0</v>
      </c>
      <c r="K87" s="43">
        <f t="shared" ca="1" si="25"/>
        <v>0</v>
      </c>
      <c r="L87" s="46"/>
      <c r="Q87" s="36"/>
      <c r="R87" s="45"/>
      <c r="S87" s="45"/>
      <c r="T87" s="45"/>
    </row>
    <row r="88" spans="1:20" s="47" customFormat="1">
      <c r="A88" s="30">
        <v>72</v>
      </c>
      <c r="B88" s="100" t="str">
        <f t="shared" ca="1" si="29"/>
        <v/>
      </c>
      <c r="C88" s="109" t="str">
        <f t="shared" ca="1" si="30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31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26"/>
        <v>0</v>
      </c>
      <c r="I88" s="42">
        <f t="shared" ca="1" si="27"/>
        <v>0</v>
      </c>
      <c r="J88" s="42">
        <f t="shared" ca="1" si="28"/>
        <v>0</v>
      </c>
      <c r="K88" s="43">
        <f t="shared" ca="1" si="25"/>
        <v>0</v>
      </c>
      <c r="L88" s="46"/>
      <c r="Q88" s="36"/>
      <c r="R88" s="45"/>
      <c r="S88" s="45"/>
      <c r="T88" s="45"/>
    </row>
    <row r="89" spans="1:20" s="47" customFormat="1">
      <c r="A89" s="30">
        <v>73</v>
      </c>
      <c r="B89" s="100" t="str">
        <f t="shared" ca="1" si="29"/>
        <v/>
      </c>
      <c r="C89" s="109" t="str">
        <f t="shared" ca="1" si="30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31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26"/>
        <v>0</v>
      </c>
      <c r="I89" s="42">
        <f t="shared" ca="1" si="27"/>
        <v>0</v>
      </c>
      <c r="J89" s="42">
        <f t="shared" ca="1" si="28"/>
        <v>0</v>
      </c>
      <c r="K89" s="43">
        <f t="shared" ca="1" si="25"/>
        <v>0</v>
      </c>
      <c r="L89" s="46"/>
      <c r="Q89" s="36"/>
      <c r="R89" s="45"/>
      <c r="S89" s="45"/>
      <c r="T89" s="45"/>
    </row>
    <row r="90" spans="1:20" s="47" customFormat="1">
      <c r="A90" s="30">
        <v>74</v>
      </c>
      <c r="B90" s="100" t="str">
        <f t="shared" ca="1" si="29"/>
        <v/>
      </c>
      <c r="C90" s="109" t="str">
        <f t="shared" ca="1" si="30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31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26"/>
        <v>0</v>
      </c>
      <c r="I90" s="42">
        <f t="shared" ca="1" si="27"/>
        <v>0</v>
      </c>
      <c r="J90" s="42">
        <f t="shared" ca="1" si="28"/>
        <v>0</v>
      </c>
      <c r="K90" s="43">
        <f t="shared" ca="1" si="25"/>
        <v>0</v>
      </c>
      <c r="L90" s="46"/>
      <c r="Q90" s="36"/>
      <c r="R90" s="45"/>
      <c r="S90" s="45"/>
      <c r="T90" s="45"/>
    </row>
    <row r="91" spans="1:20" s="47" customFormat="1">
      <c r="A91" s="30">
        <v>75</v>
      </c>
      <c r="B91" s="100" t="str">
        <f t="shared" ca="1" si="29"/>
        <v/>
      </c>
      <c r="C91" s="109" t="str">
        <f t="shared" ca="1" si="30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31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26"/>
        <v>0</v>
      </c>
      <c r="I91" s="42">
        <f t="shared" ca="1" si="27"/>
        <v>0</v>
      </c>
      <c r="J91" s="42">
        <f t="shared" ca="1" si="28"/>
        <v>0</v>
      </c>
      <c r="K91" s="43">
        <f t="shared" ca="1" si="25"/>
        <v>0</v>
      </c>
      <c r="L91" s="46"/>
      <c r="Q91" s="36"/>
      <c r="R91" s="45"/>
      <c r="S91" s="45"/>
      <c r="T91" s="45"/>
    </row>
    <row r="92" spans="1:20" s="47" customFormat="1">
      <c r="A92" s="30">
        <v>76</v>
      </c>
      <c r="B92" s="100" t="str">
        <f t="shared" ca="1" si="29"/>
        <v/>
      </c>
      <c r="C92" s="109" t="str">
        <f t="shared" ca="1" si="30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31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26"/>
        <v>0</v>
      </c>
      <c r="I92" s="42">
        <f t="shared" ca="1" si="27"/>
        <v>0</v>
      </c>
      <c r="J92" s="42">
        <f t="shared" ca="1" si="28"/>
        <v>0</v>
      </c>
      <c r="K92" s="43">
        <f t="shared" ca="1" si="25"/>
        <v>0</v>
      </c>
      <c r="L92" s="46"/>
      <c r="Q92" s="36"/>
      <c r="R92" s="45"/>
      <c r="S92" s="45"/>
      <c r="T92" s="45"/>
    </row>
    <row r="93" spans="1:20" s="47" customFormat="1">
      <c r="A93" s="30">
        <v>77</v>
      </c>
      <c r="B93" s="100" t="str">
        <f t="shared" ca="1" si="29"/>
        <v/>
      </c>
      <c r="C93" s="109" t="str">
        <f t="shared" ca="1" si="30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31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26"/>
        <v>0</v>
      </c>
      <c r="I93" s="42">
        <f t="shared" ca="1" si="27"/>
        <v>0</v>
      </c>
      <c r="J93" s="42">
        <f t="shared" ca="1" si="28"/>
        <v>0</v>
      </c>
      <c r="K93" s="43">
        <f t="shared" ca="1" si="25"/>
        <v>0</v>
      </c>
      <c r="L93" s="46"/>
      <c r="Q93" s="36"/>
      <c r="R93" s="45"/>
      <c r="S93" s="45"/>
      <c r="T93" s="45"/>
    </row>
    <row r="94" spans="1:20" s="47" customFormat="1">
      <c r="A94" s="30">
        <v>78</v>
      </c>
      <c r="B94" s="100" t="str">
        <f t="shared" ca="1" si="29"/>
        <v/>
      </c>
      <c r="C94" s="109" t="str">
        <f t="shared" ca="1" si="30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31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26"/>
        <v>0</v>
      </c>
      <c r="I94" s="42">
        <f t="shared" ca="1" si="27"/>
        <v>0</v>
      </c>
      <c r="J94" s="42">
        <f t="shared" ca="1" si="28"/>
        <v>0</v>
      </c>
      <c r="K94" s="43">
        <f t="shared" ca="1" si="25"/>
        <v>0</v>
      </c>
      <c r="L94" s="46"/>
      <c r="Q94" s="36"/>
      <c r="R94" s="45"/>
      <c r="S94" s="45"/>
      <c r="T94" s="45"/>
    </row>
    <row r="95" spans="1:20" s="47" customFormat="1">
      <c r="A95" s="30">
        <v>79</v>
      </c>
      <c r="B95" s="100" t="str">
        <f t="shared" ca="1" si="29"/>
        <v/>
      </c>
      <c r="C95" s="109" t="str">
        <f t="shared" ca="1" si="30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31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26"/>
        <v>0</v>
      </c>
      <c r="I95" s="42">
        <f t="shared" ca="1" si="27"/>
        <v>0</v>
      </c>
      <c r="J95" s="42">
        <f t="shared" ca="1" si="28"/>
        <v>0</v>
      </c>
      <c r="K95" s="43">
        <f t="shared" ca="1" si="25"/>
        <v>0</v>
      </c>
      <c r="L95" s="46"/>
      <c r="Q95" s="36"/>
      <c r="R95" s="45"/>
      <c r="S95" s="45"/>
      <c r="T95" s="45"/>
    </row>
    <row r="96" spans="1:20" s="47" customFormat="1">
      <c r="A96" s="30">
        <v>80</v>
      </c>
      <c r="B96" s="100" t="str">
        <f t="shared" ca="1" si="29"/>
        <v/>
      </c>
      <c r="C96" s="109" t="str">
        <f t="shared" ca="1" si="30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31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26"/>
        <v>0</v>
      </c>
      <c r="I96" s="42">
        <f t="shared" ca="1" si="27"/>
        <v>0</v>
      </c>
      <c r="J96" s="42">
        <f t="shared" ca="1" si="28"/>
        <v>0</v>
      </c>
      <c r="K96" s="43">
        <f t="shared" ca="1" si="25"/>
        <v>0</v>
      </c>
      <c r="L96" s="46"/>
      <c r="Q96" s="36"/>
      <c r="R96" s="45"/>
      <c r="S96" s="45"/>
      <c r="T96" s="45"/>
    </row>
    <row r="97" spans="1:20" s="47" customFormat="1">
      <c r="A97" s="30">
        <v>81</v>
      </c>
      <c r="B97" s="100" t="str">
        <f t="shared" ca="1" si="29"/>
        <v/>
      </c>
      <c r="C97" s="109" t="str">
        <f t="shared" ca="1" si="30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31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26"/>
        <v>0</v>
      </c>
      <c r="I97" s="42">
        <f t="shared" ca="1" si="27"/>
        <v>0</v>
      </c>
      <c r="J97" s="42">
        <f t="shared" ca="1" si="28"/>
        <v>0</v>
      </c>
      <c r="K97" s="43">
        <f t="shared" ca="1" si="25"/>
        <v>0</v>
      </c>
      <c r="L97" s="46"/>
      <c r="Q97" s="36"/>
      <c r="R97" s="45"/>
      <c r="S97" s="45"/>
      <c r="T97" s="45"/>
    </row>
    <row r="98" spans="1:20" s="47" customFormat="1">
      <c r="A98" s="30">
        <v>82</v>
      </c>
      <c r="B98" s="100" t="str">
        <f t="shared" ca="1" si="29"/>
        <v/>
      </c>
      <c r="C98" s="109" t="str">
        <f t="shared" ca="1" si="30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31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26"/>
        <v>0</v>
      </c>
      <c r="I98" s="42">
        <f t="shared" ca="1" si="27"/>
        <v>0</v>
      </c>
      <c r="J98" s="42">
        <f t="shared" ca="1" si="28"/>
        <v>0</v>
      </c>
      <c r="K98" s="43">
        <f t="shared" ca="1" si="25"/>
        <v>0</v>
      </c>
      <c r="L98" s="46"/>
      <c r="Q98" s="36"/>
      <c r="R98" s="45"/>
      <c r="S98" s="45"/>
      <c r="T98" s="45"/>
    </row>
    <row r="99" spans="1:20" s="47" customFormat="1">
      <c r="A99" s="30">
        <v>83</v>
      </c>
      <c r="B99" s="100" t="str">
        <f t="shared" ca="1" si="29"/>
        <v/>
      </c>
      <c r="C99" s="109" t="str">
        <f t="shared" ca="1" si="30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31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26"/>
        <v>0</v>
      </c>
      <c r="I99" s="42">
        <f t="shared" ca="1" si="27"/>
        <v>0</v>
      </c>
      <c r="J99" s="42">
        <f t="shared" ca="1" si="28"/>
        <v>0</v>
      </c>
      <c r="K99" s="43">
        <f t="shared" ca="1" si="25"/>
        <v>0</v>
      </c>
      <c r="L99" s="46"/>
      <c r="Q99" s="36"/>
      <c r="R99" s="45"/>
      <c r="S99" s="45"/>
      <c r="T99" s="45"/>
    </row>
    <row r="100" spans="1:20" s="47" customFormat="1">
      <c r="A100" s="30">
        <v>84</v>
      </c>
      <c r="B100" s="100" t="str">
        <f t="shared" ca="1" si="29"/>
        <v/>
      </c>
      <c r="C100" s="109" t="str">
        <f t="shared" ca="1" si="30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31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26"/>
        <v>0</v>
      </c>
      <c r="I100" s="42">
        <f t="shared" ca="1" si="27"/>
        <v>0</v>
      </c>
      <c r="J100" s="42">
        <f t="shared" ca="1" si="28"/>
        <v>0</v>
      </c>
      <c r="K100" s="43">
        <f t="shared" ca="1" si="25"/>
        <v>0</v>
      </c>
      <c r="L100" s="46"/>
      <c r="Q100" s="36"/>
      <c r="R100" s="45"/>
      <c r="S100" s="45"/>
      <c r="T100" s="45"/>
    </row>
    <row r="101" spans="1:20" s="47" customFormat="1">
      <c r="A101" s="30">
        <v>85</v>
      </c>
      <c r="B101" s="100" t="str">
        <f t="shared" ca="1" si="29"/>
        <v/>
      </c>
      <c r="C101" s="109" t="str">
        <f t="shared" ca="1" si="30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31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26"/>
        <v>0</v>
      </c>
      <c r="I101" s="42">
        <f t="shared" ca="1" si="27"/>
        <v>0</v>
      </c>
      <c r="J101" s="42">
        <f t="shared" ca="1" si="28"/>
        <v>0</v>
      </c>
      <c r="K101" s="43">
        <f t="shared" ca="1" si="25"/>
        <v>0</v>
      </c>
      <c r="L101" s="46"/>
      <c r="Q101" s="36"/>
      <c r="R101" s="45"/>
      <c r="S101" s="45"/>
      <c r="T101" s="45"/>
    </row>
    <row r="102" spans="1:20" s="47" customFormat="1">
      <c r="A102" s="30">
        <v>86</v>
      </c>
      <c r="B102" s="100" t="str">
        <f t="shared" ca="1" si="29"/>
        <v/>
      </c>
      <c r="C102" s="109" t="str">
        <f t="shared" ca="1" si="30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31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26"/>
        <v>0</v>
      </c>
      <c r="I102" s="42">
        <f t="shared" ca="1" si="27"/>
        <v>0</v>
      </c>
      <c r="J102" s="42">
        <f t="shared" ca="1" si="28"/>
        <v>0</v>
      </c>
      <c r="K102" s="43">
        <f t="shared" ca="1" si="25"/>
        <v>0</v>
      </c>
      <c r="L102" s="46"/>
      <c r="Q102" s="36"/>
      <c r="R102" s="45"/>
      <c r="S102" s="45"/>
      <c r="T102" s="45"/>
    </row>
    <row r="103" spans="1:20" s="47" customFormat="1">
      <c r="A103" s="30">
        <v>87</v>
      </c>
      <c r="B103" s="100" t="str">
        <f t="shared" ca="1" si="29"/>
        <v/>
      </c>
      <c r="C103" s="109" t="str">
        <f t="shared" ca="1" si="30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31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26"/>
        <v>0</v>
      </c>
      <c r="I103" s="42">
        <f t="shared" ca="1" si="27"/>
        <v>0</v>
      </c>
      <c r="J103" s="42">
        <f t="shared" ca="1" si="28"/>
        <v>0</v>
      </c>
      <c r="K103" s="43">
        <f t="shared" ca="1" si="25"/>
        <v>0</v>
      </c>
      <c r="L103" s="46"/>
      <c r="Q103" s="36"/>
      <c r="R103" s="45"/>
      <c r="S103" s="45"/>
      <c r="T103" s="45"/>
    </row>
    <row r="104" spans="1:20" s="47" customFormat="1">
      <c r="A104" s="30">
        <v>88</v>
      </c>
      <c r="B104" s="100" t="str">
        <f t="shared" ca="1" si="29"/>
        <v/>
      </c>
      <c r="C104" s="109" t="str">
        <f t="shared" ca="1" si="30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31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26"/>
        <v>0</v>
      </c>
      <c r="I104" s="42">
        <f t="shared" ca="1" si="27"/>
        <v>0</v>
      </c>
      <c r="J104" s="42">
        <f t="shared" ca="1" si="28"/>
        <v>0</v>
      </c>
      <c r="K104" s="43">
        <f t="shared" ca="1" si="25"/>
        <v>0</v>
      </c>
      <c r="L104" s="46"/>
      <c r="Q104" s="36"/>
      <c r="R104" s="45"/>
      <c r="S104" s="45"/>
      <c r="T104" s="45"/>
    </row>
    <row r="105" spans="1:20" s="47" customFormat="1">
      <c r="A105" s="30">
        <v>89</v>
      </c>
      <c r="B105" s="100" t="str">
        <f t="shared" ca="1" si="29"/>
        <v/>
      </c>
      <c r="C105" s="109" t="str">
        <f t="shared" ca="1" si="30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31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26"/>
        <v>0</v>
      </c>
      <c r="I105" s="42">
        <f t="shared" ca="1" si="27"/>
        <v>0</v>
      </c>
      <c r="J105" s="42">
        <f t="shared" ca="1" si="28"/>
        <v>0</v>
      </c>
      <c r="K105" s="43">
        <f t="shared" ca="1" si="25"/>
        <v>0</v>
      </c>
      <c r="L105" s="46"/>
      <c r="Q105" s="36"/>
      <c r="R105" s="45"/>
      <c r="S105" s="45"/>
      <c r="T105" s="45"/>
    </row>
    <row r="106" spans="1:20" s="47" customFormat="1">
      <c r="A106" s="30">
        <v>90</v>
      </c>
      <c r="B106" s="100" t="str">
        <f t="shared" ca="1" si="29"/>
        <v/>
      </c>
      <c r="C106" s="109" t="str">
        <f t="shared" ca="1" si="30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31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26"/>
        <v>0</v>
      </c>
      <c r="I106" s="42">
        <f t="shared" ca="1" si="27"/>
        <v>0</v>
      </c>
      <c r="J106" s="42">
        <f t="shared" ca="1" si="28"/>
        <v>0</v>
      </c>
      <c r="K106" s="43">
        <f t="shared" ca="1" si="0"/>
        <v>0</v>
      </c>
      <c r="L106" s="46"/>
      <c r="Q106" s="36"/>
      <c r="R106" s="45"/>
      <c r="S106" s="45"/>
      <c r="T106" s="45"/>
    </row>
    <row r="107" spans="1:20" s="47" customFormat="1">
      <c r="A107" s="30">
        <v>91</v>
      </c>
      <c r="B107" s="100" t="str">
        <f t="shared" ca="1" si="29"/>
        <v/>
      </c>
      <c r="C107" s="109" t="str">
        <f t="shared" ca="1" si="30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31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26"/>
        <v>0</v>
      </c>
      <c r="I107" s="42">
        <f t="shared" ca="1" si="27"/>
        <v>0</v>
      </c>
      <c r="J107" s="42">
        <f t="shared" ca="1" si="28"/>
        <v>0</v>
      </c>
      <c r="K107" s="43">
        <f t="shared" ref="K107:K115" ca="1" si="32">SUM(H107:J107)</f>
        <v>0</v>
      </c>
      <c r="L107" s="46"/>
      <c r="Q107" s="36"/>
      <c r="R107" s="45"/>
      <c r="S107" s="45"/>
      <c r="T107" s="45"/>
    </row>
    <row r="108" spans="1:20" s="47" customFormat="1">
      <c r="A108" s="30">
        <v>92</v>
      </c>
      <c r="B108" s="100" t="str">
        <f t="shared" ca="1" si="29"/>
        <v/>
      </c>
      <c r="C108" s="109" t="str">
        <f t="shared" ca="1" si="30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31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26"/>
        <v>0</v>
      </c>
      <c r="I108" s="42">
        <f t="shared" ca="1" si="27"/>
        <v>0</v>
      </c>
      <c r="J108" s="42">
        <f t="shared" ca="1" si="28"/>
        <v>0</v>
      </c>
      <c r="K108" s="43">
        <f t="shared" ca="1" si="32"/>
        <v>0</v>
      </c>
      <c r="L108" s="46"/>
      <c r="Q108" s="36"/>
      <c r="R108" s="45"/>
      <c r="S108" s="45"/>
      <c r="T108" s="45"/>
    </row>
    <row r="109" spans="1:20" s="47" customFormat="1">
      <c r="A109" s="30">
        <v>93</v>
      </c>
      <c r="B109" s="100" t="str">
        <f t="shared" ca="1" si="29"/>
        <v/>
      </c>
      <c r="C109" s="109" t="str">
        <f t="shared" ca="1" si="30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31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26"/>
        <v>0</v>
      </c>
      <c r="I109" s="42">
        <f t="shared" ca="1" si="27"/>
        <v>0</v>
      </c>
      <c r="J109" s="42">
        <f t="shared" ca="1" si="28"/>
        <v>0</v>
      </c>
      <c r="K109" s="43">
        <f t="shared" ca="1" si="32"/>
        <v>0</v>
      </c>
      <c r="L109" s="46"/>
      <c r="Q109" s="36"/>
      <c r="R109" s="45"/>
      <c r="S109" s="45"/>
      <c r="T109" s="45"/>
    </row>
    <row r="110" spans="1:20" s="47" customFormat="1">
      <c r="A110" s="30">
        <v>94</v>
      </c>
      <c r="B110" s="100" t="str">
        <f t="shared" ca="1" si="29"/>
        <v/>
      </c>
      <c r="C110" s="109" t="str">
        <f t="shared" ca="1" si="30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31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26"/>
        <v>0</v>
      </c>
      <c r="I110" s="42">
        <f t="shared" ca="1" si="27"/>
        <v>0</v>
      </c>
      <c r="J110" s="42">
        <f t="shared" ca="1" si="28"/>
        <v>0</v>
      </c>
      <c r="K110" s="43">
        <f t="shared" ca="1" si="32"/>
        <v>0</v>
      </c>
      <c r="L110" s="46"/>
      <c r="Q110" s="36"/>
      <c r="R110" s="45"/>
      <c r="S110" s="45"/>
      <c r="T110" s="45"/>
    </row>
    <row r="111" spans="1:20" s="47" customFormat="1">
      <c r="A111" s="30">
        <v>95</v>
      </c>
      <c r="B111" s="100" t="str">
        <f t="shared" ca="1" si="29"/>
        <v/>
      </c>
      <c r="C111" s="109" t="str">
        <f t="shared" ca="1" si="30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31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26"/>
        <v>0</v>
      </c>
      <c r="I111" s="42">
        <f t="shared" ca="1" si="27"/>
        <v>0</v>
      </c>
      <c r="J111" s="42">
        <f t="shared" ca="1" si="28"/>
        <v>0</v>
      </c>
      <c r="K111" s="43">
        <f t="shared" ca="1" si="32"/>
        <v>0</v>
      </c>
      <c r="L111" s="46"/>
      <c r="Q111" s="36"/>
      <c r="R111" s="45"/>
      <c r="S111" s="45"/>
      <c r="T111" s="45"/>
    </row>
    <row r="112" spans="1:20" s="47" customFormat="1">
      <c r="A112" s="30">
        <v>96</v>
      </c>
      <c r="B112" s="100" t="str">
        <f t="shared" ca="1" si="29"/>
        <v/>
      </c>
      <c r="C112" s="109" t="str">
        <f t="shared" ca="1" si="30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31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26"/>
        <v>0</v>
      </c>
      <c r="I112" s="42">
        <f t="shared" ca="1" si="27"/>
        <v>0</v>
      </c>
      <c r="J112" s="42">
        <f t="shared" ca="1" si="28"/>
        <v>0</v>
      </c>
      <c r="K112" s="43">
        <f t="shared" ca="1" si="32"/>
        <v>0</v>
      </c>
      <c r="L112" s="46"/>
      <c r="Q112" s="36"/>
      <c r="R112" s="45"/>
      <c r="S112" s="45"/>
      <c r="T112" s="45"/>
    </row>
    <row r="113" spans="1:20" s="47" customFormat="1">
      <c r="A113" s="30">
        <v>97</v>
      </c>
      <c r="B113" s="100" t="str">
        <f t="shared" ca="1" si="29"/>
        <v/>
      </c>
      <c r="C113" s="109" t="str">
        <f t="shared" ca="1" si="30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31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26"/>
        <v>0</v>
      </c>
      <c r="I113" s="42">
        <f t="shared" ca="1" si="27"/>
        <v>0</v>
      </c>
      <c r="J113" s="42">
        <f t="shared" ca="1" si="28"/>
        <v>0</v>
      </c>
      <c r="K113" s="43">
        <f t="shared" ca="1" si="32"/>
        <v>0</v>
      </c>
      <c r="L113" s="46"/>
      <c r="Q113" s="36"/>
      <c r="R113" s="45"/>
      <c r="S113" s="45"/>
      <c r="T113" s="45"/>
    </row>
    <row r="114" spans="1:20" s="47" customFormat="1">
      <c r="A114" s="30">
        <v>98</v>
      </c>
      <c r="B114" s="100" t="str">
        <f t="shared" ca="1" si="29"/>
        <v/>
      </c>
      <c r="C114" s="109" t="str">
        <f t="shared" ca="1" si="30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31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26"/>
        <v>0</v>
      </c>
      <c r="I114" s="42">
        <f t="shared" ca="1" si="27"/>
        <v>0</v>
      </c>
      <c r="J114" s="42">
        <f t="shared" ca="1" si="28"/>
        <v>0</v>
      </c>
      <c r="K114" s="43">
        <f t="shared" ca="1" si="32"/>
        <v>0</v>
      </c>
      <c r="L114" s="46"/>
      <c r="Q114" s="36"/>
      <c r="R114" s="45"/>
      <c r="S114" s="45"/>
      <c r="T114" s="45"/>
    </row>
    <row r="115" spans="1:20" s="47" customFormat="1">
      <c r="A115" s="30">
        <v>99</v>
      </c>
      <c r="B115" s="100" t="str">
        <f t="shared" ca="1" si="29"/>
        <v/>
      </c>
      <c r="C115" s="109" t="str">
        <f t="shared" ca="1" si="30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31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26"/>
        <v>0</v>
      </c>
      <c r="I115" s="42">
        <f t="shared" ca="1" si="27"/>
        <v>0</v>
      </c>
      <c r="J115" s="42">
        <f t="shared" ca="1" si="28"/>
        <v>0</v>
      </c>
      <c r="K115" s="43">
        <f t="shared" ca="1" si="32"/>
        <v>0</v>
      </c>
      <c r="L115" s="46"/>
      <c r="Q115" s="36"/>
      <c r="R115" s="45"/>
      <c r="S115" s="45"/>
      <c r="T115" s="45"/>
    </row>
    <row r="116" spans="1:20" s="47" customFormat="1">
      <c r="A116" s="30">
        <v>100</v>
      </c>
      <c r="B116" s="100" t="str">
        <f t="shared" ca="1" si="29"/>
        <v/>
      </c>
      <c r="C116" s="109" t="str">
        <f t="shared" ca="1" si="30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31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ca="1" si="26"/>
        <v>0</v>
      </c>
      <c r="I116" s="42">
        <f t="shared" ca="1" si="27"/>
        <v>0</v>
      </c>
      <c r="J116" s="42">
        <f t="shared" ca="1" si="28"/>
        <v>0</v>
      </c>
      <c r="K116" s="43">
        <f t="shared" ca="1" si="0"/>
        <v>0</v>
      </c>
      <c r="L116" s="46"/>
      <c r="Q116" s="36"/>
      <c r="R116" s="45"/>
      <c r="S116" s="45"/>
      <c r="T116" s="45"/>
    </row>
    <row r="117" spans="1:20" s="47" customFormat="1">
      <c r="A117" s="30">
        <v>101</v>
      </c>
      <c r="B117" s="100" t="str">
        <f t="shared" ca="1" si="29"/>
        <v/>
      </c>
      <c r="C117" s="109" t="str">
        <f t="shared" ca="1" si="30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31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ref="H117:H166" ca="1" si="33">IF(OR(D117="MDU",D117="MDU-KD"),G117*F117,0)</f>
        <v>0</v>
      </c>
      <c r="I117" s="42">
        <f t="shared" ref="I117:I166" ca="1" si="34">IF(D117="HDW",G117*F117,0)</f>
        <v>0</v>
      </c>
      <c r="J117" s="42">
        <f t="shared" ref="J117:J166" ca="1" si="35">IF(D117="JASA",G117*F117,0)</f>
        <v>0</v>
      </c>
      <c r="K117" s="43">
        <f t="shared" ref="K117:K166" ca="1" si="36">SUM(H117:J117)</f>
        <v>0</v>
      </c>
      <c r="L117" s="46"/>
      <c r="Q117" s="36"/>
      <c r="R117" s="45"/>
      <c r="S117" s="45"/>
      <c r="T117" s="45"/>
    </row>
    <row r="118" spans="1:20" s="47" customFormat="1">
      <c r="A118" s="30">
        <v>102</v>
      </c>
      <c r="B118" s="100" t="str">
        <f t="shared" ca="1" si="29"/>
        <v/>
      </c>
      <c r="C118" s="109" t="str">
        <f t="shared" ca="1" si="30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31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33"/>
        <v>0</v>
      </c>
      <c r="I118" s="42">
        <f t="shared" ca="1" si="34"/>
        <v>0</v>
      </c>
      <c r="J118" s="42">
        <f t="shared" ca="1" si="35"/>
        <v>0</v>
      </c>
      <c r="K118" s="43">
        <f t="shared" ca="1" si="36"/>
        <v>0</v>
      </c>
      <c r="L118" s="46"/>
      <c r="Q118" s="36"/>
      <c r="R118" s="45"/>
      <c r="S118" s="45"/>
      <c r="T118" s="45"/>
    </row>
    <row r="119" spans="1:20" s="47" customFormat="1">
      <c r="A119" s="30">
        <v>103</v>
      </c>
      <c r="B119" s="100" t="str">
        <f t="shared" ca="1" si="29"/>
        <v/>
      </c>
      <c r="C119" s="109" t="str">
        <f t="shared" ca="1" si="30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31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33"/>
        <v>0</v>
      </c>
      <c r="I119" s="42">
        <f t="shared" ca="1" si="34"/>
        <v>0</v>
      </c>
      <c r="J119" s="42">
        <f t="shared" ca="1" si="35"/>
        <v>0</v>
      </c>
      <c r="K119" s="43">
        <f t="shared" ca="1" si="36"/>
        <v>0</v>
      </c>
      <c r="L119" s="46"/>
      <c r="Q119" s="36"/>
      <c r="R119" s="45"/>
      <c r="S119" s="45"/>
      <c r="T119" s="45"/>
    </row>
    <row r="120" spans="1:20" s="47" customFormat="1">
      <c r="A120" s="30">
        <v>104</v>
      </c>
      <c r="B120" s="100" t="str">
        <f t="shared" ca="1" si="29"/>
        <v/>
      </c>
      <c r="C120" s="109" t="str">
        <f t="shared" ca="1" si="30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31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33"/>
        <v>0</v>
      </c>
      <c r="I120" s="42">
        <f t="shared" ca="1" si="34"/>
        <v>0</v>
      </c>
      <c r="J120" s="42">
        <f t="shared" ca="1" si="35"/>
        <v>0</v>
      </c>
      <c r="K120" s="43">
        <f t="shared" ca="1" si="36"/>
        <v>0</v>
      </c>
      <c r="L120" s="46"/>
      <c r="Q120" s="36"/>
      <c r="R120" s="45"/>
      <c r="S120" s="45"/>
      <c r="T120" s="45"/>
    </row>
    <row r="121" spans="1:20" s="47" customFormat="1">
      <c r="A121" s="30">
        <v>105</v>
      </c>
      <c r="B121" s="100" t="str">
        <f t="shared" ca="1" si="29"/>
        <v/>
      </c>
      <c r="C121" s="109" t="str">
        <f t="shared" ca="1" si="30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31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33"/>
        <v>0</v>
      </c>
      <c r="I121" s="42">
        <f t="shared" ca="1" si="34"/>
        <v>0</v>
      </c>
      <c r="J121" s="42">
        <f t="shared" ca="1" si="35"/>
        <v>0</v>
      </c>
      <c r="K121" s="43">
        <f t="shared" ca="1" si="36"/>
        <v>0</v>
      </c>
      <c r="L121" s="46"/>
      <c r="Q121" s="36"/>
      <c r="R121" s="45"/>
      <c r="S121" s="45"/>
      <c r="T121" s="45"/>
    </row>
    <row r="122" spans="1:20" s="47" customFormat="1">
      <c r="A122" s="30">
        <v>106</v>
      </c>
      <c r="B122" s="100" t="str">
        <f t="shared" ca="1" si="29"/>
        <v/>
      </c>
      <c r="C122" s="109" t="str">
        <f t="shared" ca="1" si="30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31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33"/>
        <v>0</v>
      </c>
      <c r="I122" s="42">
        <f t="shared" ca="1" si="34"/>
        <v>0</v>
      </c>
      <c r="J122" s="42">
        <f t="shared" ca="1" si="35"/>
        <v>0</v>
      </c>
      <c r="K122" s="43">
        <f t="shared" ca="1" si="36"/>
        <v>0</v>
      </c>
      <c r="L122" s="46"/>
      <c r="Q122" s="36"/>
      <c r="R122" s="45"/>
      <c r="S122" s="45"/>
      <c r="T122" s="45"/>
    </row>
    <row r="123" spans="1:20" s="47" customFormat="1">
      <c r="A123" s="30">
        <v>107</v>
      </c>
      <c r="B123" s="100" t="str">
        <f t="shared" ca="1" si="29"/>
        <v/>
      </c>
      <c r="C123" s="109" t="str">
        <f t="shared" ca="1" si="30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31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33"/>
        <v>0</v>
      </c>
      <c r="I123" s="42">
        <f t="shared" ca="1" si="34"/>
        <v>0</v>
      </c>
      <c r="J123" s="42">
        <f t="shared" ca="1" si="35"/>
        <v>0</v>
      </c>
      <c r="K123" s="43">
        <f t="shared" ca="1" si="36"/>
        <v>0</v>
      </c>
      <c r="L123" s="46"/>
      <c r="Q123" s="36"/>
      <c r="R123" s="45"/>
      <c r="S123" s="45"/>
      <c r="T123" s="45"/>
    </row>
    <row r="124" spans="1:20" s="47" customFormat="1">
      <c r="A124" s="30">
        <v>108</v>
      </c>
      <c r="B124" s="100" t="str">
        <f t="shared" ca="1" si="29"/>
        <v/>
      </c>
      <c r="C124" s="109" t="str">
        <f t="shared" ca="1" si="30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31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33"/>
        <v>0</v>
      </c>
      <c r="I124" s="42">
        <f t="shared" ca="1" si="34"/>
        <v>0</v>
      </c>
      <c r="J124" s="42">
        <f t="shared" ca="1" si="35"/>
        <v>0</v>
      </c>
      <c r="K124" s="43">
        <f t="shared" ca="1" si="36"/>
        <v>0</v>
      </c>
      <c r="L124" s="46"/>
      <c r="Q124" s="36"/>
      <c r="R124" s="45"/>
      <c r="S124" s="45"/>
      <c r="T124" s="45"/>
    </row>
    <row r="125" spans="1:20" s="47" customFormat="1">
      <c r="A125" s="30">
        <v>109</v>
      </c>
      <c r="B125" s="100" t="str">
        <f t="shared" ca="1" si="29"/>
        <v/>
      </c>
      <c r="C125" s="109" t="str">
        <f t="shared" ca="1" si="30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31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33"/>
        <v>0</v>
      </c>
      <c r="I125" s="42">
        <f t="shared" ca="1" si="34"/>
        <v>0</v>
      </c>
      <c r="J125" s="42">
        <f t="shared" ca="1" si="35"/>
        <v>0</v>
      </c>
      <c r="K125" s="43">
        <f t="shared" ca="1" si="36"/>
        <v>0</v>
      </c>
      <c r="L125" s="46"/>
      <c r="Q125" s="36"/>
      <c r="R125" s="45"/>
      <c r="S125" s="45"/>
      <c r="T125" s="45"/>
    </row>
    <row r="126" spans="1:20" s="47" customFormat="1">
      <c r="A126" s="30">
        <v>110</v>
      </c>
      <c r="B126" s="100" t="str">
        <f t="shared" ca="1" si="29"/>
        <v/>
      </c>
      <c r="C126" s="109" t="str">
        <f t="shared" ca="1" si="30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31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33"/>
        <v>0</v>
      </c>
      <c r="I126" s="42">
        <f t="shared" ca="1" si="34"/>
        <v>0</v>
      </c>
      <c r="J126" s="42">
        <f t="shared" ca="1" si="35"/>
        <v>0</v>
      </c>
      <c r="K126" s="43">
        <f t="shared" ca="1" si="36"/>
        <v>0</v>
      </c>
      <c r="L126" s="46"/>
      <c r="Q126" s="36"/>
      <c r="R126" s="45"/>
      <c r="S126" s="45"/>
      <c r="T126" s="45"/>
    </row>
    <row r="127" spans="1:20" s="47" customFormat="1">
      <c r="A127" s="30">
        <v>111</v>
      </c>
      <c r="B127" s="100" t="str">
        <f t="shared" ca="1" si="29"/>
        <v/>
      </c>
      <c r="C127" s="109" t="str">
        <f t="shared" ca="1" si="30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31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33"/>
        <v>0</v>
      </c>
      <c r="I127" s="42">
        <f t="shared" ca="1" si="34"/>
        <v>0</v>
      </c>
      <c r="J127" s="42">
        <f t="shared" ca="1" si="35"/>
        <v>0</v>
      </c>
      <c r="K127" s="43">
        <f t="shared" ca="1" si="36"/>
        <v>0</v>
      </c>
      <c r="L127" s="46"/>
      <c r="Q127" s="36"/>
      <c r="R127" s="45"/>
      <c r="S127" s="45"/>
      <c r="T127" s="45"/>
    </row>
    <row r="128" spans="1:20" s="47" customFormat="1">
      <c r="A128" s="30">
        <v>112</v>
      </c>
      <c r="B128" s="100" t="str">
        <f t="shared" ca="1" si="29"/>
        <v/>
      </c>
      <c r="C128" s="109" t="str">
        <f t="shared" ca="1" si="30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31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33"/>
        <v>0</v>
      </c>
      <c r="I128" s="42">
        <f t="shared" ca="1" si="34"/>
        <v>0</v>
      </c>
      <c r="J128" s="42">
        <f t="shared" ca="1" si="35"/>
        <v>0</v>
      </c>
      <c r="K128" s="43">
        <f t="shared" ca="1" si="36"/>
        <v>0</v>
      </c>
      <c r="L128" s="46"/>
      <c r="Q128" s="36"/>
      <c r="R128" s="45"/>
      <c r="S128" s="45"/>
      <c r="T128" s="45"/>
    </row>
    <row r="129" spans="1:20" s="47" customFormat="1">
      <c r="A129" s="30">
        <v>113</v>
      </c>
      <c r="B129" s="100" t="str">
        <f t="shared" ca="1" si="29"/>
        <v/>
      </c>
      <c r="C129" s="109" t="str">
        <f t="shared" ca="1" si="30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31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33"/>
        <v>0</v>
      </c>
      <c r="I129" s="42">
        <f t="shared" ca="1" si="34"/>
        <v>0</v>
      </c>
      <c r="J129" s="42">
        <f t="shared" ca="1" si="35"/>
        <v>0</v>
      </c>
      <c r="K129" s="43">
        <f t="shared" ca="1" si="36"/>
        <v>0</v>
      </c>
      <c r="L129" s="46"/>
      <c r="Q129" s="36"/>
      <c r="R129" s="45"/>
      <c r="S129" s="45"/>
      <c r="T129" s="45"/>
    </row>
    <row r="130" spans="1:20" s="47" customFormat="1">
      <c r="A130" s="30">
        <v>114</v>
      </c>
      <c r="B130" s="100" t="str">
        <f t="shared" ca="1" si="29"/>
        <v/>
      </c>
      <c r="C130" s="109" t="str">
        <f t="shared" ca="1" si="30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31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33"/>
        <v>0</v>
      </c>
      <c r="I130" s="42">
        <f t="shared" ca="1" si="34"/>
        <v>0</v>
      </c>
      <c r="J130" s="42">
        <f t="shared" ca="1" si="35"/>
        <v>0</v>
      </c>
      <c r="K130" s="43">
        <f t="shared" ca="1" si="36"/>
        <v>0</v>
      </c>
      <c r="L130" s="46"/>
      <c r="Q130" s="36"/>
      <c r="R130" s="45"/>
      <c r="S130" s="45"/>
      <c r="T130" s="45"/>
    </row>
    <row r="131" spans="1:20" s="47" customFormat="1">
      <c r="A131" s="30">
        <v>115</v>
      </c>
      <c r="B131" s="100" t="str">
        <f t="shared" ca="1" si="29"/>
        <v/>
      </c>
      <c r="C131" s="109" t="str">
        <f t="shared" ca="1" si="30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31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33"/>
        <v>0</v>
      </c>
      <c r="I131" s="42">
        <f t="shared" ca="1" si="34"/>
        <v>0</v>
      </c>
      <c r="J131" s="42">
        <f t="shared" ca="1" si="35"/>
        <v>0</v>
      </c>
      <c r="K131" s="43">
        <f t="shared" ca="1" si="36"/>
        <v>0</v>
      </c>
      <c r="L131" s="46"/>
      <c r="Q131" s="36"/>
      <c r="R131" s="45"/>
      <c r="S131" s="45"/>
      <c r="T131" s="45"/>
    </row>
    <row r="132" spans="1:20" s="47" customFormat="1">
      <c r="A132" s="30">
        <v>116</v>
      </c>
      <c r="B132" s="100" t="str">
        <f t="shared" ca="1" si="29"/>
        <v/>
      </c>
      <c r="C132" s="109" t="str">
        <f t="shared" ca="1" si="30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31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33"/>
        <v>0</v>
      </c>
      <c r="I132" s="42">
        <f t="shared" ca="1" si="34"/>
        <v>0</v>
      </c>
      <c r="J132" s="42">
        <f t="shared" ca="1" si="35"/>
        <v>0</v>
      </c>
      <c r="K132" s="43">
        <f t="shared" ca="1" si="36"/>
        <v>0</v>
      </c>
      <c r="L132" s="46"/>
      <c r="Q132" s="36"/>
      <c r="R132" s="45"/>
      <c r="S132" s="45"/>
      <c r="T132" s="45"/>
    </row>
    <row r="133" spans="1:20" s="47" customFormat="1">
      <c r="A133" s="30">
        <v>117</v>
      </c>
      <c r="B133" s="100" t="str">
        <f t="shared" ca="1" si="29"/>
        <v/>
      </c>
      <c r="C133" s="109" t="str">
        <f t="shared" ca="1" si="30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31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33"/>
        <v>0</v>
      </c>
      <c r="I133" s="42">
        <f t="shared" ca="1" si="34"/>
        <v>0</v>
      </c>
      <c r="J133" s="42">
        <f t="shared" ca="1" si="35"/>
        <v>0</v>
      </c>
      <c r="K133" s="43">
        <f t="shared" ca="1" si="36"/>
        <v>0</v>
      </c>
      <c r="L133" s="46"/>
      <c r="Q133" s="36"/>
      <c r="R133" s="45"/>
      <c r="S133" s="45"/>
      <c r="T133" s="45"/>
    </row>
    <row r="134" spans="1:20" s="47" customFormat="1">
      <c r="A134" s="30">
        <v>118</v>
      </c>
      <c r="B134" s="100" t="str">
        <f t="shared" ca="1" si="29"/>
        <v/>
      </c>
      <c r="C134" s="109" t="str">
        <f t="shared" ca="1" si="30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31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33"/>
        <v>0</v>
      </c>
      <c r="I134" s="42">
        <f t="shared" ca="1" si="34"/>
        <v>0</v>
      </c>
      <c r="J134" s="42">
        <f t="shared" ca="1" si="35"/>
        <v>0</v>
      </c>
      <c r="K134" s="43">
        <f t="shared" ca="1" si="36"/>
        <v>0</v>
      </c>
      <c r="L134" s="46"/>
      <c r="Q134" s="36"/>
      <c r="R134" s="45"/>
      <c r="S134" s="45"/>
      <c r="T134" s="45"/>
    </row>
    <row r="135" spans="1:20" s="47" customFormat="1">
      <c r="A135" s="30">
        <v>119</v>
      </c>
      <c r="B135" s="100" t="str">
        <f t="shared" ca="1" si="29"/>
        <v/>
      </c>
      <c r="C135" s="109" t="str">
        <f t="shared" ca="1" si="30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31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33"/>
        <v>0</v>
      </c>
      <c r="I135" s="42">
        <f t="shared" ca="1" si="34"/>
        <v>0</v>
      </c>
      <c r="J135" s="42">
        <f t="shared" ca="1" si="35"/>
        <v>0</v>
      </c>
      <c r="K135" s="43">
        <f t="shared" ca="1" si="36"/>
        <v>0</v>
      </c>
      <c r="L135" s="46"/>
      <c r="Q135" s="36"/>
      <c r="R135" s="45"/>
      <c r="S135" s="45"/>
      <c r="T135" s="45"/>
    </row>
    <row r="136" spans="1:20" s="47" customFormat="1">
      <c r="A136" s="30">
        <v>120</v>
      </c>
      <c r="B136" s="100" t="str">
        <f t="shared" ca="1" si="29"/>
        <v/>
      </c>
      <c r="C136" s="109" t="str">
        <f t="shared" ca="1" si="30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31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33"/>
        <v>0</v>
      </c>
      <c r="I136" s="42">
        <f t="shared" ca="1" si="34"/>
        <v>0</v>
      </c>
      <c r="J136" s="42">
        <f t="shared" ca="1" si="35"/>
        <v>0</v>
      </c>
      <c r="K136" s="43">
        <f t="shared" ca="1" si="36"/>
        <v>0</v>
      </c>
      <c r="L136" s="46"/>
      <c r="Q136" s="36"/>
      <c r="R136" s="45"/>
      <c r="S136" s="45"/>
      <c r="T136" s="45"/>
    </row>
    <row r="137" spans="1:20" s="47" customFormat="1">
      <c r="A137" s="30">
        <v>121</v>
      </c>
      <c r="B137" s="100" t="str">
        <f t="shared" ca="1" si="29"/>
        <v/>
      </c>
      <c r="C137" s="109" t="str">
        <f t="shared" ca="1" si="30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31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33"/>
        <v>0</v>
      </c>
      <c r="I137" s="42">
        <f t="shared" ca="1" si="34"/>
        <v>0</v>
      </c>
      <c r="J137" s="42">
        <f t="shared" ca="1" si="35"/>
        <v>0</v>
      </c>
      <c r="K137" s="43">
        <f t="shared" ca="1" si="36"/>
        <v>0</v>
      </c>
      <c r="L137" s="46"/>
      <c r="Q137" s="36"/>
      <c r="R137" s="45"/>
      <c r="S137" s="45"/>
      <c r="T137" s="45"/>
    </row>
    <row r="138" spans="1:20" s="47" customFormat="1">
      <c r="A138" s="30">
        <v>122</v>
      </c>
      <c r="B138" s="100" t="str">
        <f t="shared" ca="1" si="29"/>
        <v/>
      </c>
      <c r="C138" s="109" t="str">
        <f t="shared" ca="1" si="30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31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33"/>
        <v>0</v>
      </c>
      <c r="I138" s="42">
        <f t="shared" ca="1" si="34"/>
        <v>0</v>
      </c>
      <c r="J138" s="42">
        <f t="shared" ca="1" si="35"/>
        <v>0</v>
      </c>
      <c r="K138" s="43">
        <f t="shared" ca="1" si="36"/>
        <v>0</v>
      </c>
      <c r="L138" s="46"/>
      <c r="Q138" s="36"/>
      <c r="R138" s="45"/>
      <c r="S138" s="45"/>
      <c r="T138" s="45"/>
    </row>
    <row r="139" spans="1:20" s="47" customFormat="1">
      <c r="A139" s="30">
        <v>123</v>
      </c>
      <c r="B139" s="100" t="str">
        <f t="shared" ca="1" si="29"/>
        <v/>
      </c>
      <c r="C139" s="109" t="str">
        <f t="shared" ca="1" si="30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31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33"/>
        <v>0</v>
      </c>
      <c r="I139" s="42">
        <f t="shared" ca="1" si="34"/>
        <v>0</v>
      </c>
      <c r="J139" s="42">
        <f t="shared" ca="1" si="35"/>
        <v>0</v>
      </c>
      <c r="K139" s="43">
        <f t="shared" ca="1" si="36"/>
        <v>0</v>
      </c>
      <c r="L139" s="46"/>
      <c r="Q139" s="36"/>
      <c r="R139" s="45"/>
      <c r="S139" s="45"/>
      <c r="T139" s="45"/>
    </row>
    <row r="140" spans="1:20" s="47" customFormat="1">
      <c r="A140" s="30">
        <v>124</v>
      </c>
      <c r="B140" s="100" t="str">
        <f t="shared" ca="1" si="29"/>
        <v/>
      </c>
      <c r="C140" s="109" t="str">
        <f t="shared" ca="1" si="30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31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33"/>
        <v>0</v>
      </c>
      <c r="I140" s="42">
        <f t="shared" ca="1" si="34"/>
        <v>0</v>
      </c>
      <c r="J140" s="42">
        <f t="shared" ca="1" si="35"/>
        <v>0</v>
      </c>
      <c r="K140" s="43">
        <f t="shared" ca="1" si="36"/>
        <v>0</v>
      </c>
      <c r="L140" s="46"/>
      <c r="Q140" s="36"/>
      <c r="R140" s="45"/>
      <c r="S140" s="45"/>
      <c r="T140" s="45"/>
    </row>
    <row r="141" spans="1:20" s="47" customFormat="1">
      <c r="A141" s="30">
        <v>125</v>
      </c>
      <c r="B141" s="100" t="str">
        <f t="shared" ca="1" si="29"/>
        <v/>
      </c>
      <c r="C141" s="109" t="str">
        <f t="shared" ca="1" si="30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31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33"/>
        <v>0</v>
      </c>
      <c r="I141" s="42">
        <f t="shared" ca="1" si="34"/>
        <v>0</v>
      </c>
      <c r="J141" s="42">
        <f t="shared" ca="1" si="35"/>
        <v>0</v>
      </c>
      <c r="K141" s="43">
        <f t="shared" ca="1" si="36"/>
        <v>0</v>
      </c>
      <c r="L141" s="46"/>
      <c r="Q141" s="36"/>
      <c r="R141" s="45"/>
      <c r="S141" s="45"/>
      <c r="T141" s="45"/>
    </row>
    <row r="142" spans="1:20" s="47" customFormat="1">
      <c r="A142" s="30">
        <v>126</v>
      </c>
      <c r="B142" s="100" t="str">
        <f t="shared" ca="1" si="29"/>
        <v/>
      </c>
      <c r="C142" s="109" t="str">
        <f t="shared" ca="1" si="30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31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33"/>
        <v>0</v>
      </c>
      <c r="I142" s="42">
        <f t="shared" ca="1" si="34"/>
        <v>0</v>
      </c>
      <c r="J142" s="42">
        <f t="shared" ca="1" si="35"/>
        <v>0</v>
      </c>
      <c r="K142" s="43">
        <f t="shared" ca="1" si="36"/>
        <v>0</v>
      </c>
      <c r="L142" s="46"/>
      <c r="Q142" s="36"/>
      <c r="R142" s="45"/>
      <c r="S142" s="45"/>
      <c r="T142" s="45"/>
    </row>
    <row r="143" spans="1:20" s="47" customFormat="1">
      <c r="A143" s="30">
        <v>127</v>
      </c>
      <c r="B143" s="100" t="str">
        <f t="shared" ca="1" si="29"/>
        <v/>
      </c>
      <c r="C143" s="109" t="str">
        <f t="shared" ca="1" si="30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31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33"/>
        <v>0</v>
      </c>
      <c r="I143" s="42">
        <f t="shared" ca="1" si="34"/>
        <v>0</v>
      </c>
      <c r="J143" s="42">
        <f t="shared" ca="1" si="35"/>
        <v>0</v>
      </c>
      <c r="K143" s="43">
        <f t="shared" ca="1" si="36"/>
        <v>0</v>
      </c>
      <c r="L143" s="46"/>
      <c r="Q143" s="36"/>
      <c r="R143" s="45"/>
      <c r="S143" s="45"/>
      <c r="T143" s="45"/>
    </row>
    <row r="144" spans="1:20" s="47" customFormat="1">
      <c r="A144" s="30">
        <v>128</v>
      </c>
      <c r="B144" s="100" t="str">
        <f t="shared" ca="1" si="29"/>
        <v/>
      </c>
      <c r="C144" s="109" t="str">
        <f t="shared" ca="1" si="30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31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33"/>
        <v>0</v>
      </c>
      <c r="I144" s="42">
        <f t="shared" ca="1" si="34"/>
        <v>0</v>
      </c>
      <c r="J144" s="42">
        <f t="shared" ca="1" si="35"/>
        <v>0</v>
      </c>
      <c r="K144" s="43">
        <f t="shared" ca="1" si="36"/>
        <v>0</v>
      </c>
      <c r="L144" s="46"/>
      <c r="Q144" s="36"/>
      <c r="R144" s="45"/>
      <c r="S144" s="45"/>
      <c r="T144" s="45"/>
    </row>
    <row r="145" spans="1:20" s="47" customFormat="1">
      <c r="A145" s="30">
        <v>129</v>
      </c>
      <c r="B145" s="100" t="str">
        <f t="shared" ca="1" si="29"/>
        <v/>
      </c>
      <c r="C145" s="109" t="str">
        <f t="shared" ca="1" si="30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ca="1" si="31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33"/>
        <v>0</v>
      </c>
      <c r="I145" s="42">
        <f t="shared" ca="1" si="34"/>
        <v>0</v>
      </c>
      <c r="J145" s="42">
        <f t="shared" ca="1" si="35"/>
        <v>0</v>
      </c>
      <c r="K145" s="43">
        <f t="shared" ca="1" si="36"/>
        <v>0</v>
      </c>
      <c r="L145" s="46"/>
      <c r="Q145" s="36"/>
      <c r="R145" s="45"/>
      <c r="S145" s="45"/>
      <c r="T145" s="45"/>
    </row>
    <row r="146" spans="1:20" s="47" customFormat="1">
      <c r="A146" s="30">
        <v>130</v>
      </c>
      <c r="B146" s="100" t="str">
        <f t="shared" ca="1" si="29"/>
        <v/>
      </c>
      <c r="C146" s="109" t="str">
        <f t="shared" ref="C146:C166" ca="1" si="37">IF(ISERROR(OFFSET($C$224,MATCH(A146,$F$225:$F$374,0),0)),"",OFFSET($C$224,MATCH(A146,$F$225:$F$374,0),0))</f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ref="F146:F166" ca="1" si="38">IF(ISERROR(OFFSET($D$224,MATCH(A146,$F$225:$F$374,0),0)),"",OFFSET($D$224,MATCH(A146,$F$225:$F$374,0),0))</f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33"/>
        <v>0</v>
      </c>
      <c r="I146" s="42">
        <f t="shared" ca="1" si="34"/>
        <v>0</v>
      </c>
      <c r="J146" s="42">
        <f t="shared" ca="1" si="35"/>
        <v>0</v>
      </c>
      <c r="K146" s="43">
        <f t="shared" ca="1" si="36"/>
        <v>0</v>
      </c>
      <c r="L146" s="46"/>
      <c r="Q146" s="36"/>
      <c r="R146" s="45"/>
      <c r="S146" s="45"/>
      <c r="T146" s="45"/>
    </row>
    <row r="147" spans="1:20" s="47" customFormat="1">
      <c r="A147" s="30">
        <v>131</v>
      </c>
      <c r="B147" s="100" t="str">
        <f t="shared" ca="1" si="29"/>
        <v/>
      </c>
      <c r="C147" s="109" t="str">
        <f t="shared" ca="1" si="3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3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33"/>
        <v>0</v>
      </c>
      <c r="I147" s="42">
        <f t="shared" ca="1" si="34"/>
        <v>0</v>
      </c>
      <c r="J147" s="42">
        <f t="shared" ca="1" si="35"/>
        <v>0</v>
      </c>
      <c r="K147" s="43">
        <f t="shared" ca="1" si="36"/>
        <v>0</v>
      </c>
      <c r="L147" s="46"/>
      <c r="Q147" s="36"/>
      <c r="R147" s="45"/>
      <c r="S147" s="45"/>
      <c r="T147" s="45"/>
    </row>
    <row r="148" spans="1:20" s="47" customFormat="1">
      <c r="A148" s="30">
        <v>132</v>
      </c>
      <c r="B148" s="100" t="str">
        <f t="shared" ca="1" si="29"/>
        <v/>
      </c>
      <c r="C148" s="109" t="str">
        <f t="shared" ca="1" si="3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3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33"/>
        <v>0</v>
      </c>
      <c r="I148" s="42">
        <f t="shared" ca="1" si="34"/>
        <v>0</v>
      </c>
      <c r="J148" s="42">
        <f t="shared" ca="1" si="35"/>
        <v>0</v>
      </c>
      <c r="K148" s="43">
        <f t="shared" ca="1" si="36"/>
        <v>0</v>
      </c>
      <c r="L148" s="46"/>
      <c r="Q148" s="36"/>
      <c r="R148" s="45"/>
      <c r="S148" s="45"/>
      <c r="T148" s="45"/>
    </row>
    <row r="149" spans="1:20" s="47" customFormat="1">
      <c r="A149" s="30">
        <v>133</v>
      </c>
      <c r="B149" s="100" t="str">
        <f t="shared" ca="1" si="29"/>
        <v/>
      </c>
      <c r="C149" s="109" t="str">
        <f t="shared" ca="1" si="3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3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33"/>
        <v>0</v>
      </c>
      <c r="I149" s="42">
        <f t="shared" ca="1" si="34"/>
        <v>0</v>
      </c>
      <c r="J149" s="42">
        <f t="shared" ca="1" si="35"/>
        <v>0</v>
      </c>
      <c r="K149" s="43">
        <f t="shared" ca="1" si="36"/>
        <v>0</v>
      </c>
      <c r="L149" s="46"/>
      <c r="Q149" s="36"/>
      <c r="R149" s="45"/>
      <c r="S149" s="45"/>
      <c r="T149" s="45"/>
    </row>
    <row r="150" spans="1:20" s="47" customFormat="1">
      <c r="A150" s="30">
        <v>134</v>
      </c>
      <c r="B150" s="100" t="str">
        <f t="shared" ca="1" si="29"/>
        <v/>
      </c>
      <c r="C150" s="109" t="str">
        <f t="shared" ca="1" si="3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3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33"/>
        <v>0</v>
      </c>
      <c r="I150" s="42">
        <f t="shared" ca="1" si="34"/>
        <v>0</v>
      </c>
      <c r="J150" s="42">
        <f t="shared" ca="1" si="35"/>
        <v>0</v>
      </c>
      <c r="K150" s="43">
        <f t="shared" ca="1" si="36"/>
        <v>0</v>
      </c>
      <c r="L150" s="46"/>
      <c r="Q150" s="36"/>
      <c r="R150" s="45"/>
      <c r="S150" s="45"/>
      <c r="T150" s="45"/>
    </row>
    <row r="151" spans="1:20" s="47" customFormat="1">
      <c r="A151" s="30">
        <v>135</v>
      </c>
      <c r="B151" s="100" t="str">
        <f t="shared" ca="1" si="29"/>
        <v/>
      </c>
      <c r="C151" s="109" t="str">
        <f t="shared" ca="1" si="3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3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33"/>
        <v>0</v>
      </c>
      <c r="I151" s="42">
        <f t="shared" ca="1" si="34"/>
        <v>0</v>
      </c>
      <c r="J151" s="42">
        <f t="shared" ca="1" si="35"/>
        <v>0</v>
      </c>
      <c r="K151" s="43">
        <f t="shared" ca="1" si="36"/>
        <v>0</v>
      </c>
      <c r="L151" s="46"/>
      <c r="Q151" s="36"/>
      <c r="R151" s="45"/>
      <c r="S151" s="45"/>
      <c r="T151" s="45"/>
    </row>
    <row r="152" spans="1:20" s="47" customFormat="1">
      <c r="A152" s="30">
        <v>136</v>
      </c>
      <c r="B152" s="100" t="str">
        <f t="shared" ca="1" si="29"/>
        <v/>
      </c>
      <c r="C152" s="109" t="str">
        <f t="shared" ca="1" si="3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3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33"/>
        <v>0</v>
      </c>
      <c r="I152" s="42">
        <f t="shared" ca="1" si="34"/>
        <v>0</v>
      </c>
      <c r="J152" s="42">
        <f t="shared" ca="1" si="35"/>
        <v>0</v>
      </c>
      <c r="K152" s="43">
        <f t="shared" ca="1" si="36"/>
        <v>0</v>
      </c>
      <c r="L152" s="46"/>
      <c r="Q152" s="36"/>
      <c r="R152" s="45"/>
      <c r="S152" s="45"/>
      <c r="T152" s="45"/>
    </row>
    <row r="153" spans="1:20" s="47" customFormat="1">
      <c r="A153" s="30">
        <v>137</v>
      </c>
      <c r="B153" s="100" t="str">
        <f t="shared" ca="1" si="29"/>
        <v/>
      </c>
      <c r="C153" s="109" t="str">
        <f t="shared" ca="1" si="3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3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33"/>
        <v>0</v>
      </c>
      <c r="I153" s="42">
        <f t="shared" ca="1" si="34"/>
        <v>0</v>
      </c>
      <c r="J153" s="42">
        <f t="shared" ca="1" si="35"/>
        <v>0</v>
      </c>
      <c r="K153" s="43">
        <f t="shared" ca="1" si="36"/>
        <v>0</v>
      </c>
      <c r="L153" s="46"/>
      <c r="Q153" s="36"/>
      <c r="R153" s="45"/>
      <c r="S153" s="45"/>
      <c r="T153" s="45"/>
    </row>
    <row r="154" spans="1:20" s="47" customFormat="1">
      <c r="A154" s="30">
        <v>138</v>
      </c>
      <c r="B154" s="100" t="str">
        <f t="shared" ca="1" si="29"/>
        <v/>
      </c>
      <c r="C154" s="109" t="str">
        <f t="shared" ca="1" si="3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3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33"/>
        <v>0</v>
      </c>
      <c r="I154" s="42">
        <f t="shared" ca="1" si="34"/>
        <v>0</v>
      </c>
      <c r="J154" s="42">
        <f t="shared" ca="1" si="35"/>
        <v>0</v>
      </c>
      <c r="K154" s="43">
        <f t="shared" ca="1" si="36"/>
        <v>0</v>
      </c>
      <c r="L154" s="46"/>
      <c r="Q154" s="36"/>
      <c r="R154" s="45"/>
      <c r="S154" s="45"/>
      <c r="T154" s="45"/>
    </row>
    <row r="155" spans="1:20" s="47" customFormat="1">
      <c r="A155" s="30">
        <v>139</v>
      </c>
      <c r="B155" s="100" t="str">
        <f t="shared" ca="1" si="29"/>
        <v/>
      </c>
      <c r="C155" s="109" t="str">
        <f t="shared" ca="1" si="3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3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33"/>
        <v>0</v>
      </c>
      <c r="I155" s="42">
        <f t="shared" ca="1" si="34"/>
        <v>0</v>
      </c>
      <c r="J155" s="42">
        <f t="shared" ca="1" si="35"/>
        <v>0</v>
      </c>
      <c r="K155" s="43">
        <f t="shared" ca="1" si="36"/>
        <v>0</v>
      </c>
      <c r="L155" s="46"/>
      <c r="Q155" s="36"/>
      <c r="R155" s="45"/>
      <c r="S155" s="45"/>
      <c r="T155" s="45"/>
    </row>
    <row r="156" spans="1:20" s="47" customFormat="1">
      <c r="A156" s="30">
        <v>140</v>
      </c>
      <c r="B156" s="100" t="str">
        <f t="shared" ca="1" si="29"/>
        <v/>
      </c>
      <c r="C156" s="109" t="str">
        <f t="shared" ca="1" si="3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3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33"/>
        <v>0</v>
      </c>
      <c r="I156" s="42">
        <f t="shared" ca="1" si="34"/>
        <v>0</v>
      </c>
      <c r="J156" s="42">
        <f t="shared" ca="1" si="35"/>
        <v>0</v>
      </c>
      <c r="K156" s="43">
        <f t="shared" ca="1" si="36"/>
        <v>0</v>
      </c>
      <c r="L156" s="46"/>
      <c r="Q156" s="36"/>
      <c r="R156" s="45"/>
      <c r="S156" s="45"/>
      <c r="T156" s="45"/>
    </row>
    <row r="157" spans="1:20" s="47" customFormat="1">
      <c r="A157" s="30">
        <v>141</v>
      </c>
      <c r="B157" s="100" t="str">
        <f t="shared" ca="1" si="29"/>
        <v/>
      </c>
      <c r="C157" s="109" t="str">
        <f t="shared" ca="1" si="3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3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33"/>
        <v>0</v>
      </c>
      <c r="I157" s="42">
        <f t="shared" ca="1" si="34"/>
        <v>0</v>
      </c>
      <c r="J157" s="42">
        <f t="shared" ca="1" si="35"/>
        <v>0</v>
      </c>
      <c r="K157" s="43">
        <f t="shared" ca="1" si="36"/>
        <v>0</v>
      </c>
      <c r="L157" s="46"/>
      <c r="Q157" s="36"/>
      <c r="R157" s="45"/>
      <c r="S157" s="45"/>
      <c r="T157" s="45"/>
    </row>
    <row r="158" spans="1:20" s="47" customFormat="1">
      <c r="A158" s="30">
        <v>142</v>
      </c>
      <c r="B158" s="100" t="str">
        <f t="shared" ca="1" si="29"/>
        <v/>
      </c>
      <c r="C158" s="109" t="str">
        <f t="shared" ca="1" si="3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3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33"/>
        <v>0</v>
      </c>
      <c r="I158" s="42">
        <f t="shared" ca="1" si="34"/>
        <v>0</v>
      </c>
      <c r="J158" s="42">
        <f t="shared" ca="1" si="35"/>
        <v>0</v>
      </c>
      <c r="K158" s="43">
        <f t="shared" ca="1" si="36"/>
        <v>0</v>
      </c>
      <c r="L158" s="46"/>
      <c r="Q158" s="36"/>
      <c r="R158" s="45"/>
      <c r="S158" s="45"/>
      <c r="T158" s="45"/>
    </row>
    <row r="159" spans="1:20" s="47" customFormat="1">
      <c r="A159" s="30">
        <v>143</v>
      </c>
      <c r="B159" s="100" t="str">
        <f t="shared" ca="1" si="29"/>
        <v/>
      </c>
      <c r="C159" s="109" t="str">
        <f t="shared" ca="1" si="3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3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33"/>
        <v>0</v>
      </c>
      <c r="I159" s="42">
        <f t="shared" ca="1" si="34"/>
        <v>0</v>
      </c>
      <c r="J159" s="42">
        <f t="shared" ca="1" si="35"/>
        <v>0</v>
      </c>
      <c r="K159" s="43">
        <f t="shared" ca="1" si="36"/>
        <v>0</v>
      </c>
      <c r="L159" s="46"/>
      <c r="Q159" s="36"/>
      <c r="R159" s="45"/>
      <c r="S159" s="45"/>
      <c r="T159" s="45"/>
    </row>
    <row r="160" spans="1:20" s="47" customFormat="1">
      <c r="A160" s="30">
        <v>144</v>
      </c>
      <c r="B160" s="100" t="str">
        <f t="shared" ca="1" si="29"/>
        <v/>
      </c>
      <c r="C160" s="109" t="str">
        <f t="shared" ca="1" si="3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3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33"/>
        <v>0</v>
      </c>
      <c r="I160" s="42">
        <f t="shared" ca="1" si="34"/>
        <v>0</v>
      </c>
      <c r="J160" s="42">
        <f t="shared" ca="1" si="35"/>
        <v>0</v>
      </c>
      <c r="K160" s="43">
        <f t="shared" ca="1" si="36"/>
        <v>0</v>
      </c>
      <c r="L160" s="46"/>
      <c r="Q160" s="36"/>
      <c r="R160" s="45"/>
      <c r="S160" s="45"/>
      <c r="T160" s="45"/>
    </row>
    <row r="161" spans="1:20" s="47" customFormat="1">
      <c r="A161" s="30">
        <v>145</v>
      </c>
      <c r="B161" s="100" t="str">
        <f t="shared" ca="1" si="29"/>
        <v/>
      </c>
      <c r="C161" s="109" t="str">
        <f t="shared" ca="1" si="3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3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33"/>
        <v>0</v>
      </c>
      <c r="I161" s="42">
        <f t="shared" ca="1" si="34"/>
        <v>0</v>
      </c>
      <c r="J161" s="42">
        <f t="shared" ca="1" si="35"/>
        <v>0</v>
      </c>
      <c r="K161" s="43">
        <f t="shared" ca="1" si="36"/>
        <v>0</v>
      </c>
      <c r="L161" s="46"/>
      <c r="Q161" s="36"/>
      <c r="R161" s="45"/>
      <c r="S161" s="45"/>
      <c r="T161" s="45"/>
    </row>
    <row r="162" spans="1:20" s="47" customFormat="1">
      <c r="A162" s="30">
        <v>146</v>
      </c>
      <c r="B162" s="100" t="str">
        <f t="shared" ca="1" si="29"/>
        <v/>
      </c>
      <c r="C162" s="109" t="str">
        <f t="shared" ca="1" si="3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3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33"/>
        <v>0</v>
      </c>
      <c r="I162" s="42">
        <f t="shared" ca="1" si="34"/>
        <v>0</v>
      </c>
      <c r="J162" s="42">
        <f t="shared" ca="1" si="35"/>
        <v>0</v>
      </c>
      <c r="K162" s="43">
        <f t="shared" ca="1" si="36"/>
        <v>0</v>
      </c>
      <c r="L162" s="46"/>
      <c r="Q162" s="36"/>
      <c r="R162" s="45"/>
      <c r="S162" s="45"/>
      <c r="T162" s="45"/>
    </row>
    <row r="163" spans="1:20" s="47" customFormat="1">
      <c r="A163" s="30">
        <v>147</v>
      </c>
      <c r="B163" s="100" t="str">
        <f t="shared" ca="1" si="29"/>
        <v/>
      </c>
      <c r="C163" s="109" t="str">
        <f t="shared" ca="1" si="3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3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33"/>
        <v>0</v>
      </c>
      <c r="I163" s="42">
        <f t="shared" ca="1" si="34"/>
        <v>0</v>
      </c>
      <c r="J163" s="42">
        <f t="shared" ca="1" si="35"/>
        <v>0</v>
      </c>
      <c r="K163" s="43">
        <f t="shared" ca="1" si="36"/>
        <v>0</v>
      </c>
      <c r="L163" s="46"/>
      <c r="Q163" s="36"/>
      <c r="R163" s="45"/>
      <c r="S163" s="45"/>
      <c r="T163" s="45"/>
    </row>
    <row r="164" spans="1:20" s="47" customFormat="1">
      <c r="A164" s="30">
        <v>148</v>
      </c>
      <c r="B164" s="100" t="str">
        <f t="shared" ca="1" si="29"/>
        <v/>
      </c>
      <c r="C164" s="109" t="str">
        <f t="shared" ca="1" si="3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3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33"/>
        <v>0</v>
      </c>
      <c r="I164" s="42">
        <f t="shared" ca="1" si="34"/>
        <v>0</v>
      </c>
      <c r="J164" s="42">
        <f t="shared" ca="1" si="35"/>
        <v>0</v>
      </c>
      <c r="K164" s="43">
        <f t="shared" ca="1" si="36"/>
        <v>0</v>
      </c>
      <c r="L164" s="46"/>
      <c r="Q164" s="36"/>
      <c r="R164" s="45"/>
      <c r="S164" s="45"/>
      <c r="T164" s="45"/>
    </row>
    <row r="165" spans="1:20" s="47" customFormat="1">
      <c r="A165" s="30">
        <v>149</v>
      </c>
      <c r="B165" s="100" t="str">
        <f t="shared" ca="1" si="29"/>
        <v/>
      </c>
      <c r="C165" s="109" t="str">
        <f t="shared" ca="1" si="3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3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33"/>
        <v>0</v>
      </c>
      <c r="I165" s="42">
        <f t="shared" ca="1" si="34"/>
        <v>0</v>
      </c>
      <c r="J165" s="42">
        <f t="shared" ca="1" si="35"/>
        <v>0</v>
      </c>
      <c r="K165" s="43">
        <f t="shared" ca="1" si="36"/>
        <v>0</v>
      </c>
      <c r="L165" s="46"/>
      <c r="Q165" s="36"/>
      <c r="R165" s="45"/>
      <c r="S165" s="45"/>
      <c r="T165" s="45"/>
    </row>
    <row r="166" spans="1:20" s="47" customFormat="1">
      <c r="A166" s="30">
        <v>150</v>
      </c>
      <c r="B166" s="100" t="str">
        <f t="shared" ca="1" si="29"/>
        <v/>
      </c>
      <c r="C166" s="109" t="str">
        <f t="shared" ca="1" si="3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01" t="str">
        <f t="shared" ca="1" si="3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42">
        <f t="shared" ca="1" si="33"/>
        <v>0</v>
      </c>
      <c r="I166" s="42">
        <f t="shared" ca="1" si="34"/>
        <v>0</v>
      </c>
      <c r="J166" s="42">
        <f t="shared" ca="1" si="35"/>
        <v>0</v>
      </c>
      <c r="K166" s="43">
        <f t="shared" ca="1" si="36"/>
        <v>0</v>
      </c>
      <c r="L166" s="46"/>
      <c r="Q166" s="36"/>
      <c r="R166" s="45"/>
      <c r="S166" s="45"/>
      <c r="T166" s="45"/>
    </row>
    <row r="167" spans="1:20" s="47" customFormat="1">
      <c r="A167" s="30"/>
      <c r="B167" s="100"/>
      <c r="C167" s="103"/>
      <c r="D167" s="104"/>
      <c r="E167" s="40"/>
      <c r="F167" s="79"/>
      <c r="G167" s="41"/>
      <c r="H167" s="42"/>
      <c r="I167" s="42"/>
      <c r="J167" s="42"/>
      <c r="K167" s="43"/>
      <c r="L167" s="46"/>
      <c r="Q167" s="36"/>
      <c r="R167" s="45"/>
      <c r="S167" s="45"/>
      <c r="T167" s="45"/>
    </row>
    <row r="168" spans="1:20" s="47" customFormat="1" ht="9" customHeight="1" thickBot="1">
      <c r="A168" s="30"/>
      <c r="B168" s="48"/>
      <c r="C168" s="49"/>
      <c r="D168" s="50"/>
      <c r="E168" s="51"/>
      <c r="F168" s="51"/>
      <c r="G168" s="51"/>
      <c r="H168" s="52"/>
      <c r="I168" s="52"/>
      <c r="J168" s="52"/>
      <c r="K168" s="53"/>
      <c r="L168" s="44"/>
    </row>
    <row r="169" spans="1:20" s="36" customFormat="1">
      <c r="A169" s="30"/>
      <c r="B169" s="54"/>
      <c r="C169" s="542" t="s">
        <v>1008</v>
      </c>
      <c r="D169" s="542"/>
      <c r="E169" s="542"/>
      <c r="F169" s="542"/>
      <c r="G169" s="77" t="s">
        <v>9</v>
      </c>
      <c r="H169" s="55">
        <f ca="1">SUM(H14:H168)</f>
        <v>51808350</v>
      </c>
      <c r="I169" s="55">
        <f ca="1">SUM(I14:I168)</f>
        <v>0</v>
      </c>
      <c r="J169" s="55">
        <f ca="1">SUM(J14:J168)</f>
        <v>0</v>
      </c>
      <c r="K169" s="55">
        <f ca="1">SUM(K14:K168)</f>
        <v>51808350</v>
      </c>
      <c r="L169" s="44"/>
      <c r="R169" s="99"/>
      <c r="S169" s="99"/>
      <c r="T169" s="99"/>
    </row>
    <row r="170" spans="1:20" s="36" customFormat="1">
      <c r="A170" s="30"/>
      <c r="B170" s="56"/>
      <c r="C170" s="543" t="s">
        <v>462</v>
      </c>
      <c r="D170" s="543"/>
      <c r="E170" s="543"/>
      <c r="F170" s="543"/>
      <c r="G170" s="59" t="s">
        <v>9</v>
      </c>
      <c r="H170" s="60">
        <f ca="1">H169*0.1</f>
        <v>5180835</v>
      </c>
      <c r="I170" s="60">
        <f ca="1">I169*0.1</f>
        <v>0</v>
      </c>
      <c r="J170" s="60">
        <f ca="1">J169*0.1</f>
        <v>0</v>
      </c>
      <c r="K170" s="60">
        <f ca="1">K169*0.1</f>
        <v>5180835</v>
      </c>
      <c r="L170" s="44"/>
      <c r="N170" s="57"/>
      <c r="R170" s="58"/>
      <c r="S170" s="58"/>
      <c r="T170" s="58"/>
    </row>
    <row r="171" spans="1:20" s="36" customFormat="1" ht="15.75" thickBot="1">
      <c r="A171" s="30"/>
      <c r="B171" s="56"/>
      <c r="C171" s="532" t="s">
        <v>463</v>
      </c>
      <c r="D171" s="532"/>
      <c r="E171" s="532"/>
      <c r="F171" s="532"/>
      <c r="G171" s="61" t="s">
        <v>9</v>
      </c>
      <c r="H171" s="78">
        <f ca="1">SUM(H169:H170)</f>
        <v>56989185</v>
      </c>
      <c r="I171" s="78">
        <f ca="1">SUM(I169:I170)</f>
        <v>0</v>
      </c>
      <c r="J171" s="61">
        <f ca="1">SUM(J169:J170)</f>
        <v>0</v>
      </c>
      <c r="K171" s="61">
        <f ca="1">SUM(K169:K170)</f>
        <v>56989185</v>
      </c>
      <c r="L171" s="44"/>
      <c r="R171" s="99"/>
      <c r="S171" s="99"/>
      <c r="T171" s="99"/>
    </row>
    <row r="172" spans="1:20" s="36" customFormat="1">
      <c r="A172" s="30"/>
      <c r="B172" s="535" t="e">
        <f ca="1">"Terbilang : ( "&amp;L173&amp;" Rupiah )"</f>
        <v>#NAME?</v>
      </c>
      <c r="C172" s="536"/>
      <c r="D172" s="536"/>
      <c r="E172" s="536"/>
      <c r="F172" s="536"/>
      <c r="G172" s="536"/>
      <c r="H172" s="536"/>
      <c r="I172" s="536"/>
      <c r="J172" s="536"/>
      <c r="K172" s="537"/>
      <c r="L172" s="44"/>
      <c r="R172" s="58"/>
      <c r="S172" s="58"/>
      <c r="T172" s="58"/>
    </row>
    <row r="173" spans="1:20" s="36" customFormat="1">
      <c r="A173" s="30"/>
      <c r="B173" s="538"/>
      <c r="C173" s="539"/>
      <c r="D173" s="539"/>
      <c r="E173" s="539"/>
      <c r="F173" s="539"/>
      <c r="G173" s="539"/>
      <c r="H173" s="539"/>
      <c r="I173" s="539"/>
      <c r="J173" s="539"/>
      <c r="K173" s="540"/>
      <c r="L173" s="62" t="e">
        <f ca="1">PROPER([91]!terbilang(K171))</f>
        <v>#NAME?</v>
      </c>
    </row>
    <row r="174" spans="1:20" s="36" customFormat="1" ht="15.75" thickBot="1">
      <c r="A174" s="30"/>
      <c r="B174" s="90" t="str">
        <f>"Harga yang dipakai adalah "&amp;'HARGA SATUAN'!I5&amp;""</f>
        <v>Harga yang dipakai adalah RAB HSS 2023</v>
      </c>
      <c r="C174" s="63"/>
      <c r="D174" s="32"/>
      <c r="E174" s="32"/>
      <c r="F174" s="32"/>
      <c r="G174" s="64"/>
      <c r="H174" s="64"/>
      <c r="I174" s="64"/>
      <c r="J174" s="64"/>
      <c r="K174" s="65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45"/>
      <c r="I175" s="45"/>
      <c r="J175" s="70"/>
      <c r="K175" s="70"/>
      <c r="L175" s="44"/>
    </row>
    <row r="176" spans="1:20" s="36" customFormat="1">
      <c r="A176" s="30"/>
      <c r="B176" s="66"/>
      <c r="C176" s="67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533"/>
      <c r="I178" s="533"/>
      <c r="J178" s="534"/>
      <c r="K178" s="534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66"/>
      <c r="C182" s="66"/>
      <c r="D182" s="68"/>
      <c r="E182" s="69"/>
      <c r="F182" s="69"/>
      <c r="G182" s="69"/>
      <c r="H182" s="71"/>
      <c r="I182" s="71"/>
      <c r="J182" s="71"/>
      <c r="K182" s="71"/>
      <c r="L182" s="44"/>
    </row>
    <row r="183" spans="1:12" s="36" customFormat="1">
      <c r="A183" s="30"/>
      <c r="B183" s="24"/>
      <c r="C183" s="24"/>
      <c r="D183" s="72"/>
      <c r="E183" s="26"/>
      <c r="F183" s="26"/>
      <c r="G183" s="26"/>
      <c r="H183" s="533"/>
      <c r="I183" s="533"/>
      <c r="J183" s="534"/>
      <c r="K183" s="534"/>
      <c r="L183" s="44"/>
    </row>
    <row r="184" spans="1:12">
      <c r="C184" s="24"/>
    </row>
    <row r="223" spans="2:3" hidden="1"/>
    <row r="224" spans="2:3" hidden="1">
      <c r="B224" s="33" t="s">
        <v>0</v>
      </c>
      <c r="C224" s="146" t="s">
        <v>1139</v>
      </c>
    </row>
    <row r="225" spans="2:7" hidden="1">
      <c r="B225" s="151">
        <v>1</v>
      </c>
      <c r="C225" s="72" t="str">
        <f ca="1">IF(ISERROR(OFFSET('HARGA SATUAN'!$C$6,MATCH('REKAP MDU'!B225,'HARGA SATUAN'!$L$7:$L$1455,0),0)),"",OFFSET('HARGA SATUAN'!$C$6,MATCH('REKAP MDU'!B225,'HARGA SATUAN'!$L$7:$L$1455,0),0))</f>
        <v>KWH MPB; 1P;230V;5(60)A;1;2W</v>
      </c>
      <c r="D225" s="72">
        <f ca="1">SUMIFS(RAB!$F$14:$F$79,RAB!$C$14:$C$79,C225)</f>
        <v>0</v>
      </c>
      <c r="E225" s="24">
        <f ca="1">IF(D225=0,0,1)</f>
        <v>0</v>
      </c>
      <c r="F225" s="24">
        <f ca="1">IF(D225=0,0,SUM($E$224:E225))</f>
        <v>0</v>
      </c>
      <c r="G225" s="24"/>
    </row>
    <row r="226" spans="2:7" hidden="1">
      <c r="B226" s="23">
        <v>2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5(40) A; kls 1 (combo); register drum</v>
      </c>
      <c r="D226" s="72">
        <f ca="1">SUMIFS(RAB!$F$14:$F$79,RAB!$C$14:$C$79,C226)</f>
        <v>0</v>
      </c>
      <c r="E226" s="24">
        <f t="shared" ref="E226:E289" ca="1" si="39">IF(D226=0,0,1)</f>
        <v>0</v>
      </c>
      <c r="F226" s="24">
        <f ca="1">IF(D226=0,0,SUM($E$224:E226))</f>
        <v>0</v>
      </c>
    </row>
    <row r="227" spans="2:7" hidden="1">
      <c r="B227" s="151">
        <v>3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1P; 2W; 230 V; 5(100) A; kls 1 termasuk modem 3G/4G</v>
      </c>
      <c r="D227" s="72">
        <f ca="1">SUMIFS(RAB!$F$14:$F$79,RAB!$C$14:$C$79,C227)</f>
        <v>0</v>
      </c>
      <c r="E227" s="24">
        <f t="shared" ca="1" si="39"/>
        <v>0</v>
      </c>
      <c r="F227" s="24">
        <f ca="1">IF(D227=0,0,SUM($E$224:E227))</f>
        <v>0</v>
      </c>
    </row>
    <row r="228" spans="2:7" hidden="1">
      <c r="B228" s="23">
        <v>4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57.7-100V/220-400V; 5 A; kls 0.2 (meter pembanding)</v>
      </c>
      <c r="D228" s="72">
        <f ca="1">SUMIFS(RAB!$F$14:$F$79,RAB!$C$14:$C$79,C228)</f>
        <v>0</v>
      </c>
      <c r="E228" s="24">
        <f t="shared" ca="1" si="39"/>
        <v>0</v>
      </c>
      <c r="F228" s="24">
        <f ca="1">IF(D228=0,0,SUM($E$224:E228))</f>
        <v>0</v>
      </c>
    </row>
    <row r="229" spans="2:7" hidden="1">
      <c r="B229" s="151">
        <v>5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220/380V; 5(80) A; kls 1 (Pengukuran Langsung)</v>
      </c>
      <c r="D229" s="72">
        <f ca="1">SUMIFS(RAB!$F$14:$F$79,RAB!$C$14:$C$79,C229)</f>
        <v>0</v>
      </c>
      <c r="E229" s="24">
        <f t="shared" ca="1" si="39"/>
        <v>0</v>
      </c>
      <c r="F229" s="24">
        <f ca="1">IF(D229=0,0,SUM($E$224:E229))</f>
        <v>0</v>
      </c>
    </row>
    <row r="230" spans="2:7" hidden="1">
      <c r="B230" s="23">
        <v>6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57.7-100V/220-400V; 5(10) A; kls 0.5 (Pengukuran Tidak Langsung)</v>
      </c>
      <c r="D230" s="72">
        <f ca="1">SUMIFS(RAB!$F$14:$F$79,RAB!$C$14:$C$79,C230)</f>
        <v>0</v>
      </c>
      <c r="E230" s="24">
        <f t="shared" ca="1" si="39"/>
        <v>0</v>
      </c>
      <c r="F230" s="24">
        <f ca="1">IF(D230=0,0,SUM($E$224:E230))</f>
        <v>0</v>
      </c>
    </row>
    <row r="231" spans="2:7" hidden="1">
      <c r="B231" s="151">
        <v>7</v>
      </c>
      <c r="C231" s="72" t="str">
        <f ca="1">IF(ISERROR(OFFSET('HARGA SATUAN'!$C$6,MATCH('REKAP MDU'!B231,'HARGA SATUAN'!$L$7:$L$1455,0),0)),"",OFFSET('HARGA SATUAN'!$C$6,MATCH('REKAP MDU'!B231,'HARGA SATUAN'!$L$7:$L$1455,0),0))</f>
        <v>KWH Elektronik; 3P; 4W; 220/380V; 5(10); kls 1 (Pengukuran Tidak Langsung)</v>
      </c>
      <c r="D231" s="72">
        <f ca="1">SUMIFS(RAB!$F$14:$F$79,RAB!$C$14:$C$79,C231)</f>
        <v>0</v>
      </c>
      <c r="E231" s="24">
        <f t="shared" ca="1" si="39"/>
        <v>0</v>
      </c>
      <c r="F231" s="24">
        <f ca="1">IF(D231=0,0,SUM($E$224:E231))</f>
        <v>0</v>
      </c>
    </row>
    <row r="232" spans="2:7" hidden="1">
      <c r="B232" s="23">
        <v>8</v>
      </c>
      <c r="C232" s="72" t="str">
        <f ca="1">IF(ISERROR(OFFSET('HARGA SATUAN'!$C$6,MATCH('REKAP MDU'!B232,'HARGA SATUAN'!$L$7:$L$1455,0),0)),"",OFFSET('HARGA SATUAN'!$C$6,MATCH('REKAP MDU'!B232,'HARGA SATUAN'!$L$7:$L$1455,0),0))</f>
        <v>MCB 1 Fasa 2 A</v>
      </c>
      <c r="D232" s="72">
        <f ca="1">SUMIFS(RAB!$F$14:$F$79,RAB!$C$14:$C$79,C232)</f>
        <v>0</v>
      </c>
      <c r="E232" s="24">
        <f t="shared" ca="1" si="39"/>
        <v>0</v>
      </c>
      <c r="F232" s="24">
        <f ca="1">IF(D232=0,0,SUM($E$224:E232))</f>
        <v>0</v>
      </c>
    </row>
    <row r="233" spans="2:7" hidden="1">
      <c r="B233" s="151">
        <v>9</v>
      </c>
      <c r="C233" s="72" t="str">
        <f ca="1">IF(ISERROR(OFFSET('HARGA SATUAN'!$C$6,MATCH('REKAP MDU'!B233,'HARGA SATUAN'!$L$7:$L$1455,0),0)),"",OFFSET('HARGA SATUAN'!$C$6,MATCH('REKAP MDU'!B233,'HARGA SATUAN'!$L$7:$L$1455,0),0))</f>
        <v>MCB 1 Fasa 4 A</v>
      </c>
      <c r="D233" s="72">
        <f ca="1">SUMIFS(RAB!$F$14:$F$79,RAB!$C$14:$C$79,C233)</f>
        <v>0</v>
      </c>
      <c r="E233" s="24">
        <f t="shared" ca="1" si="39"/>
        <v>0</v>
      </c>
      <c r="F233" s="24">
        <f ca="1">IF(D233=0,0,SUM($E$224:E233))</f>
        <v>0</v>
      </c>
    </row>
    <row r="234" spans="2:7" hidden="1">
      <c r="B234" s="23">
        <v>10</v>
      </c>
      <c r="C234" s="72" t="str">
        <f ca="1">IF(ISERROR(OFFSET('HARGA SATUAN'!$C$6,MATCH('REKAP MDU'!B234,'HARGA SATUAN'!$L$7:$L$1455,0),0)),"",OFFSET('HARGA SATUAN'!$C$6,MATCH('REKAP MDU'!B234,'HARGA SATUAN'!$L$7:$L$1455,0),0))</f>
        <v>MCB 1 Fasa 6 A</v>
      </c>
      <c r="D234" s="72">
        <f ca="1">SUMIFS(RAB!$F$14:$F$79,RAB!$C$14:$C$79,C234)</f>
        <v>0</v>
      </c>
      <c r="E234" s="24">
        <f t="shared" ca="1" si="39"/>
        <v>0</v>
      </c>
      <c r="F234" s="24">
        <f ca="1">IF(D234=0,0,SUM($E$224:E234))</f>
        <v>0</v>
      </c>
    </row>
    <row r="235" spans="2:7" hidden="1">
      <c r="B235" s="151">
        <v>11</v>
      </c>
      <c r="C235" s="72" t="str">
        <f ca="1">IF(ISERROR(OFFSET('HARGA SATUAN'!$C$6,MATCH('REKAP MDU'!B235,'HARGA SATUAN'!$L$7:$L$1455,0),0)),"",OFFSET('HARGA SATUAN'!$C$6,MATCH('REKAP MDU'!B235,'HARGA SATUAN'!$L$7:$L$1455,0),0))</f>
        <v>MCB 1 Fasa 10 A</v>
      </c>
      <c r="D235" s="72">
        <f ca="1">SUMIFS(RAB!$F$14:$F$79,RAB!$C$14:$C$79,C235)</f>
        <v>0</v>
      </c>
      <c r="E235" s="24">
        <f t="shared" ca="1" si="39"/>
        <v>0</v>
      </c>
      <c r="F235" s="24">
        <f ca="1">IF(D235=0,0,SUM($E$224:E235))</f>
        <v>0</v>
      </c>
    </row>
    <row r="236" spans="2:7" hidden="1">
      <c r="B236" s="23">
        <v>12</v>
      </c>
      <c r="C236" s="72" t="str">
        <f ca="1">IF(ISERROR(OFFSET('HARGA SATUAN'!$C$6,MATCH('REKAP MDU'!B236,'HARGA SATUAN'!$L$7:$L$1455,0),0)),"",OFFSET('HARGA SATUAN'!$C$6,MATCH('REKAP MDU'!B236,'HARGA SATUAN'!$L$7:$L$1455,0),0))</f>
        <v>MCB 1 Fasa 16 A</v>
      </c>
      <c r="D236" s="72">
        <f ca="1">SUMIFS(RAB!$F$14:$F$79,RAB!$C$14:$C$79,C236)</f>
        <v>0</v>
      </c>
      <c r="E236" s="24">
        <f t="shared" ca="1" si="39"/>
        <v>0</v>
      </c>
      <c r="F236" s="24">
        <f ca="1">IF(D236=0,0,SUM($E$224:E236))</f>
        <v>0</v>
      </c>
    </row>
    <row r="237" spans="2:7" hidden="1">
      <c r="B237" s="151">
        <v>13</v>
      </c>
      <c r="C237" s="72" t="str">
        <f ca="1">IF(ISERROR(OFFSET('HARGA SATUAN'!$C$6,MATCH('REKAP MDU'!B237,'HARGA SATUAN'!$L$7:$L$1455,0),0)),"",OFFSET('HARGA SATUAN'!$C$6,MATCH('REKAP MDU'!B237,'HARGA SATUAN'!$L$7:$L$1455,0),0))</f>
        <v>MCB 1 Fasa 20 A</v>
      </c>
      <c r="D237" s="72">
        <f ca="1">SUMIFS(RAB!$F$14:$F$79,RAB!$C$14:$C$79,C237)</f>
        <v>0</v>
      </c>
      <c r="E237" s="24">
        <f t="shared" ca="1" si="39"/>
        <v>0</v>
      </c>
      <c r="F237" s="24">
        <f ca="1">IF(D237=0,0,SUM($E$224:E237))</f>
        <v>0</v>
      </c>
    </row>
    <row r="238" spans="2:7" hidden="1">
      <c r="B238" s="23">
        <v>14</v>
      </c>
      <c r="C238" s="72" t="str">
        <f ca="1">IF(ISERROR(OFFSET('HARGA SATUAN'!$C$6,MATCH('REKAP MDU'!B238,'HARGA SATUAN'!$L$7:$L$1455,0),0)),"",OFFSET('HARGA SATUAN'!$C$6,MATCH('REKAP MDU'!B238,'HARGA SATUAN'!$L$7:$L$1455,0),0))</f>
        <v>MCB 1 Fasa 25 A</v>
      </c>
      <c r="D238" s="72">
        <f ca="1">SUMIFS(RAB!$F$14:$F$79,RAB!$C$14:$C$79,C238)</f>
        <v>0</v>
      </c>
      <c r="E238" s="24">
        <f t="shared" ca="1" si="39"/>
        <v>0</v>
      </c>
      <c r="F238" s="24">
        <f ca="1">IF(D238=0,0,SUM($E$224:E238))</f>
        <v>0</v>
      </c>
    </row>
    <row r="239" spans="2:7" hidden="1">
      <c r="B239" s="151">
        <v>15</v>
      </c>
      <c r="C239" s="72" t="str">
        <f ca="1">IF(ISERROR(OFFSET('HARGA SATUAN'!$C$6,MATCH('REKAP MDU'!B239,'HARGA SATUAN'!$L$7:$L$1455,0),0)),"",OFFSET('HARGA SATUAN'!$C$6,MATCH('REKAP MDU'!B239,'HARGA SATUAN'!$L$7:$L$1455,0),0))</f>
        <v>MCB 1 Fasa 35 A</v>
      </c>
      <c r="D239" s="72">
        <f ca="1">SUMIFS(RAB!$F$14:$F$79,RAB!$C$14:$C$79,C239)</f>
        <v>0</v>
      </c>
      <c r="E239" s="24">
        <f t="shared" ca="1" si="39"/>
        <v>0</v>
      </c>
      <c r="F239" s="24">
        <f ca="1">IF(D239=0,0,SUM($E$224:E239))</f>
        <v>0</v>
      </c>
    </row>
    <row r="240" spans="2:7" hidden="1">
      <c r="B240" s="23">
        <v>16</v>
      </c>
      <c r="C240" s="72" t="str">
        <f ca="1">IF(ISERROR(OFFSET('HARGA SATUAN'!$C$6,MATCH('REKAP MDU'!B240,'HARGA SATUAN'!$L$7:$L$1455,0),0)),"",OFFSET('HARGA SATUAN'!$C$6,MATCH('REKAP MDU'!B240,'HARGA SATUAN'!$L$7:$L$1455,0),0))</f>
        <v>MCB 1 Fasa 50 A</v>
      </c>
      <c r="D240" s="72">
        <f ca="1">SUMIFS(RAB!$F$14:$F$79,RAB!$C$14:$C$79,C240)</f>
        <v>0</v>
      </c>
      <c r="E240" s="24">
        <f t="shared" ca="1" si="39"/>
        <v>0</v>
      </c>
      <c r="F240" s="24">
        <f ca="1">IF(D240=0,0,SUM($E$224:E240))</f>
        <v>0</v>
      </c>
    </row>
    <row r="241" spans="2:6" hidden="1">
      <c r="B241" s="151">
        <v>17</v>
      </c>
      <c r="C241" s="72" t="str">
        <f ca="1">IF(ISERROR(OFFSET('HARGA SATUAN'!$C$6,MATCH('REKAP MDU'!B241,'HARGA SATUAN'!$L$7:$L$1455,0),0)),"",OFFSET('HARGA SATUAN'!$C$6,MATCH('REKAP MDU'!B241,'HARGA SATUAN'!$L$7:$L$1455,0),0))</f>
        <v>MCB 3 Fasa 10 A</v>
      </c>
      <c r="D241" s="72">
        <f ca="1">SUMIFS(RAB!$F$14:$F$79,RAB!$C$14:$C$79,C241)</f>
        <v>0</v>
      </c>
      <c r="E241" s="24">
        <f t="shared" ca="1" si="39"/>
        <v>0</v>
      </c>
      <c r="F241" s="24">
        <f ca="1">IF(D241=0,0,SUM($E$224:E241))</f>
        <v>0</v>
      </c>
    </row>
    <row r="242" spans="2:6" hidden="1">
      <c r="B242" s="23">
        <v>18</v>
      </c>
      <c r="C242" s="72" t="str">
        <f ca="1">IF(ISERROR(OFFSET('HARGA SATUAN'!$C$6,MATCH('REKAP MDU'!B242,'HARGA SATUAN'!$L$7:$L$1455,0),0)),"",OFFSET('HARGA SATUAN'!$C$6,MATCH('REKAP MDU'!B242,'HARGA SATUAN'!$L$7:$L$1455,0),0))</f>
        <v>MCB 3 Fasa 16 A</v>
      </c>
      <c r="D242" s="72">
        <f ca="1">SUMIFS(RAB!$F$14:$F$79,RAB!$C$14:$C$79,C242)</f>
        <v>0</v>
      </c>
      <c r="E242" s="24">
        <f t="shared" ca="1" si="39"/>
        <v>0</v>
      </c>
      <c r="F242" s="24">
        <f ca="1">IF(D242=0,0,SUM($E$224:E242))</f>
        <v>0</v>
      </c>
    </row>
    <row r="243" spans="2:6" hidden="1">
      <c r="B243" s="151">
        <v>19</v>
      </c>
      <c r="C243" s="72" t="str">
        <f ca="1">IF(ISERROR(OFFSET('HARGA SATUAN'!$C$6,MATCH('REKAP MDU'!B243,'HARGA SATUAN'!$L$7:$L$1455,0),0)),"",OFFSET('HARGA SATUAN'!$C$6,MATCH('REKAP MDU'!B243,'HARGA SATUAN'!$L$7:$L$1455,0),0))</f>
        <v>MCB 3 Fasa 20 A</v>
      </c>
      <c r="D243" s="72">
        <f ca="1">SUMIFS(RAB!$F$14:$F$79,RAB!$C$14:$C$79,C243)</f>
        <v>0</v>
      </c>
      <c r="E243" s="24">
        <f t="shared" ca="1" si="39"/>
        <v>0</v>
      </c>
      <c r="F243" s="24">
        <f ca="1">IF(D243=0,0,SUM($E$224:E243))</f>
        <v>0</v>
      </c>
    </row>
    <row r="244" spans="2:6" hidden="1">
      <c r="B244" s="23">
        <v>20</v>
      </c>
      <c r="C244" s="72" t="str">
        <f ca="1">IF(ISERROR(OFFSET('HARGA SATUAN'!$C$6,MATCH('REKAP MDU'!B244,'HARGA SATUAN'!$L$7:$L$1455,0),0)),"",OFFSET('HARGA SATUAN'!$C$6,MATCH('REKAP MDU'!B244,'HARGA SATUAN'!$L$7:$L$1455,0),0))</f>
        <v>MCB 3 Fasa 25 A</v>
      </c>
      <c r="D244" s="72">
        <f ca="1">SUMIFS(RAB!$F$14:$F$79,RAB!$C$14:$C$79,C244)</f>
        <v>0</v>
      </c>
      <c r="E244" s="24">
        <f t="shared" ca="1" si="39"/>
        <v>0</v>
      </c>
      <c r="F244" s="24">
        <f ca="1">IF(D244=0,0,SUM($E$224:E244))</f>
        <v>0</v>
      </c>
    </row>
    <row r="245" spans="2:6" hidden="1">
      <c r="B245" s="151">
        <v>21</v>
      </c>
      <c r="C245" s="72" t="str">
        <f ca="1">IF(ISERROR(OFFSET('HARGA SATUAN'!$C$6,MATCH('REKAP MDU'!B245,'HARGA SATUAN'!$L$7:$L$1455,0),0)),"",OFFSET('HARGA SATUAN'!$C$6,MATCH('REKAP MDU'!B245,'HARGA SATUAN'!$L$7:$L$1455,0),0))</f>
        <v>MCB 3 Fasa 35 A</v>
      </c>
      <c r="D245" s="72">
        <f ca="1">SUMIFS(RAB!$F$14:$F$79,RAB!$C$14:$C$79,C245)</f>
        <v>0</v>
      </c>
      <c r="E245" s="24">
        <f t="shared" ca="1" si="39"/>
        <v>0</v>
      </c>
      <c r="F245" s="24">
        <f ca="1">IF(D245=0,0,SUM($E$224:E245))</f>
        <v>0</v>
      </c>
    </row>
    <row r="246" spans="2:6" hidden="1">
      <c r="B246" s="23">
        <v>22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10/5-5A</v>
      </c>
      <c r="D246" s="72">
        <f ca="1">SUMIFS(RAB!$F$14:$F$79,RAB!$C$14:$C$79,C246)</f>
        <v>0</v>
      </c>
      <c r="E246" s="24">
        <f t="shared" ca="1" si="39"/>
        <v>0</v>
      </c>
      <c r="F246" s="24">
        <f ca="1">IF(D246=0,0,SUM($E$224:E246))</f>
        <v>0</v>
      </c>
    </row>
    <row r="247" spans="2:6" hidden="1">
      <c r="B247" s="151">
        <v>23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15/5-5A</v>
      </c>
      <c r="D247" s="72">
        <f ca="1">SUMIFS(RAB!$F$14:$F$79,RAB!$C$14:$C$79,C247)</f>
        <v>0</v>
      </c>
      <c r="E247" s="24">
        <f t="shared" ca="1" si="39"/>
        <v>0</v>
      </c>
      <c r="F247" s="24">
        <f ca="1">IF(D247=0,0,SUM($E$224:E247))</f>
        <v>0</v>
      </c>
    </row>
    <row r="248" spans="2:6" hidden="1">
      <c r="B248" s="23">
        <v>24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20/5-5A</v>
      </c>
      <c r="D248" s="72">
        <f ca="1">SUMIFS(RAB!$F$14:$F$79,RAB!$C$14:$C$79,C248)</f>
        <v>0</v>
      </c>
      <c r="E248" s="24">
        <f t="shared" ca="1" si="39"/>
        <v>0</v>
      </c>
      <c r="F248" s="24">
        <f ca="1">IF(D248=0,0,SUM($E$224:E248))</f>
        <v>0</v>
      </c>
    </row>
    <row r="249" spans="2:6" hidden="1">
      <c r="B249" s="151">
        <v>25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30/5-5A</v>
      </c>
      <c r="D249" s="72">
        <f ca="1">SUMIFS(RAB!$F$14:$F$79,RAB!$C$14:$C$79,C249)</f>
        <v>0</v>
      </c>
      <c r="E249" s="24">
        <f t="shared" ca="1" si="39"/>
        <v>0</v>
      </c>
      <c r="F249" s="24">
        <f ca="1">IF(D249=0,0,SUM($E$224:E249))</f>
        <v>0</v>
      </c>
    </row>
    <row r="250" spans="2:6" hidden="1">
      <c r="B250" s="23">
        <v>26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40/5-5A</v>
      </c>
      <c r="D250" s="72">
        <f ca="1">SUMIFS(RAB!$F$14:$F$79,RAB!$C$14:$C$79,C250)</f>
        <v>0</v>
      </c>
      <c r="E250" s="24">
        <f t="shared" ca="1" si="39"/>
        <v>0</v>
      </c>
      <c r="F250" s="24">
        <f ca="1">IF(D250=0,0,SUM($E$224:E250))</f>
        <v>0</v>
      </c>
    </row>
    <row r="251" spans="2:6" hidden="1">
      <c r="B251" s="151">
        <v>27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50/5-5A</v>
      </c>
      <c r="D251" s="72">
        <f ca="1">SUMIFS(RAB!$F$14:$F$79,RAB!$C$14:$C$79,C251)</f>
        <v>0</v>
      </c>
      <c r="E251" s="24">
        <f t="shared" ca="1" si="39"/>
        <v>0</v>
      </c>
      <c r="F251" s="24">
        <f ca="1">IF(D251=0,0,SUM($E$224:E251))</f>
        <v>0</v>
      </c>
    </row>
    <row r="252" spans="2:6" hidden="1">
      <c r="B252" s="23">
        <v>28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60/5-5A</v>
      </c>
      <c r="D252" s="72">
        <f ca="1">SUMIFS(RAB!$F$14:$F$79,RAB!$C$14:$C$79,C252)</f>
        <v>0</v>
      </c>
      <c r="E252" s="24">
        <f t="shared" ca="1" si="39"/>
        <v>0</v>
      </c>
      <c r="F252" s="24">
        <f ca="1">IF(D252=0,0,SUM($E$224:E252))</f>
        <v>0</v>
      </c>
    </row>
    <row r="253" spans="2:6" hidden="1">
      <c r="B253" s="151">
        <v>29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75/5-5A</v>
      </c>
      <c r="D253" s="72">
        <f ca="1">SUMIFS(RAB!$F$14:$F$79,RAB!$C$14:$C$79,C253)</f>
        <v>0</v>
      </c>
      <c r="E253" s="24">
        <f t="shared" ca="1" si="39"/>
        <v>0</v>
      </c>
      <c r="F253" s="24">
        <f ca="1">IF(D253=0,0,SUM($E$224:E253))</f>
        <v>0</v>
      </c>
    </row>
    <row r="254" spans="2:6" hidden="1">
      <c r="B254" s="23">
        <v>30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80/5-5A</v>
      </c>
      <c r="D254" s="72">
        <f ca="1">SUMIFS(RAB!$F$14:$F$79,RAB!$C$14:$C$79,C254)</f>
        <v>0</v>
      </c>
      <c r="E254" s="24">
        <f t="shared" ca="1" si="39"/>
        <v>0</v>
      </c>
      <c r="F254" s="24">
        <f ca="1">IF(D254=0,0,SUM($E$224:E254))</f>
        <v>0</v>
      </c>
    </row>
    <row r="255" spans="2:6" hidden="1">
      <c r="B255" s="151">
        <v>31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100/5-5A</v>
      </c>
      <c r="D255" s="72">
        <f ca="1">SUMIFS(RAB!$F$14:$F$79,RAB!$C$14:$C$79,C255)</f>
        <v>0</v>
      </c>
      <c r="E255" s="24">
        <f t="shared" ca="1" si="39"/>
        <v>0</v>
      </c>
      <c r="F255" s="24">
        <f ca="1">IF(D255=0,0,SUM($E$224:E255))</f>
        <v>0</v>
      </c>
    </row>
    <row r="256" spans="2:6" hidden="1">
      <c r="B256" s="23">
        <v>32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150/5-5A</v>
      </c>
      <c r="D256" s="72">
        <f ca="1">SUMIFS(RAB!$F$14:$F$79,RAB!$C$14:$C$79,C256)</f>
        <v>0</v>
      </c>
      <c r="E256" s="24">
        <f t="shared" ca="1" si="39"/>
        <v>0</v>
      </c>
      <c r="F256" s="24">
        <f ca="1">IF(D256=0,0,SUM($E$224:E256))</f>
        <v>0</v>
      </c>
    </row>
    <row r="257" spans="2:6" hidden="1">
      <c r="B257" s="151">
        <v>33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200/5-5A</v>
      </c>
      <c r="D257" s="72">
        <f ca="1">SUMIFS(RAB!$F$14:$F$79,RAB!$C$14:$C$79,C257)</f>
        <v>0</v>
      </c>
      <c r="E257" s="24">
        <f t="shared" ca="1" si="39"/>
        <v>0</v>
      </c>
      <c r="F257" s="24">
        <f ca="1">IF(D257=0,0,SUM($E$224:E257))</f>
        <v>0</v>
      </c>
    </row>
    <row r="258" spans="2:6" hidden="1">
      <c r="B258" s="23">
        <v>34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250/5-5A</v>
      </c>
      <c r="D258" s="72">
        <f ca="1">SUMIFS(RAB!$F$14:$F$79,RAB!$C$14:$C$79,C258)</f>
        <v>0</v>
      </c>
      <c r="E258" s="24">
        <f t="shared" ca="1" si="39"/>
        <v>0</v>
      </c>
      <c r="F258" s="24">
        <f ca="1">IF(D258=0,0,SUM($E$224:E258))</f>
        <v>0</v>
      </c>
    </row>
    <row r="259" spans="2:6" hidden="1">
      <c r="B259" s="151">
        <v>35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300/5-5A</v>
      </c>
      <c r="D259" s="72">
        <f ca="1">SUMIFS(RAB!$F$14:$F$79,RAB!$C$14:$C$79,C259)</f>
        <v>0</v>
      </c>
      <c r="E259" s="24">
        <f t="shared" ca="1" si="39"/>
        <v>0</v>
      </c>
      <c r="F259" s="24">
        <f ca="1">IF(D259=0,0,SUM($E$224:E259))</f>
        <v>0</v>
      </c>
    </row>
    <row r="260" spans="2:6" hidden="1">
      <c r="B260" s="23">
        <v>36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400/5-5A</v>
      </c>
      <c r="D260" s="72">
        <f ca="1">SUMIFS(RAB!$F$14:$F$79,RAB!$C$14:$C$79,C260)</f>
        <v>0</v>
      </c>
      <c r="E260" s="24">
        <f t="shared" ca="1" si="39"/>
        <v>0</v>
      </c>
      <c r="F260" s="24">
        <f ca="1">IF(D260=0,0,SUM($E$224:E260))</f>
        <v>0</v>
      </c>
    </row>
    <row r="261" spans="2:6" hidden="1">
      <c r="B261" s="151">
        <v>37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500/5-5A</v>
      </c>
      <c r="D261" s="72">
        <f ca="1">SUMIFS(RAB!$F$14:$F$79,RAB!$C$14:$C$79,C261)</f>
        <v>0</v>
      </c>
      <c r="E261" s="24">
        <f t="shared" ca="1" si="39"/>
        <v>0</v>
      </c>
      <c r="F261" s="24">
        <f ca="1">IF(D261=0,0,SUM($E$224:E261))</f>
        <v>0</v>
      </c>
    </row>
    <row r="262" spans="2:6" hidden="1">
      <c r="B262" s="23">
        <v>38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600/5-5A</v>
      </c>
      <c r="D262" s="72">
        <f ca="1">SUMIFS(RAB!$F$14:$F$79,RAB!$C$14:$C$79,C262)</f>
        <v>0</v>
      </c>
      <c r="E262" s="24">
        <f t="shared" ca="1" si="39"/>
        <v>0</v>
      </c>
      <c r="F262" s="24">
        <f ca="1">IF(D262=0,0,SUM($E$224:E262))</f>
        <v>0</v>
      </c>
    </row>
    <row r="263" spans="2:6" hidden="1">
      <c r="B263" s="151">
        <v>39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750/5-5A</v>
      </c>
      <c r="D263" s="72">
        <f ca="1">SUMIFS(RAB!$F$14:$F$79,RAB!$C$14:$C$79,C263)</f>
        <v>0</v>
      </c>
      <c r="E263" s="24">
        <f t="shared" ca="1" si="39"/>
        <v>0</v>
      </c>
      <c r="F263" s="24">
        <f ca="1">IF(D263=0,0,SUM($E$224:E263))</f>
        <v>0</v>
      </c>
    </row>
    <row r="264" spans="2:6" hidden="1">
      <c r="B264" s="23">
        <v>40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800/5-5A</v>
      </c>
      <c r="D264" s="72">
        <f ca="1">SUMIFS(RAB!$F$14:$F$79,RAB!$C$14:$C$79,C264)</f>
        <v>0</v>
      </c>
      <c r="E264" s="24">
        <f t="shared" ca="1" si="39"/>
        <v>0</v>
      </c>
      <c r="F264" s="24">
        <f ca="1">IF(D264=0,0,SUM($E$224:E264))</f>
        <v>0</v>
      </c>
    </row>
    <row r="265" spans="2:6" hidden="1">
      <c r="B265" s="151">
        <v>41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Blok 1000/5-5A</v>
      </c>
      <c r="D265" s="72">
        <f ca="1">SUMIFS(RAB!$F$14:$F$79,RAB!$C$14:$C$79,C265)</f>
        <v>0</v>
      </c>
      <c r="E265" s="24">
        <f t="shared" ca="1" si="39"/>
        <v>0</v>
      </c>
      <c r="F265" s="24">
        <f ca="1">IF(D265=0,0,SUM($E$224:E265))</f>
        <v>0</v>
      </c>
    </row>
    <row r="266" spans="2:6" hidden="1">
      <c r="B266" s="23">
        <v>42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50/5-5A</v>
      </c>
      <c r="D266" s="72">
        <f ca="1">SUMIFS(RAB!$F$14:$F$79,RAB!$C$14:$C$79,C266)</f>
        <v>0</v>
      </c>
      <c r="E266" s="24">
        <f t="shared" ca="1" si="39"/>
        <v>0</v>
      </c>
      <c r="F266" s="24">
        <f ca="1">IF(D266=0,0,SUM($E$224:E266))</f>
        <v>0</v>
      </c>
    </row>
    <row r="267" spans="2:6" hidden="1">
      <c r="B267" s="151">
        <v>43</v>
      </c>
      <c r="C267" s="72" t="str">
        <f ca="1">IF(ISERROR(OFFSET('HARGA SATUAN'!$C$6,MATCH('REKAP MDU'!B267,'HARGA SATUAN'!$L$7:$L$1455,0),0)),"",OFFSET('HARGA SATUAN'!$C$6,MATCH('REKAP MDU'!B267,'HARGA SATUAN'!$L$7:$L$1455,0),0))</f>
        <v>CT TM Indoor Tipe Ring 100/5-5A</v>
      </c>
      <c r="D267" s="72">
        <f ca="1">SUMIFS(RAB!$F$14:$F$79,RAB!$C$14:$C$79,C267)</f>
        <v>0</v>
      </c>
      <c r="E267" s="24">
        <f t="shared" ca="1" si="39"/>
        <v>0</v>
      </c>
      <c r="F267" s="24">
        <f ca="1">IF(D267=0,0,SUM($E$224:E267))</f>
        <v>0</v>
      </c>
    </row>
    <row r="268" spans="2:6" hidden="1">
      <c r="B268" s="23">
        <v>44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10/5</v>
      </c>
      <c r="D268" s="72">
        <f ca="1">SUMIFS(RAB!$F$14:$F$79,RAB!$C$14:$C$79,C268)</f>
        <v>0</v>
      </c>
      <c r="E268" s="24">
        <f t="shared" ca="1" si="39"/>
        <v>0</v>
      </c>
      <c r="F268" s="24">
        <f ca="1">IF(D268=0,0,SUM($E$224:E268))</f>
        <v>0</v>
      </c>
    </row>
    <row r="269" spans="2:6" hidden="1">
      <c r="B269" s="151">
        <v>45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15/5</v>
      </c>
      <c r="D269" s="72">
        <f ca="1">SUMIFS(RAB!$F$14:$F$79,RAB!$C$14:$C$79,C269)</f>
        <v>0</v>
      </c>
      <c r="E269" s="24">
        <f t="shared" ca="1" si="39"/>
        <v>0</v>
      </c>
      <c r="F269" s="24">
        <f ca="1">IF(D269=0,0,SUM($E$224:E269))</f>
        <v>0</v>
      </c>
    </row>
    <row r="270" spans="2:6" hidden="1">
      <c r="B270" s="23">
        <v>46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20/5</v>
      </c>
      <c r="D270" s="72">
        <f ca="1">SUMIFS(RAB!$F$14:$F$79,RAB!$C$14:$C$79,C270)</f>
        <v>0</v>
      </c>
      <c r="E270" s="24">
        <f t="shared" ca="1" si="39"/>
        <v>0</v>
      </c>
      <c r="F270" s="24">
        <f ca="1">IF(D270=0,0,SUM($E$224:E270))</f>
        <v>0</v>
      </c>
    </row>
    <row r="271" spans="2:6" hidden="1">
      <c r="B271" s="151">
        <v>47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25/5</v>
      </c>
      <c r="D271" s="72">
        <f ca="1">SUMIFS(RAB!$F$14:$F$79,RAB!$C$14:$C$79,C271)</f>
        <v>0</v>
      </c>
      <c r="E271" s="24">
        <f t="shared" ca="1" si="39"/>
        <v>0</v>
      </c>
      <c r="F271" s="24">
        <f ca="1">IF(D271=0,0,SUM($E$224:E271))</f>
        <v>0</v>
      </c>
    </row>
    <row r="272" spans="2:6" hidden="1">
      <c r="B272" s="23">
        <v>48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30/5</v>
      </c>
      <c r="D272" s="72">
        <f ca="1">SUMIFS(RAB!$F$14:$F$79,RAB!$C$14:$C$79,C272)</f>
        <v>0</v>
      </c>
      <c r="E272" s="24">
        <f t="shared" ca="1" si="39"/>
        <v>0</v>
      </c>
      <c r="F272" s="24">
        <f ca="1">IF(D272=0,0,SUM($E$224:E272))</f>
        <v>0</v>
      </c>
    </row>
    <row r="273" spans="2:6" hidden="1">
      <c r="B273" s="151">
        <v>49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40/5</v>
      </c>
      <c r="D273" s="72">
        <f ca="1">SUMIFS(RAB!$F$14:$F$79,RAB!$C$14:$C$79,C273)</f>
        <v>0</v>
      </c>
      <c r="E273" s="24">
        <f t="shared" ca="1" si="39"/>
        <v>0</v>
      </c>
      <c r="F273" s="24">
        <f ca="1">IF(D273=0,0,SUM($E$224:E273))</f>
        <v>0</v>
      </c>
    </row>
    <row r="274" spans="2:6" hidden="1">
      <c r="B274" s="23">
        <v>50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50/5</v>
      </c>
      <c r="D274" s="72">
        <f ca="1">SUMIFS(RAB!$F$14:$F$79,RAB!$C$14:$C$79,C274)</f>
        <v>0</v>
      </c>
      <c r="E274" s="24">
        <f t="shared" ca="1" si="39"/>
        <v>0</v>
      </c>
      <c r="F274" s="24">
        <f ca="1">IF(D274=0,0,SUM($E$224:E274))</f>
        <v>0</v>
      </c>
    </row>
    <row r="275" spans="2:6" hidden="1">
      <c r="B275" s="151">
        <v>51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60/5</v>
      </c>
      <c r="D275" s="72">
        <f ca="1">SUMIFS(RAB!$F$14:$F$79,RAB!$C$14:$C$79,C275)</f>
        <v>0</v>
      </c>
      <c r="E275" s="24">
        <f t="shared" ca="1" si="39"/>
        <v>0</v>
      </c>
      <c r="F275" s="24">
        <f ca="1">IF(D275=0,0,SUM($E$224:E275))</f>
        <v>0</v>
      </c>
    </row>
    <row r="276" spans="2:6" hidden="1">
      <c r="B276" s="23">
        <v>52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 75/5</v>
      </c>
      <c r="D276" s="72">
        <f ca="1">SUMIFS(RAB!$F$14:$F$79,RAB!$C$14:$C$79,C276)</f>
        <v>0</v>
      </c>
      <c r="E276" s="24">
        <f t="shared" ca="1" si="39"/>
        <v>0</v>
      </c>
      <c r="F276" s="24">
        <f ca="1">IF(D276=0,0,SUM($E$224:E276))</f>
        <v>0</v>
      </c>
    </row>
    <row r="277" spans="2:6" hidden="1">
      <c r="B277" s="151">
        <v>53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80/5</v>
      </c>
      <c r="D277" s="72">
        <f ca="1">SUMIFS(RAB!$F$14:$F$79,RAB!$C$14:$C$79,C277)</f>
        <v>0</v>
      </c>
      <c r="E277" s="24">
        <f t="shared" ca="1" si="39"/>
        <v>0</v>
      </c>
      <c r="F277" s="24">
        <f ca="1">IF(D277=0,0,SUM($E$224:E277))</f>
        <v>0</v>
      </c>
    </row>
    <row r="278" spans="2:6" hidden="1">
      <c r="B278" s="23">
        <v>54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100/5</v>
      </c>
      <c r="D278" s="72">
        <f ca="1">SUMIFS(RAB!$F$14:$F$79,RAB!$C$14:$C$79,C278)</f>
        <v>0</v>
      </c>
      <c r="E278" s="24">
        <f t="shared" ca="1" si="39"/>
        <v>0</v>
      </c>
      <c r="F278" s="24">
        <f ca="1">IF(D278=0,0,SUM($E$224:E278))</f>
        <v>0</v>
      </c>
    </row>
    <row r="279" spans="2:6" hidden="1">
      <c r="B279" s="151">
        <v>55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150/5</v>
      </c>
      <c r="D279" s="72">
        <f ca="1">SUMIFS(RAB!$F$14:$F$79,RAB!$C$14:$C$79,C279)</f>
        <v>0</v>
      </c>
      <c r="E279" s="24">
        <f t="shared" ca="1" si="39"/>
        <v>0</v>
      </c>
      <c r="F279" s="24">
        <f ca="1">IF(D279=0,0,SUM($E$224:E279))</f>
        <v>0</v>
      </c>
    </row>
    <row r="280" spans="2:6" hidden="1">
      <c r="B280" s="23">
        <v>56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200/5</v>
      </c>
      <c r="D280" s="72">
        <f ca="1">SUMIFS(RAB!$F$14:$F$79,RAB!$C$14:$C$79,C280)</f>
        <v>0</v>
      </c>
      <c r="E280" s="24">
        <f t="shared" ca="1" si="39"/>
        <v>0</v>
      </c>
      <c r="F280" s="24">
        <f ca="1">IF(D280=0,0,SUM($E$224:E280))</f>
        <v>0</v>
      </c>
    </row>
    <row r="281" spans="2:6" hidden="1">
      <c r="B281" s="151">
        <v>57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250/5</v>
      </c>
      <c r="D281" s="72">
        <f ca="1">SUMIFS(RAB!$F$14:$F$79,RAB!$C$14:$C$79,C281)</f>
        <v>0</v>
      </c>
      <c r="E281" s="24">
        <f t="shared" ca="1" si="39"/>
        <v>0</v>
      </c>
      <c r="F281" s="24">
        <f ca="1">IF(D281=0,0,SUM($E$224:E281))</f>
        <v>0</v>
      </c>
    </row>
    <row r="282" spans="2:6" hidden="1">
      <c r="B282" s="23">
        <v>58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300/5</v>
      </c>
      <c r="D282" s="72">
        <f ca="1">SUMIFS(RAB!$F$14:$F$79,RAB!$C$14:$C$79,C282)</f>
        <v>0</v>
      </c>
      <c r="E282" s="24">
        <f t="shared" ca="1" si="39"/>
        <v>0</v>
      </c>
      <c r="F282" s="24">
        <f ca="1">IF(D282=0,0,SUM($E$224:E282))</f>
        <v>0</v>
      </c>
    </row>
    <row r="283" spans="2:6" hidden="1">
      <c r="B283" s="151">
        <v>59</v>
      </c>
      <c r="C283" s="72" t="str">
        <f ca="1">IF(ISERROR(OFFSET('HARGA SATUAN'!$C$6,MATCH('REKAP MDU'!B283,'HARGA SATUAN'!$L$7:$L$1455,0),0)),"",OFFSET('HARGA SATUAN'!$C$6,MATCH('REKAP MDU'!B283,'HARGA SATUAN'!$L$7:$L$1455,0),0))</f>
        <v>CT TM Outdoor 400/5</v>
      </c>
      <c r="D283" s="72">
        <f ca="1">SUMIFS(RAB!$F$14:$F$79,RAB!$C$14:$C$79,C283)</f>
        <v>0</v>
      </c>
      <c r="E283" s="24">
        <f t="shared" ca="1" si="39"/>
        <v>0</v>
      </c>
      <c r="F283" s="24">
        <f ca="1">IF(D283=0,0,SUM($E$224:E283))</f>
        <v>0</v>
      </c>
    </row>
    <row r="284" spans="2:6" hidden="1">
      <c r="B284" s="23">
        <v>60</v>
      </c>
      <c r="C284" s="72" t="str">
        <f ca="1">IF(ISERROR(OFFSET('HARGA SATUAN'!$C$6,MATCH('REKAP MDU'!B284,'HARGA SATUAN'!$L$7:$L$1455,0),0)),"",OFFSET('HARGA SATUAN'!$C$6,MATCH('REKAP MDU'!B284,'HARGA SATUAN'!$L$7:$L$1455,0),0))</f>
        <v>PT Indoor (ratio 20.000/v3 : 100/v3) Class 0.2s</v>
      </c>
      <c r="D284" s="72">
        <f ca="1">SUMIFS(RAB!$F$14:$F$79,RAB!$C$14:$C$79,C284)</f>
        <v>0</v>
      </c>
      <c r="E284" s="24">
        <f t="shared" ca="1" si="39"/>
        <v>0</v>
      </c>
      <c r="F284" s="24">
        <f ca="1">IF(D284=0,0,SUM($E$224:E284))</f>
        <v>0</v>
      </c>
    </row>
    <row r="285" spans="2:6" hidden="1">
      <c r="B285" s="151">
        <v>61</v>
      </c>
      <c r="C285" s="72" t="str">
        <f ca="1">IF(ISERROR(OFFSET('HARGA SATUAN'!$C$6,MATCH('REKAP MDU'!B285,'HARGA SATUAN'!$L$7:$L$1455,0),0)),"",OFFSET('HARGA SATUAN'!$C$6,MATCH('REKAP MDU'!B285,'HARGA SATUAN'!$L$7:$L$1455,0),0))</f>
        <v>PT Outdoor (ratio 20.000/v3 : 100/v3) Class 0.2s</v>
      </c>
      <c r="D285" s="72">
        <f ca="1">SUMIFS(RAB!$F$14:$F$79,RAB!$C$14:$C$79,C285)</f>
        <v>0</v>
      </c>
      <c r="E285" s="24">
        <f t="shared" ca="1" si="39"/>
        <v>0</v>
      </c>
      <c r="F285" s="24">
        <f ca="1">IF(D285=0,0,SUM($E$224:E285))</f>
        <v>0</v>
      </c>
    </row>
    <row r="286" spans="2:6" hidden="1">
      <c r="B286" s="23">
        <v>62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3.9 kVA MCCB 6 A</v>
      </c>
      <c r="D286" s="72">
        <f ca="1">SUMIFS(RAB!$F$14:$F$79,RAB!$C$14:$C$79,C286)</f>
        <v>0</v>
      </c>
      <c r="E286" s="24">
        <f t="shared" ca="1" si="39"/>
        <v>0</v>
      </c>
      <c r="F286" s="24">
        <f ca="1">IF(D286=0,0,SUM($E$224:E286))</f>
        <v>0</v>
      </c>
    </row>
    <row r="287" spans="2:6" hidden="1">
      <c r="B287" s="151">
        <v>63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6.6 kVA MCCB 10 A</v>
      </c>
      <c r="D287" s="72">
        <f ca="1">SUMIFS(RAB!$F$14:$F$79,RAB!$C$14:$C$79,C287)</f>
        <v>0</v>
      </c>
      <c r="E287" s="24">
        <f t="shared" ca="1" si="39"/>
        <v>0</v>
      </c>
      <c r="F287" s="24">
        <f ca="1">IF(D287=0,0,SUM($E$224:E287))</f>
        <v>0</v>
      </c>
    </row>
    <row r="288" spans="2:6" hidden="1">
      <c r="B288" s="23">
        <v>64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10.6 kVA MCCB 16 A</v>
      </c>
      <c r="D288" s="72">
        <f ca="1">SUMIFS(RAB!$F$14:$F$79,RAB!$C$14:$C$79,C288)</f>
        <v>1</v>
      </c>
      <c r="E288" s="24">
        <f t="shared" ca="1" si="39"/>
        <v>1</v>
      </c>
      <c r="F288" s="24">
        <f ca="1">IF(D288=0,0,SUM($E$224:E288))</f>
        <v>1</v>
      </c>
    </row>
    <row r="289" spans="2:6" hidden="1">
      <c r="B289" s="151">
        <v>65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13.2 kVA MCCB 20 A</v>
      </c>
      <c r="D289" s="72">
        <f ca="1">SUMIFS(RAB!$F$14:$F$79,RAB!$C$14:$C$79,C289)</f>
        <v>0</v>
      </c>
      <c r="E289" s="24">
        <f t="shared" ca="1" si="39"/>
        <v>0</v>
      </c>
      <c r="F289" s="24">
        <f ca="1">IF(D289=0,0,SUM($E$224:E289))</f>
        <v>0</v>
      </c>
    </row>
    <row r="290" spans="2:6" hidden="1">
      <c r="B290" s="23">
        <v>66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16.5 kVA MCCB 25 A</v>
      </c>
      <c r="D290" s="72">
        <f ca="1">SUMIFS(RAB!$F$14:$F$79,RAB!$C$14:$C$79,C290)</f>
        <v>0</v>
      </c>
      <c r="E290" s="24">
        <f t="shared" ref="E290:E353" ca="1" si="40">IF(D290=0,0,1)</f>
        <v>0</v>
      </c>
      <c r="F290" s="24">
        <f ca="1">IF(D290=0,0,SUM($E$224:E290))</f>
        <v>0</v>
      </c>
    </row>
    <row r="291" spans="2:6" hidden="1">
      <c r="B291" s="151">
        <v>67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23 kVA MCCB 35 A</v>
      </c>
      <c r="D291" s="72">
        <f ca="1">SUMIFS(RAB!$F$14:$F$79,RAB!$C$14:$C$79,C291)</f>
        <v>0</v>
      </c>
      <c r="E291" s="24">
        <f t="shared" ca="1" si="40"/>
        <v>0</v>
      </c>
      <c r="F291" s="24">
        <f ca="1">IF(D291=0,0,SUM($E$224:E291))</f>
        <v>0</v>
      </c>
    </row>
    <row r="292" spans="2:6" hidden="1">
      <c r="B292" s="23">
        <v>68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33 kVA MCCB 50 A</v>
      </c>
      <c r="D292" s="72">
        <f ca="1">SUMIFS(RAB!$F$14:$F$79,RAB!$C$14:$C$79,C292)</f>
        <v>0</v>
      </c>
      <c r="E292" s="24">
        <f t="shared" ca="1" si="40"/>
        <v>0</v>
      </c>
      <c r="F292" s="24">
        <f ca="1">IF(D292=0,0,SUM($E$224:E292))</f>
        <v>0</v>
      </c>
    </row>
    <row r="293" spans="2:6" hidden="1">
      <c r="B293" s="151">
        <v>69</v>
      </c>
      <c r="C293" s="72" t="str">
        <f ca="1">IF(ISERROR(OFFSET('HARGA SATUAN'!$C$6,MATCH('REKAP MDU'!B293,'HARGA SATUAN'!$L$7:$L$1455,0),0)),"",OFFSET('HARGA SATUAN'!$C$6,MATCH('REKAP MDU'!B293,'HARGA SATUAN'!$L$7:$L$1455,0),0))</f>
        <v>Smart Box Langsung Daya 41.5 kVA MCCB 63 A</v>
      </c>
      <c r="D293" s="72">
        <f ca="1">SUMIFS(RAB!$F$14:$F$79,RAB!$C$14:$C$79,C293)</f>
        <v>0</v>
      </c>
      <c r="E293" s="24">
        <f t="shared" ca="1" si="40"/>
        <v>0</v>
      </c>
      <c r="F293" s="24">
        <f ca="1">IF(D293=0,0,SUM($E$224:E293))</f>
        <v>0</v>
      </c>
    </row>
    <row r="294" spans="2:6" hidden="1">
      <c r="B294" s="23">
        <v>70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53 kVA MCCB 80 A</v>
      </c>
      <c r="D294" s="72">
        <f ca="1">SUMIFS(RAB!$F$14:$F$79,RAB!$C$14:$C$79,C294)</f>
        <v>0</v>
      </c>
      <c r="E294" s="24">
        <f t="shared" ca="1" si="40"/>
        <v>0</v>
      </c>
      <c r="F294" s="24">
        <f ca="1">IF(D294=0,0,SUM($E$224:E294))</f>
        <v>0</v>
      </c>
    </row>
    <row r="295" spans="2:6" hidden="1">
      <c r="B295" s="151">
        <v>71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66 kVA MCCB 100 A</v>
      </c>
      <c r="D295" s="72">
        <f ca="1">SUMIFS(RAB!$F$14:$F$79,RAB!$C$14:$C$79,C295)</f>
        <v>0</v>
      </c>
      <c r="E295" s="24">
        <f t="shared" ca="1" si="40"/>
        <v>0</v>
      </c>
      <c r="F295" s="24">
        <f ca="1">IF(D295=0,0,SUM($E$224:E295))</f>
        <v>0</v>
      </c>
    </row>
    <row r="296" spans="2:6" hidden="1">
      <c r="B296" s="23">
        <v>72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82.5 kVA MCCB 125 A</v>
      </c>
      <c r="D296" s="72">
        <f ca="1">SUMIFS(RAB!$F$14:$F$79,RAB!$C$14:$C$79,C296)</f>
        <v>0</v>
      </c>
      <c r="E296" s="24">
        <f t="shared" ca="1" si="40"/>
        <v>0</v>
      </c>
      <c r="F296" s="24">
        <f ca="1">IF(D296=0,0,SUM($E$224:E296))</f>
        <v>0</v>
      </c>
    </row>
    <row r="297" spans="2:6" hidden="1">
      <c r="B297" s="151">
        <v>73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105 kVA MCCB 160 A</v>
      </c>
      <c r="D297" s="72">
        <f ca="1">SUMIFS(RAB!$F$14:$F$79,RAB!$C$14:$C$79,C297)</f>
        <v>0</v>
      </c>
      <c r="E297" s="24">
        <f t="shared" ca="1" si="40"/>
        <v>0</v>
      </c>
      <c r="F297" s="24">
        <f ca="1">IF(D297=0,0,SUM($E$224:E297))</f>
        <v>0</v>
      </c>
    </row>
    <row r="298" spans="2:6" hidden="1">
      <c r="B298" s="23">
        <v>74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131 kVA MCCB 200 A</v>
      </c>
      <c r="D298" s="72">
        <f ca="1">SUMIFS(RAB!$F$14:$F$79,RAB!$C$14:$C$79,C298)</f>
        <v>0</v>
      </c>
      <c r="E298" s="24">
        <f t="shared" ca="1" si="40"/>
        <v>0</v>
      </c>
      <c r="F298" s="24">
        <f ca="1">IF(D298=0,0,SUM($E$224:E298))</f>
        <v>0</v>
      </c>
    </row>
    <row r="299" spans="2:6" hidden="1">
      <c r="B299" s="151">
        <v>75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147 kVA MCCB 225 A</v>
      </c>
      <c r="D299" s="72">
        <f ca="1">SUMIFS(RAB!$F$14:$F$79,RAB!$C$14:$C$79,C299)</f>
        <v>0</v>
      </c>
      <c r="E299" s="24">
        <f t="shared" ca="1" si="40"/>
        <v>0</v>
      </c>
      <c r="F299" s="24">
        <f ca="1">IF(D299=0,0,SUM($E$224:E299))</f>
        <v>0</v>
      </c>
    </row>
    <row r="300" spans="2:6" hidden="1">
      <c r="B300" s="23">
        <v>76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164 kVA MCCB 250 A</v>
      </c>
      <c r="D300" s="72">
        <f ca="1">SUMIFS(RAB!$F$14:$F$79,RAB!$C$14:$C$79,C300)</f>
        <v>0</v>
      </c>
      <c r="E300" s="24">
        <f t="shared" ca="1" si="40"/>
        <v>0</v>
      </c>
      <c r="F300" s="24">
        <f ca="1">IF(D300=0,0,SUM($E$224:E300))</f>
        <v>0</v>
      </c>
    </row>
    <row r="301" spans="2:6" hidden="1">
      <c r="B301" s="151">
        <v>77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197 kVA MCCB 300 A</v>
      </c>
      <c r="D301" s="72">
        <f ca="1">SUMIFS(RAB!$F$14:$F$79,RAB!$C$14:$C$79,C301)</f>
        <v>0</v>
      </c>
      <c r="E301" s="24">
        <f t="shared" ca="1" si="40"/>
        <v>0</v>
      </c>
      <c r="F301" s="24">
        <f ca="1">IF(D301=0,0,SUM($E$224:E301))</f>
        <v>0</v>
      </c>
    </row>
    <row r="302" spans="2:6" hidden="1">
      <c r="B302" s="23">
        <v>78</v>
      </c>
      <c r="C302" s="72" t="str">
        <f ca="1">IF(ISERROR(OFFSET('HARGA SATUAN'!$C$6,MATCH('REKAP MDU'!B302,'HARGA SATUAN'!$L$7:$L$1455,0),0)),"",OFFSET('HARGA SATUAN'!$C$6,MATCH('REKAP MDU'!B302,'HARGA SATUAN'!$L$7:$L$1455,0),0))</f>
        <v>Smart Box Tidak Langsung Daya TM</v>
      </c>
      <c r="D302" s="72">
        <f ca="1">SUMIFS(RAB!$F$14:$F$79,RAB!$C$14:$C$79,C302)</f>
        <v>0</v>
      </c>
      <c r="E302" s="24">
        <f t="shared" ca="1" si="40"/>
        <v>0</v>
      </c>
      <c r="F302" s="24">
        <f ca="1">IF(D302=0,0,SUM($E$224:E302))</f>
        <v>0</v>
      </c>
    </row>
    <row r="303" spans="2:6" hidden="1">
      <c r="B303" s="151">
        <v>79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Manual;24KV;630A;Min-16KA</v>
      </c>
      <c r="D303" s="72">
        <f ca="1">SUMIFS(RAB!$F$14:$F$79,RAB!$C$14:$C$79,C303)</f>
        <v>0</v>
      </c>
      <c r="E303" s="24">
        <f t="shared" ca="1" si="40"/>
        <v>0</v>
      </c>
      <c r="F303" s="24">
        <f ca="1">IF(D303=0,0,SUM($E$224:E303))</f>
        <v>0</v>
      </c>
    </row>
    <row r="304" spans="2:6" hidden="1">
      <c r="B304" s="23">
        <v>80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LBS Motorized;24KV;630A;Min-16KA</v>
      </c>
      <c r="D304" s="72">
        <f ca="1">SUMIFS(RAB!$F$14:$F$79,RAB!$C$14:$C$79,C304)</f>
        <v>0</v>
      </c>
      <c r="E304" s="24">
        <f t="shared" ca="1" si="40"/>
        <v>0</v>
      </c>
      <c r="F304" s="24">
        <f ca="1">IF(D304=0,0,SUM($E$224:E304))</f>
        <v>0</v>
      </c>
    </row>
    <row r="305" spans="2:6" hidden="1">
      <c r="B305" s="151">
        <v>81</v>
      </c>
      <c r="C305" s="72" t="str">
        <f ca="1">IF(ISERROR(OFFSET('HARGA SATUAN'!$C$6,MATCH('REKAP MDU'!B305,'HARGA SATUAN'!$L$7:$L$1455,0),0)),"",OFFSET('HARGA SATUAN'!$C$6,MATCH('REKAP MDU'!B305,'HARGA SATUAN'!$L$7:$L$1455,0),0))</f>
        <v>Air Insulated CBOG Motorized+Metering;20KV;630A;Min-16KA</v>
      </c>
      <c r="D305" s="72">
        <f ca="1">SUMIFS(RAB!$F$14:$F$79,RAB!$C$14:$C$79,C305)</f>
        <v>0</v>
      </c>
      <c r="E305" s="24">
        <f t="shared" ca="1" si="40"/>
        <v>0</v>
      </c>
      <c r="F305" s="24">
        <f ca="1">IF(D305=0,0,SUM($E$224:E305))</f>
        <v>0</v>
      </c>
    </row>
    <row r="306" spans="2:6" hidden="1">
      <c r="B306" s="23">
        <v>82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LBS Motorized;24KV;630A;Min-16KA</v>
      </c>
      <c r="D306" s="72">
        <f ca="1">SUMIFS(RAB!$F$14:$F$79,RAB!$C$14:$C$79,C306)</f>
        <v>0</v>
      </c>
      <c r="E306" s="24">
        <f t="shared" ca="1" si="40"/>
        <v>0</v>
      </c>
      <c r="F306" s="24">
        <f ca="1">IF(D306=0,0,SUM($E$224:E306))</f>
        <v>0</v>
      </c>
    </row>
    <row r="307" spans="2:6" hidden="1">
      <c r="B307" s="151">
        <v>83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CBOG Motorized+Metering;20KV;630A;Min-16KA</v>
      </c>
      <c r="D307" s="72">
        <f ca="1">SUMIFS(RAB!$F$14:$F$79,RAB!$C$14:$C$79,C307)</f>
        <v>0</v>
      </c>
      <c r="E307" s="24">
        <f t="shared" ca="1" si="40"/>
        <v>0</v>
      </c>
      <c r="F307" s="24">
        <f ca="1">IF(D307=0,0,SUM($E$224:E307))</f>
        <v>0</v>
      </c>
    </row>
    <row r="308" spans="2:6" hidden="1">
      <c r="B308" s="23">
        <v>84</v>
      </c>
      <c r="C308" s="72" t="str">
        <f ca="1">IF(ISERROR(OFFSET('HARGA SATUAN'!$C$6,MATCH('REKAP MDU'!B308,'HARGA SATUAN'!$L$7:$L$1455,0),0)),"",OFFSET('HARGA SATUAN'!$C$6,MATCH('REKAP MDU'!B308,'HARGA SATUAN'!$L$7:$L$1455,0),0))</f>
        <v>Fully Gas Insulated LBS Manual;24KV;630A;Min-16KA</v>
      </c>
      <c r="D308" s="72">
        <f ca="1">SUMIFS(RAB!$F$14:$F$79,RAB!$C$14:$C$79,C308)</f>
        <v>0</v>
      </c>
      <c r="E308" s="24">
        <f t="shared" ca="1" si="40"/>
        <v>0</v>
      </c>
      <c r="F308" s="24">
        <f ca="1">IF(D308=0,0,SUM($E$224:E308))</f>
        <v>0</v>
      </c>
    </row>
    <row r="309" spans="2:6" hidden="1">
      <c r="B309" s="151">
        <v>85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TM</v>
      </c>
      <c r="D309" s="72">
        <f ca="1">SUMIFS(RAB!$F$14:$F$79,RAB!$C$14:$C$79,C309)</f>
        <v>0</v>
      </c>
      <c r="E309" s="24">
        <f t="shared" ca="1" si="40"/>
        <v>0</v>
      </c>
      <c r="F309" s="24">
        <f ca="1">IF(D309=0,0,SUM($E$224:E309))</f>
        <v>0</v>
      </c>
    </row>
    <row r="310" spans="2:6" hidden="1">
      <c r="B310" s="23">
        <v>86</v>
      </c>
      <c r="C310" s="72" t="str">
        <f ca="1">IF(ISERROR(OFFSET('HARGA SATUAN'!$C$6,MATCH('REKAP MDU'!B310,'HARGA SATUAN'!$L$7:$L$1455,0),0)),"",OFFSET('HARGA SATUAN'!$C$6,MATCH('REKAP MDU'!B310,'HARGA SATUAN'!$L$7:$L$1455,0),0))</f>
        <v>Automatic Change Over (ACO) TR</v>
      </c>
      <c r="D310" s="72">
        <f ca="1">SUMIFS(RAB!$F$14:$F$79,RAB!$C$14:$C$79,C310)</f>
        <v>0</v>
      </c>
      <c r="E310" s="24">
        <f t="shared" ca="1" si="40"/>
        <v>0</v>
      </c>
      <c r="F310" s="24">
        <f ca="1">IF(D310=0,0,SUM($E$224:E310))</f>
        <v>0</v>
      </c>
    </row>
    <row r="311" spans="2:6" hidden="1">
      <c r="B311" s="151">
        <v>87</v>
      </c>
      <c r="C311" s="72" t="str">
        <f ca="1">IF(ISERROR(OFFSET('HARGA SATUAN'!$C$6,MATCH('REKAP MDU'!B311,'HARGA SATUAN'!$L$7:$L$1455,0),0)),"",OFFSET('HARGA SATUAN'!$C$6,MATCH('REKAP MDU'!B311,'HARGA SATUAN'!$L$7:$L$1455,0),0))</f>
        <v>Metaclad;Outgoing;20kV;630A;25kA - GI</v>
      </c>
      <c r="D311" s="72">
        <f ca="1">SUMIFS(RAB!$F$14:$F$79,RAB!$C$14:$C$79,C311)</f>
        <v>0</v>
      </c>
      <c r="E311" s="24">
        <f t="shared" ca="1" si="40"/>
        <v>0</v>
      </c>
      <c r="F311" s="24">
        <f ca="1">IF(D311=0,0,SUM($E$224:E311))</f>
        <v>0</v>
      </c>
    </row>
    <row r="312" spans="2:6" hidden="1">
      <c r="B312" s="23">
        <v>88</v>
      </c>
      <c r="C312" s="72" t="str">
        <f ca="1">IF(ISERROR(OFFSET('HARGA SATUAN'!$C$6,MATCH('REKAP MDU'!B312,'HARGA SATUAN'!$L$7:$L$1455,0),0)),"",OFFSET('HARGA SATUAN'!$C$6,MATCH('REKAP MDU'!B312,'HARGA SATUAN'!$L$7:$L$1455,0),0))</f>
        <v>Metaclad;Couple;20kV;2000A;25kA - GI</v>
      </c>
      <c r="D312" s="72">
        <f ca="1">SUMIFS(RAB!$F$14:$F$79,RAB!$C$14:$C$79,C312)</f>
        <v>0</v>
      </c>
      <c r="E312" s="24">
        <f t="shared" ca="1" si="40"/>
        <v>0</v>
      </c>
      <c r="F312" s="24">
        <f ca="1">IF(D312=0,0,SUM($E$224:E312))</f>
        <v>0</v>
      </c>
    </row>
    <row r="313" spans="2:6" hidden="1">
      <c r="B313" s="151">
        <v>89</v>
      </c>
      <c r="C313" s="72" t="str">
        <f ca="1">IF(ISERROR(OFFSET('HARGA SATUAN'!$C$6,MATCH('REKAP MDU'!B313,'HARGA SATUAN'!$L$7:$L$1455,0),0)),"",OFFSET('HARGA SATUAN'!$C$6,MATCH('REKAP MDU'!B313,'HARGA SATUAN'!$L$7:$L$1455,0),0))</f>
        <v>Trafo 1 Fasa CSP 50 kVA</v>
      </c>
      <c r="D313" s="72">
        <f ca="1">SUMIFS(RAB!$F$14:$F$79,RAB!$C$14:$C$79,C313)</f>
        <v>0</v>
      </c>
      <c r="E313" s="24">
        <f t="shared" ca="1" si="40"/>
        <v>0</v>
      </c>
      <c r="F313" s="24">
        <f ca="1">IF(D313=0,0,SUM($E$224:E313))</f>
        <v>0</v>
      </c>
    </row>
    <row r="314" spans="2:6" hidden="1">
      <c r="B314" s="23">
        <v>90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50 kVA YNyn0</v>
      </c>
      <c r="D314" s="72">
        <f ca="1">SUMIFS(RAB!$F$14:$F$79,RAB!$C$14:$C$79,C314)</f>
        <v>1</v>
      </c>
      <c r="E314" s="24">
        <f t="shared" ca="1" si="40"/>
        <v>1</v>
      </c>
      <c r="F314" s="24">
        <f ca="1">IF(D314=0,0,SUM($E$224:E314))</f>
        <v>2</v>
      </c>
    </row>
    <row r="315" spans="2:6" hidden="1">
      <c r="B315" s="151">
        <v>91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100 kVA YNyn0</v>
      </c>
      <c r="D315" s="72">
        <f ca="1">SUMIFS(RAB!$F$14:$F$79,RAB!$C$14:$C$79,C315)</f>
        <v>0</v>
      </c>
      <c r="E315" s="24">
        <f t="shared" ca="1" si="40"/>
        <v>0</v>
      </c>
      <c r="F315" s="24">
        <f ca="1">IF(D315=0,0,SUM($E$224:E315))</f>
        <v>0</v>
      </c>
    </row>
    <row r="316" spans="2:6" hidden="1">
      <c r="B316" s="23">
        <v>92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160 kVA YNyn0</v>
      </c>
      <c r="D316" s="72">
        <f ca="1">SUMIFS(RAB!$F$14:$F$79,RAB!$C$14:$C$79,C316)</f>
        <v>0</v>
      </c>
      <c r="E316" s="24">
        <f t="shared" ca="1" si="40"/>
        <v>0</v>
      </c>
      <c r="F316" s="24">
        <f ca="1">IF(D316=0,0,SUM($E$224:E316))</f>
        <v>0</v>
      </c>
    </row>
    <row r="317" spans="2:6" hidden="1">
      <c r="B317" s="151">
        <v>93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50 kVA Yzn5</v>
      </c>
      <c r="D317" s="72">
        <f ca="1">SUMIFS(RAB!$F$14:$F$79,RAB!$C$14:$C$79,C317)</f>
        <v>0</v>
      </c>
      <c r="E317" s="24">
        <f t="shared" ca="1" si="40"/>
        <v>0</v>
      </c>
      <c r="F317" s="24">
        <f ca="1">IF(D317=0,0,SUM($E$224:E317))</f>
        <v>0</v>
      </c>
    </row>
    <row r="318" spans="2:6" hidden="1">
      <c r="B318" s="23">
        <v>94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100 kVA Yzn5</v>
      </c>
      <c r="D318" s="72">
        <f ca="1">SUMIFS(RAB!$F$14:$F$79,RAB!$C$14:$C$79,C318)</f>
        <v>0</v>
      </c>
      <c r="E318" s="24">
        <f t="shared" ca="1" si="40"/>
        <v>0</v>
      </c>
      <c r="F318" s="24">
        <f ca="1">IF(D318=0,0,SUM($E$224:E318))</f>
        <v>0</v>
      </c>
    </row>
    <row r="319" spans="2:6" hidden="1">
      <c r="B319" s="151">
        <v>95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160 kVA Yzn5</v>
      </c>
      <c r="D319" s="72">
        <f ca="1">SUMIFS(RAB!$F$14:$F$79,RAB!$C$14:$C$79,C319)</f>
        <v>0</v>
      </c>
      <c r="E319" s="24">
        <f t="shared" ca="1" si="40"/>
        <v>0</v>
      </c>
      <c r="F319" s="24">
        <f ca="1">IF(D319=0,0,SUM($E$224:E319))</f>
        <v>0</v>
      </c>
    </row>
    <row r="320" spans="2:6" hidden="1">
      <c r="B320" s="23">
        <v>96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200 kVA Dyn5</v>
      </c>
      <c r="D320" s="72">
        <f ca="1">SUMIFS(RAB!$F$14:$F$79,RAB!$C$14:$C$79,C320)</f>
        <v>0</v>
      </c>
      <c r="E320" s="24">
        <f t="shared" ca="1" si="40"/>
        <v>0</v>
      </c>
      <c r="F320" s="24">
        <f ca="1">IF(D320=0,0,SUM($E$224:E320))</f>
        <v>0</v>
      </c>
    </row>
    <row r="321" spans="2:6" hidden="1">
      <c r="B321" s="151">
        <v>97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250 kVA DYn5</v>
      </c>
      <c r="D321" s="72">
        <f ca="1">SUMIFS(RAB!$F$14:$F$79,RAB!$C$14:$C$79,C321)</f>
        <v>0</v>
      </c>
      <c r="E321" s="24">
        <f t="shared" ca="1" si="40"/>
        <v>0</v>
      </c>
      <c r="F321" s="24">
        <f ca="1">IF(D321=0,0,SUM($E$224:E321))</f>
        <v>0</v>
      </c>
    </row>
    <row r="322" spans="2:6" hidden="1">
      <c r="B322" s="23">
        <v>98</v>
      </c>
      <c r="C322" s="72" t="str">
        <f ca="1">IF(ISERROR(OFFSET('HARGA SATUAN'!$C$6,MATCH('REKAP MDU'!B322,'HARGA SATUAN'!$L$7:$L$1455,0),0)),"",OFFSET('HARGA SATUAN'!$C$6,MATCH('REKAP MDU'!B322,'HARGA SATUAN'!$L$7:$L$1455,0),0))</f>
        <v>Trafo 3 phasa 400 kVA DYn5 OD</v>
      </c>
      <c r="D322" s="72">
        <f ca="1">SUMIFS(RAB!$F$14:$F$79,RAB!$C$14:$C$79,C322)</f>
        <v>0</v>
      </c>
      <c r="E322" s="24">
        <f t="shared" ca="1" si="40"/>
        <v>0</v>
      </c>
      <c r="F322" s="24">
        <f ca="1">IF(D322=0,0,SUM($E$224:E322))</f>
        <v>0</v>
      </c>
    </row>
    <row r="323" spans="2:6" hidden="1">
      <c r="B323" s="151">
        <v>99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MCCB</v>
      </c>
      <c r="D323" s="72">
        <f ca="1">SUMIFS(RAB!$F$14:$F$79,RAB!$C$14:$C$79,C323)</f>
        <v>0</v>
      </c>
      <c r="E323" s="24">
        <f t="shared" ca="1" si="40"/>
        <v>0</v>
      </c>
      <c r="F323" s="24">
        <f ca="1">IF(D323=0,0,SUM($E$224:E323))</f>
        <v>0</v>
      </c>
    </row>
    <row r="324" spans="2:6" hidden="1">
      <c r="B324" s="23">
        <v>100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250 A LBS</v>
      </c>
      <c r="D324" s="72">
        <f ca="1">SUMIFS(RAB!$F$14:$F$79,RAB!$C$14:$C$79,C324)</f>
        <v>0</v>
      </c>
      <c r="E324" s="24">
        <f t="shared" ca="1" si="40"/>
        <v>0</v>
      </c>
      <c r="F324" s="24">
        <f ca="1">IF(D324=0,0,SUM($E$224:E324))</f>
        <v>0</v>
      </c>
    </row>
    <row r="325" spans="2:6" hidden="1">
      <c r="B325" s="151">
        <v>101</v>
      </c>
      <c r="C325" s="72" t="str">
        <f ca="1">IF(ISERROR(OFFSET('HARGA SATUAN'!$C$6,MATCH('REKAP MDU'!B325,'HARGA SATUAN'!$L$7:$L$1455,0),0)),"",OFFSET('HARGA SATUAN'!$C$6,MATCH('REKAP MDU'!B325,'HARGA SATUAN'!$L$7:$L$1455,0),0))</f>
        <v>LVCB 2 Jurusan 400 A LBS</v>
      </c>
      <c r="D325" s="72">
        <f ca="1">SUMIFS(RAB!$F$14:$F$79,RAB!$C$14:$C$79,C325)</f>
        <v>0</v>
      </c>
      <c r="E325" s="24">
        <f t="shared" ca="1" si="40"/>
        <v>0</v>
      </c>
      <c r="F325" s="24">
        <f ca="1">IF(D325=0,0,SUM($E$224:E325))</f>
        <v>0</v>
      </c>
    </row>
    <row r="326" spans="2:6" hidden="1">
      <c r="B326" s="23">
        <v>102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400 A LBS</v>
      </c>
      <c r="D326" s="72">
        <f ca="1">SUMIFS(RAB!$F$14:$F$79,RAB!$C$14:$C$79,C326)</f>
        <v>0</v>
      </c>
      <c r="E326" s="24">
        <f t="shared" ca="1" si="40"/>
        <v>0</v>
      </c>
      <c r="F326" s="24">
        <f ca="1">IF(D326=0,0,SUM($E$224:E326))</f>
        <v>0</v>
      </c>
    </row>
    <row r="327" spans="2:6" hidden="1">
      <c r="B327" s="151">
        <v>103</v>
      </c>
      <c r="C327" s="72" t="str">
        <f ca="1">IF(ISERROR(OFFSET('HARGA SATUAN'!$C$6,MATCH('REKAP MDU'!B327,'HARGA SATUAN'!$L$7:$L$1455,0),0)),"",OFFSET('HARGA SATUAN'!$C$6,MATCH('REKAP MDU'!B327,'HARGA SATUAN'!$L$7:$L$1455,0),0))</f>
        <v>LVCB 4 Jurusan 630 A LBS</v>
      </c>
      <c r="D327" s="72">
        <f ca="1">SUMIFS(RAB!$F$14:$F$79,RAB!$C$14:$C$79,C327)</f>
        <v>0</v>
      </c>
      <c r="E327" s="24">
        <f t="shared" ca="1" si="40"/>
        <v>0</v>
      </c>
      <c r="F327" s="24">
        <f ca="1">IF(D327=0,0,SUM($E$224:E327))</f>
        <v>0</v>
      </c>
    </row>
    <row r="328" spans="2:6" hidden="1">
      <c r="B328" s="23">
        <v>104</v>
      </c>
      <c r="C328" s="72" t="str">
        <f ca="1">IF(ISERROR(OFFSET('HARGA SATUAN'!$C$6,MATCH('REKAP MDU'!B328,'HARGA SATUAN'!$L$7:$L$1455,0),0)),"",OFFSET('HARGA SATUAN'!$C$6,MATCH('REKAP MDU'!B328,'HARGA SATUAN'!$L$7:$L$1455,0),0))</f>
        <v>FCO Polymer</v>
      </c>
      <c r="D328" s="72">
        <f ca="1">SUMIFS(RAB!$F$14:$F$79,RAB!$C$14:$C$79,C328)</f>
        <v>3</v>
      </c>
      <c r="E328" s="24">
        <f t="shared" ca="1" si="40"/>
        <v>1</v>
      </c>
      <c r="F328" s="24">
        <f ca="1">IF(D328=0,0,SUM($E$224:E328))</f>
        <v>3</v>
      </c>
    </row>
    <row r="329" spans="2:6" hidden="1">
      <c r="B329" s="151">
        <v>105</v>
      </c>
      <c r="C329" s="72" t="str">
        <f ca="1">IF(ISERROR(OFFSET('HARGA SATUAN'!$C$6,MATCH('REKAP MDU'!B329,'HARGA SATUAN'!$L$7:$L$1455,0),0)),"",OFFSET('HARGA SATUAN'!$C$6,MATCH('REKAP MDU'!B329,'HARGA SATUAN'!$L$7:$L$1455,0),0))</f>
        <v>Load Break Switch</v>
      </c>
      <c r="D329" s="72">
        <f ca="1">SUMIFS(RAB!$F$14:$F$79,RAB!$C$14:$C$79,C329)</f>
        <v>0</v>
      </c>
      <c r="E329" s="24">
        <f t="shared" ca="1" si="40"/>
        <v>0</v>
      </c>
      <c r="F329" s="24">
        <f ca="1">IF(D329=0,0,SUM($E$224:E329))</f>
        <v>0</v>
      </c>
    </row>
    <row r="330" spans="2:6" hidden="1">
      <c r="B330" s="23">
        <v>106</v>
      </c>
      <c r="C330" s="72" t="str">
        <f ca="1">IF(ISERROR(OFFSET('HARGA SATUAN'!$C$6,MATCH('REKAP MDU'!B330,'HARGA SATUAN'!$L$7:$L$1455,0),0)),"",OFFSET('HARGA SATUAN'!$C$6,MATCH('REKAP MDU'!B330,'HARGA SATUAN'!$L$7:$L$1455,0),0))</f>
        <v>Recloser</v>
      </c>
      <c r="D330" s="72">
        <f ca="1">SUMIFS(RAB!$F$14:$F$79,RAB!$C$14:$C$79,C330)</f>
        <v>0</v>
      </c>
      <c r="E330" s="24">
        <f t="shared" ca="1" si="40"/>
        <v>0</v>
      </c>
      <c r="F330" s="24">
        <f ca="1">IF(D330=0,0,SUM($E$224:E330))</f>
        <v>0</v>
      </c>
    </row>
    <row r="331" spans="2:6" hidden="1">
      <c r="B331" s="151">
        <v>107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Porcelein</v>
      </c>
      <c r="D331" s="72">
        <f ca="1">SUMIFS(RAB!$F$14:$F$79,RAB!$C$14:$C$79,C331)</f>
        <v>0</v>
      </c>
      <c r="E331" s="24">
        <f t="shared" ca="1" si="40"/>
        <v>0</v>
      </c>
      <c r="F331" s="24">
        <f ca="1">IF(D331=0,0,SUM($E$224:E331))</f>
        <v>0</v>
      </c>
    </row>
    <row r="332" spans="2:6" hidden="1">
      <c r="B332" s="23">
        <v>108</v>
      </c>
      <c r="C332" s="72" t="str">
        <f ca="1">IF(ISERROR(OFFSET('HARGA SATUAN'!$C$6,MATCH('REKAP MDU'!B332,'HARGA SATUAN'!$L$7:$L$1455,0),0)),"",OFFSET('HARGA SATUAN'!$C$6,MATCH('REKAP MDU'!B332,'HARGA SATUAN'!$L$7:$L$1455,0),0))</f>
        <v>Disconnecting Switch 20 KV - 630 A Polymer</v>
      </c>
      <c r="D332" s="72">
        <f ca="1">SUMIFS(RAB!$F$14:$F$79,RAB!$C$14:$C$79,C332)</f>
        <v>0</v>
      </c>
      <c r="E332" s="24">
        <f t="shared" ca="1" si="40"/>
        <v>0</v>
      </c>
      <c r="F332" s="24">
        <f ca="1">IF(D332=0,0,SUM($E$224:E332))</f>
        <v>0</v>
      </c>
    </row>
    <row r="333" spans="2:6" hidden="1">
      <c r="B333" s="151">
        <v>109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21 KV, 10 KA</v>
      </c>
      <c r="D333" s="72">
        <f ca="1">SUMIFS(RAB!$F$14:$F$79,RAB!$C$14:$C$79,C333)</f>
        <v>3</v>
      </c>
      <c r="E333" s="24">
        <f t="shared" ca="1" si="40"/>
        <v>1</v>
      </c>
      <c r="F333" s="24">
        <f ca="1">IF(D333=0,0,SUM($E$224:E333))</f>
        <v>4</v>
      </c>
    </row>
    <row r="334" spans="2:6" hidden="1">
      <c r="B334" s="23">
        <v>110</v>
      </c>
      <c r="C334" s="72" t="str">
        <f ca="1">IF(ISERROR(OFFSET('HARGA SATUAN'!$C$6,MATCH('REKAP MDU'!B334,'HARGA SATUAN'!$L$7:$L$1455,0),0)),"",OFFSET('HARGA SATUAN'!$C$6,MATCH('REKAP MDU'!B334,'HARGA SATUAN'!$L$7:$L$1455,0),0))</f>
        <v>Lightning Arester (Polymer) 24 KV, 10 KA</v>
      </c>
      <c r="D334" s="72">
        <f ca="1">SUMIFS(RAB!$F$14:$F$79,RAB!$C$14:$C$79,C334)</f>
        <v>0</v>
      </c>
      <c r="E334" s="24">
        <f t="shared" ca="1" si="40"/>
        <v>0</v>
      </c>
      <c r="F334" s="24">
        <f ca="1">IF(D334=0,0,SUM($E$224:E334))</f>
        <v>0</v>
      </c>
    </row>
    <row r="335" spans="2:6" hidden="1">
      <c r="B335" s="151">
        <v>111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Pin Post ) 20 KV Porcelein</v>
      </c>
      <c r="D335" s="72">
        <f ca="1">SUMIFS(RAB!$F$14:$F$79,RAB!$C$14:$C$79,C335)</f>
        <v>0</v>
      </c>
      <c r="E335" s="24">
        <f t="shared" ca="1" si="40"/>
        <v>0</v>
      </c>
      <c r="F335" s="24">
        <f ca="1">IF(D335=0,0,SUM($E$224:E335))</f>
        <v>0</v>
      </c>
    </row>
    <row r="336" spans="2:6" hidden="1">
      <c r="B336" s="23">
        <v>112</v>
      </c>
      <c r="C336" s="72" t="str">
        <f ca="1">IF(ISERROR(OFFSET('HARGA SATUAN'!$C$6,MATCH('REKAP MDU'!B336,'HARGA SATUAN'!$L$7:$L$1455,0),0)),"",OFFSET('HARGA SATUAN'!$C$6,MATCH('REKAP MDU'!B336,'HARGA SATUAN'!$L$7:$L$1455,0),0))</f>
        <v>Isolator Tumpu ( Line Post ) 20 KV Polymer</v>
      </c>
      <c r="D336" s="72">
        <f ca="1">SUMIFS(RAB!$F$14:$F$79,RAB!$C$14:$C$79,C336)</f>
        <v>0</v>
      </c>
      <c r="E336" s="24">
        <f t="shared" ca="1" si="40"/>
        <v>0</v>
      </c>
      <c r="F336" s="24">
        <f ca="1">IF(D336=0,0,SUM($E$224:E336))</f>
        <v>0</v>
      </c>
    </row>
    <row r="337" spans="2:6" hidden="1">
      <c r="B337" s="151">
        <v>113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Strainkap Porcelain ) 20 KV</v>
      </c>
      <c r="D337" s="72">
        <f ca="1">SUMIFS(RAB!$F$14:$F$79,RAB!$C$14:$C$79,C337)</f>
        <v>0</v>
      </c>
      <c r="E337" s="24">
        <f t="shared" ca="1" si="40"/>
        <v>0</v>
      </c>
      <c r="F337" s="24">
        <f ca="1">IF(D337=0,0,SUM($E$224:E337))</f>
        <v>0</v>
      </c>
    </row>
    <row r="338" spans="2:6" hidden="1">
      <c r="B338" s="23">
        <v>114</v>
      </c>
      <c r="C338" s="72" t="str">
        <f ca="1">IF(ISERROR(OFFSET('HARGA SATUAN'!$C$6,MATCH('REKAP MDU'!B338,'HARGA SATUAN'!$L$7:$L$1455,0),0)),"",OFFSET('HARGA SATUAN'!$C$6,MATCH('REKAP MDU'!B338,'HARGA SATUAN'!$L$7:$L$1455,0),0))</f>
        <v>Isolator Tarik ( Suspension Polymer ) 20 KV</v>
      </c>
      <c r="D338" s="72">
        <f ca="1">SUMIFS(RAB!$F$14:$F$79,RAB!$C$14:$C$79,C338)</f>
        <v>0</v>
      </c>
      <c r="E338" s="24">
        <f t="shared" ca="1" si="40"/>
        <v>0</v>
      </c>
      <c r="F338" s="24">
        <f ca="1">IF(D338=0,0,SUM($E$224:E338))</f>
        <v>0</v>
      </c>
    </row>
    <row r="339" spans="2:6" hidden="1">
      <c r="B339" s="151">
        <v>115</v>
      </c>
      <c r="C339" s="72" t="str">
        <f ca="1">IF(ISERROR(OFFSET('HARGA SATUAN'!$C$6,MATCH('REKAP MDU'!B339,'HARGA SATUAN'!$L$7:$L$1455,0),0)),"",OFFSET('HARGA SATUAN'!$C$6,MATCH('REKAP MDU'!B339,'HARGA SATUAN'!$L$7:$L$1455,0),0))</f>
        <v>AAAC 70 mm²</v>
      </c>
      <c r="D339" s="72">
        <f ca="1">SUMIFS(RAB!$F$14:$F$79,RAB!$C$14:$C$79,C339)</f>
        <v>9</v>
      </c>
      <c r="E339" s="24">
        <f t="shared" ca="1" si="40"/>
        <v>1</v>
      </c>
      <c r="F339" s="24">
        <f ca="1">IF(D339=0,0,SUM($E$224:E339))</f>
        <v>5</v>
      </c>
    </row>
    <row r="340" spans="2:6" hidden="1">
      <c r="B340" s="23">
        <v>116</v>
      </c>
      <c r="C340" s="72" t="str">
        <f ca="1">IF(ISERROR(OFFSET('HARGA SATUAN'!$C$6,MATCH('REKAP MDU'!B340,'HARGA SATUAN'!$L$7:$L$1455,0),0)),"",OFFSET('HARGA SATUAN'!$C$6,MATCH('REKAP MDU'!B340,'HARGA SATUAN'!$L$7:$L$1455,0),0))</f>
        <v>AAAC 150 mm²</v>
      </c>
      <c r="D340" s="72">
        <f ca="1">SUMIFS(RAB!$F$14:$F$79,RAB!$C$14:$C$79,C340)</f>
        <v>0</v>
      </c>
      <c r="E340" s="24">
        <f t="shared" ca="1" si="40"/>
        <v>0</v>
      </c>
      <c r="F340" s="24">
        <f ca="1">IF(D340=0,0,SUM($E$224:E340))</f>
        <v>0</v>
      </c>
    </row>
    <row r="341" spans="2:6" hidden="1">
      <c r="B341" s="151">
        <v>117</v>
      </c>
      <c r="C341" s="72" t="str">
        <f ca="1">IF(ISERROR(OFFSET('HARGA SATUAN'!$C$6,MATCH('REKAP MDU'!B341,'HARGA SATUAN'!$L$7:$L$1455,0),0)),"",OFFSET('HARGA SATUAN'!$C$6,MATCH('REKAP MDU'!B341,'HARGA SATUAN'!$L$7:$L$1455,0),0))</f>
        <v>AAAC 240 mm²</v>
      </c>
      <c r="D341" s="72">
        <f ca="1">SUMIFS(RAB!$F$14:$F$79,RAB!$C$14:$C$79,C341)</f>
        <v>0</v>
      </c>
      <c r="E341" s="24">
        <f t="shared" ca="1" si="40"/>
        <v>0</v>
      </c>
      <c r="F341" s="24">
        <f ca="1">IF(D341=0,0,SUM($E$224:E341))</f>
        <v>0</v>
      </c>
    </row>
    <row r="342" spans="2:6" hidden="1">
      <c r="B342" s="23">
        <v>118</v>
      </c>
      <c r="C342" s="72" t="str">
        <f ca="1">IF(ISERROR(OFFSET('HARGA SATUAN'!$C$6,MATCH('REKAP MDU'!B342,'HARGA SATUAN'!$L$7:$L$1455,0),0)),"",OFFSET('HARGA SATUAN'!$C$6,MATCH('REKAP MDU'!B342,'HARGA SATUAN'!$L$7:$L$1455,0),0))</f>
        <v>AAAC/S 70 mm²</v>
      </c>
      <c r="D342" s="72">
        <f ca="1">SUMIFS(RAB!$F$14:$F$79,RAB!$C$14:$C$79,C342)</f>
        <v>0</v>
      </c>
      <c r="E342" s="24">
        <f t="shared" ca="1" si="40"/>
        <v>0</v>
      </c>
      <c r="F342" s="24">
        <f ca="1">IF(D342=0,0,SUM($E$224:E342))</f>
        <v>0</v>
      </c>
    </row>
    <row r="343" spans="2:6" hidden="1">
      <c r="B343" s="151">
        <v>119</v>
      </c>
      <c r="C343" s="72" t="str">
        <f ca="1">IF(ISERROR(OFFSET('HARGA SATUAN'!$C$6,MATCH('REKAP MDU'!B343,'HARGA SATUAN'!$L$7:$L$1455,0),0)),"",OFFSET('HARGA SATUAN'!$C$6,MATCH('REKAP MDU'!B343,'HARGA SATUAN'!$L$7:$L$1455,0),0))</f>
        <v>AAAC/S 150 mm²</v>
      </c>
      <c r="D343" s="72">
        <f ca="1">SUMIFS(RAB!$F$14:$F$79,RAB!$C$14:$C$79,C343)</f>
        <v>0</v>
      </c>
      <c r="E343" s="24">
        <f t="shared" ca="1" si="40"/>
        <v>0</v>
      </c>
      <c r="F343" s="24">
        <f ca="1">IF(D343=0,0,SUM($E$224:E343))</f>
        <v>0</v>
      </c>
    </row>
    <row r="344" spans="2:6" hidden="1">
      <c r="B344" s="23">
        <v>120</v>
      </c>
      <c r="C344" s="72" t="str">
        <f ca="1">IF(ISERROR(OFFSET('HARGA SATUAN'!$C$6,MATCH('REKAP MDU'!B344,'HARGA SATUAN'!$L$7:$L$1455,0),0)),"",OFFSET('HARGA SATUAN'!$C$6,MATCH('REKAP MDU'!B344,'HARGA SATUAN'!$L$7:$L$1455,0),0))</f>
        <v>AAAC/S 240 mm²</v>
      </c>
      <c r="D344" s="72">
        <f ca="1">SUMIFS(RAB!$F$14:$F$79,RAB!$C$14:$C$79,C344)</f>
        <v>0</v>
      </c>
      <c r="E344" s="24">
        <f t="shared" ca="1" si="40"/>
        <v>0</v>
      </c>
      <c r="F344" s="24">
        <f ca="1">IF(D344=0,0,SUM($E$224:E344))</f>
        <v>0</v>
      </c>
    </row>
    <row r="345" spans="2:6" hidden="1">
      <c r="B345" s="151">
        <v>121</v>
      </c>
      <c r="C345" s="72" t="str">
        <f ca="1">IF(ISERROR(OFFSET('HARGA SATUAN'!$C$6,MATCH('REKAP MDU'!B345,'HARGA SATUAN'!$L$7:$L$1455,0),0)),"",OFFSET('HARGA SATUAN'!$C$6,MATCH('REKAP MDU'!B345,'HARGA SATUAN'!$L$7:$L$1455,0),0))</f>
        <v>NFA2X-T 2 x 70 + N 70 mm²</v>
      </c>
      <c r="D345" s="72">
        <f ca="1">SUMIFS(RAB!$F$14:$F$79,RAB!$C$14:$C$79,C345)</f>
        <v>0</v>
      </c>
      <c r="E345" s="24">
        <f t="shared" ca="1" si="40"/>
        <v>0</v>
      </c>
      <c r="F345" s="24">
        <f ca="1">IF(D345=0,0,SUM($E$224:E345))</f>
        <v>0</v>
      </c>
    </row>
    <row r="346" spans="2:6" hidden="1">
      <c r="B346" s="23">
        <v>122</v>
      </c>
      <c r="C346" s="72" t="str">
        <f ca="1">IF(ISERROR(OFFSET('HARGA SATUAN'!$C$6,MATCH('REKAP MDU'!B346,'HARGA SATUAN'!$L$7:$L$1455,0),0)),"",OFFSET('HARGA SATUAN'!$C$6,MATCH('REKAP MDU'!B346,'HARGA SATUAN'!$L$7:$L$1455,0),0))</f>
        <v>NFA2X-T 3x35+1x35</v>
      </c>
      <c r="D346" s="72">
        <f ca="1">SUMIFS(RAB!$F$14:$F$79,RAB!$C$14:$C$79,C346)</f>
        <v>0</v>
      </c>
      <c r="E346" s="24">
        <f t="shared" ca="1" si="40"/>
        <v>0</v>
      </c>
      <c r="F346" s="24">
        <f ca="1">IF(D346=0,0,SUM($E$224:E346))</f>
        <v>0</v>
      </c>
    </row>
    <row r="347" spans="2:6" hidden="1">
      <c r="B347" s="151">
        <v>123</v>
      </c>
      <c r="C347" s="72" t="str">
        <f ca="1">IF(ISERROR(OFFSET('HARGA SATUAN'!$C$6,MATCH('REKAP MDU'!B347,'HARGA SATUAN'!$L$7:$L$1455,0),0)),"",OFFSET('HARGA SATUAN'!$C$6,MATCH('REKAP MDU'!B347,'HARGA SATUAN'!$L$7:$L$1455,0),0))</f>
        <v>NFA2X-T 3x70+1x70</v>
      </c>
      <c r="D347" s="72">
        <f ca="1">SUMIFS(RAB!$F$14:$F$79,RAB!$C$14:$C$79,C347)</f>
        <v>3</v>
      </c>
      <c r="E347" s="24">
        <f t="shared" ca="1" si="40"/>
        <v>1</v>
      </c>
      <c r="F347" s="24">
        <f ca="1">IF(D347=0,0,SUM($E$224:E347))</f>
        <v>6</v>
      </c>
    </row>
    <row r="348" spans="2:6" hidden="1">
      <c r="B348" s="23">
        <v>124</v>
      </c>
      <c r="C348" s="72" t="str">
        <f ca="1">IF(ISERROR(OFFSET('HARGA SATUAN'!$C$6,MATCH('REKAP MDU'!B348,'HARGA SATUAN'!$L$7:$L$1455,0),0)),"",OFFSET('HARGA SATUAN'!$C$6,MATCH('REKAP MDU'!B348,'HARGA SATUAN'!$L$7:$L$1455,0),0))</f>
        <v>NFA2X 2 x 10 mm²</v>
      </c>
      <c r="D348" s="72">
        <f ca="1">SUMIFS(RAB!$F$14:$F$79,RAB!$C$14:$C$79,C348)</f>
        <v>0</v>
      </c>
      <c r="E348" s="24">
        <f t="shared" ca="1" si="40"/>
        <v>0</v>
      </c>
      <c r="F348" s="24">
        <f ca="1">IF(D348=0,0,SUM($E$224:E348))</f>
        <v>0</v>
      </c>
    </row>
    <row r="349" spans="2:6" hidden="1">
      <c r="B349" s="151">
        <v>125</v>
      </c>
      <c r="C349" s="72" t="str">
        <f ca="1">IF(ISERROR(OFFSET('HARGA SATUAN'!$C$6,MATCH('REKAP MDU'!B349,'HARGA SATUAN'!$L$7:$L$1455,0),0)),"",OFFSET('HARGA SATUAN'!$C$6,MATCH('REKAP MDU'!B349,'HARGA SATUAN'!$L$7:$L$1455,0),0))</f>
        <v>NFA2X 2 x 16 mm²</v>
      </c>
      <c r="D349" s="72">
        <f ca="1">SUMIFS(RAB!$F$14:$F$79,RAB!$C$14:$C$79,C349)</f>
        <v>0</v>
      </c>
      <c r="E349" s="24">
        <f t="shared" ca="1" si="40"/>
        <v>0</v>
      </c>
      <c r="F349" s="24">
        <f ca="1">IF(D349=0,0,SUM($E$224:E349))</f>
        <v>0</v>
      </c>
    </row>
    <row r="350" spans="2:6" hidden="1">
      <c r="B350" s="23">
        <v>126</v>
      </c>
      <c r="C350" s="72" t="str">
        <f ca="1">IF(ISERROR(OFFSET('HARGA SATUAN'!$C$6,MATCH('REKAP MDU'!B350,'HARGA SATUAN'!$L$7:$L$1455,0),0)),"",OFFSET('HARGA SATUAN'!$C$6,MATCH('REKAP MDU'!B350,'HARGA SATUAN'!$L$7:$L$1455,0),0))</f>
        <v>NFA2X 4 x 16 mm²</v>
      </c>
      <c r="D350" s="72">
        <f ca="1">SUMIFS(RAB!$F$14:$F$79,RAB!$C$14:$C$79,C350)</f>
        <v>35</v>
      </c>
      <c r="E350" s="24">
        <f t="shared" ca="1" si="40"/>
        <v>1</v>
      </c>
      <c r="F350" s="24">
        <f ca="1">IF(D350=0,0,SUM($E$224:E350))</f>
        <v>7</v>
      </c>
    </row>
    <row r="351" spans="2:6" hidden="1">
      <c r="B351" s="151">
        <v>127</v>
      </c>
      <c r="C351" s="72" t="str">
        <f ca="1">IF(ISERROR(OFFSET('HARGA SATUAN'!$C$6,MATCH('REKAP MDU'!B351,'HARGA SATUAN'!$L$7:$L$1455,0),0)),"",OFFSET('HARGA SATUAN'!$C$6,MATCH('REKAP MDU'!B351,'HARGA SATUAN'!$L$7:$L$1455,0),0))</f>
        <v>NFA2X 4 x 70 mm²</v>
      </c>
      <c r="D351" s="72">
        <f ca="1">SUMIFS(RAB!$F$14:$F$79,RAB!$C$14:$C$79,C351)</f>
        <v>0</v>
      </c>
      <c r="E351" s="24">
        <f t="shared" ca="1" si="40"/>
        <v>0</v>
      </c>
      <c r="F351" s="24">
        <f ca="1">IF(D351=0,0,SUM($E$224:E351))</f>
        <v>0</v>
      </c>
    </row>
    <row r="352" spans="2:6" hidden="1">
      <c r="B352" s="23">
        <v>128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70 mm²</v>
      </c>
      <c r="D352" s="72">
        <f ca="1">SUMIFS(RAB!$F$14:$F$79,RAB!$C$14:$C$79,C352)</f>
        <v>0</v>
      </c>
      <c r="E352" s="24">
        <f t="shared" ca="1" si="40"/>
        <v>0</v>
      </c>
      <c r="F352" s="24">
        <f ca="1">IF(D352=0,0,SUM($E$224:E352))</f>
        <v>0</v>
      </c>
    </row>
    <row r="353" spans="2:6" hidden="1">
      <c r="B353" s="151">
        <v>129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95 mm²</v>
      </c>
      <c r="D353" s="72">
        <f ca="1">SUMIFS(RAB!$F$14:$F$79,RAB!$C$14:$C$79,C353)</f>
        <v>0</v>
      </c>
      <c r="E353" s="24">
        <f t="shared" ca="1" si="40"/>
        <v>0</v>
      </c>
      <c r="F353" s="24">
        <f ca="1">IF(D353=0,0,SUM($E$224:E353))</f>
        <v>0</v>
      </c>
    </row>
    <row r="354" spans="2:6" hidden="1">
      <c r="B354" s="23">
        <v>130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150 mm²</v>
      </c>
      <c r="D354" s="72">
        <f ca="1">SUMIFS(RAB!$F$14:$F$79,RAB!$C$14:$C$79,C354)</f>
        <v>0</v>
      </c>
      <c r="E354" s="24">
        <f t="shared" ref="E354:E374" ca="1" si="41">IF(D354=0,0,1)</f>
        <v>0</v>
      </c>
      <c r="F354" s="24">
        <f ca="1">IF(D354=0,0,SUM($E$224:E354))</f>
        <v>0</v>
      </c>
    </row>
    <row r="355" spans="2:6" hidden="1">
      <c r="B355" s="151">
        <v>131</v>
      </c>
      <c r="C355" s="72" t="str">
        <f ca="1">IF(ISERROR(OFFSET('HARGA SATUAN'!$C$6,MATCH('REKAP MDU'!B355,'HARGA SATUAN'!$L$7:$L$1455,0),0)),"",OFFSET('HARGA SATUAN'!$C$6,MATCH('REKAP MDU'!B355,'HARGA SATUAN'!$L$7:$L$1455,0),0))</f>
        <v>Kabel NYY 1 x 240 mm²</v>
      </c>
      <c r="D355" s="72">
        <f ca="1">SUMIFS(RAB!$F$14:$F$79,RAB!$C$14:$C$79,C355)</f>
        <v>0</v>
      </c>
      <c r="E355" s="24">
        <f t="shared" ca="1" si="41"/>
        <v>0</v>
      </c>
      <c r="F355" s="24">
        <f ca="1">IF(D355=0,0,SUM($E$224:E355))</f>
        <v>0</v>
      </c>
    </row>
    <row r="356" spans="2:6" hidden="1">
      <c r="B356" s="23">
        <v>132</v>
      </c>
      <c r="C356" s="72" t="str">
        <f ca="1">IF(ISERROR(OFFSET('HARGA SATUAN'!$C$6,MATCH('REKAP MDU'!B356,'HARGA SATUAN'!$L$7:$L$1455,0),0)),"",OFFSET('HARGA SATUAN'!$C$6,MATCH('REKAP MDU'!B356,'HARGA SATUAN'!$L$7:$L$1455,0),0))</f>
        <v>Kabel NYY 4 x 70 mm²</v>
      </c>
      <c r="D356" s="72">
        <f ca="1">SUMIFS(RAB!$F$14:$F$79,RAB!$C$14:$C$79,C356)</f>
        <v>0</v>
      </c>
      <c r="E356" s="24">
        <f t="shared" ca="1" si="41"/>
        <v>0</v>
      </c>
      <c r="F356" s="24">
        <f ca="1">IF(D356=0,0,SUM($E$224:E356))</f>
        <v>0</v>
      </c>
    </row>
    <row r="357" spans="2:6" hidden="1">
      <c r="B357" s="151">
        <v>133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150 mm²</v>
      </c>
      <c r="D357" s="72">
        <f ca="1">SUMIFS(RAB!$F$14:$F$79,RAB!$C$14:$C$79,C357)</f>
        <v>0</v>
      </c>
      <c r="E357" s="24">
        <f t="shared" ca="1" si="41"/>
        <v>0</v>
      </c>
      <c r="F357" s="24">
        <f ca="1">IF(D357=0,0,SUM($E$224:E357))</f>
        <v>0</v>
      </c>
    </row>
    <row r="358" spans="2:6" hidden="1">
      <c r="B358" s="23">
        <v>134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240 mm²</v>
      </c>
      <c r="D358" s="72">
        <f ca="1">SUMIFS(RAB!$F$14:$F$79,RAB!$C$14:$C$79,C358)</f>
        <v>0</v>
      </c>
      <c r="E358" s="24">
        <f t="shared" ca="1" si="41"/>
        <v>0</v>
      </c>
      <c r="F358" s="24">
        <f ca="1">IF(D358=0,0,SUM($E$224:E358))</f>
        <v>0</v>
      </c>
    </row>
    <row r="359" spans="2:6" hidden="1">
      <c r="B359" s="151">
        <v>135</v>
      </c>
      <c r="C359" s="72" t="str">
        <f ca="1">IF(ISERROR(OFFSET('HARGA SATUAN'!$C$6,MATCH('REKAP MDU'!B359,'HARGA SATUAN'!$L$7:$L$1455,0),0)),"",OFFSET('HARGA SATUAN'!$C$6,MATCH('REKAP MDU'!B359,'HARGA SATUAN'!$L$7:$L$1455,0),0))</f>
        <v>Kabel NA2XSEYBY 20 KV, 3 x 300 mm²</v>
      </c>
      <c r="D359" s="72">
        <f ca="1">SUMIFS(RAB!$F$14:$F$79,RAB!$C$14:$C$79,C359)</f>
        <v>0</v>
      </c>
      <c r="E359" s="24">
        <f t="shared" ca="1" si="41"/>
        <v>0</v>
      </c>
      <c r="F359" s="24">
        <f ca="1">IF(D359=0,0,SUM($E$224:E359))</f>
        <v>0</v>
      </c>
    </row>
    <row r="360" spans="2:6" hidden="1">
      <c r="B360" s="23">
        <v>136</v>
      </c>
      <c r="C360" s="72" t="str">
        <f ca="1">IF(ISERROR(OFFSET('HARGA SATUAN'!$C$6,MATCH('REKAP MDU'!B360,'HARGA SATUAN'!$L$7:$L$1455,0),0)),"",OFFSET('HARGA SATUAN'!$C$6,MATCH('REKAP MDU'!B360,'HARGA SATUAN'!$L$7:$L$1455,0),0))</f>
        <v>MVTIC 3 x 150 + N 95 mm²</v>
      </c>
      <c r="D360" s="72">
        <f ca="1">SUMIFS(RAB!$F$14:$F$79,RAB!$C$14:$C$79,C360)</f>
        <v>0</v>
      </c>
      <c r="E360" s="24">
        <f t="shared" ca="1" si="41"/>
        <v>0</v>
      </c>
      <c r="F360" s="24">
        <f ca="1">IF(D360=0,0,SUM($E$224:E360))</f>
        <v>0</v>
      </c>
    </row>
    <row r="361" spans="2:6" hidden="1">
      <c r="B361" s="151">
        <v>137</v>
      </c>
      <c r="C361" s="72" t="str">
        <f ca="1">IF(ISERROR(OFFSET('HARGA SATUAN'!$C$6,MATCH('REKAP MDU'!B361,'HARGA SATUAN'!$L$7:$L$1455,0),0)),"",OFFSET('HARGA SATUAN'!$C$6,MATCH('REKAP MDU'!B361,'HARGA SATUAN'!$L$7:$L$1455,0),0))</f>
        <v>MVTIC 3 x 240 + N 95 mm²</v>
      </c>
      <c r="D361" s="72">
        <f ca="1">SUMIFS(RAB!$F$14:$F$79,RAB!$C$14:$C$79,C361)</f>
        <v>0</v>
      </c>
      <c r="E361" s="24">
        <f t="shared" ca="1" si="41"/>
        <v>0</v>
      </c>
      <c r="F361" s="24">
        <f ca="1">IF(D361=0,0,SUM($E$224:E361))</f>
        <v>0</v>
      </c>
    </row>
    <row r="362" spans="2:6" hidden="1">
      <c r="B362" s="23">
        <v>138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SUMIFS(RAB!$F$14:$F$79,RAB!$C$14:$C$79,C362)</f>
        <v>0</v>
      </c>
      <c r="E362" s="24">
        <f t="shared" ca="1" si="41"/>
        <v>0</v>
      </c>
      <c r="F362" s="24">
        <f ca="1">IF(D362=0,0,SUM($E$224:E362))</f>
        <v>0</v>
      </c>
    </row>
    <row r="363" spans="2:6" hidden="1">
      <c r="B363" s="151">
        <v>139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SUMIFS(RAB!$F$14:$F$79,RAB!$C$14:$C$79,C363)</f>
        <v>0</v>
      </c>
      <c r="E363" s="24">
        <f t="shared" ca="1" si="41"/>
        <v>0</v>
      </c>
      <c r="F363" s="24">
        <f ca="1">IF(D363=0,0,SUM($E$224:E363))</f>
        <v>0</v>
      </c>
    </row>
    <row r="364" spans="2:6" hidden="1">
      <c r="B364" s="23">
        <v>140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SUMIFS(RAB!$F$14:$F$79,RAB!$C$14:$C$79,C364)</f>
        <v>0</v>
      </c>
      <c r="E364" s="24">
        <f t="shared" ca="1" si="41"/>
        <v>0</v>
      </c>
      <c r="F364" s="24">
        <f ca="1">IF(D364=0,0,SUM($E$224:E364))</f>
        <v>0</v>
      </c>
    </row>
    <row r="365" spans="2:6" hidden="1">
      <c r="B365" s="151">
        <v>141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SUMIFS(RAB!$F$14:$F$79,RAB!$C$14:$C$79,C365)</f>
        <v>0</v>
      </c>
      <c r="E365" s="24">
        <f t="shared" ca="1" si="41"/>
        <v>0</v>
      </c>
      <c r="F365" s="24">
        <f ca="1">IF(D365=0,0,SUM($E$224:E365))</f>
        <v>0</v>
      </c>
    </row>
    <row r="366" spans="2:6" hidden="1">
      <c r="B366" s="23">
        <v>142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SUMIFS(RAB!$F$14:$F$79,RAB!$C$14:$C$79,C366)</f>
        <v>0</v>
      </c>
      <c r="E366" s="24">
        <f t="shared" ca="1" si="41"/>
        <v>0</v>
      </c>
      <c r="F366" s="24">
        <f ca="1">IF(D366=0,0,SUM($E$224:E366))</f>
        <v>0</v>
      </c>
    </row>
    <row r="367" spans="2:6" hidden="1">
      <c r="B367" s="151">
        <v>143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SUMIFS(RAB!$F$14:$F$79,RAB!$C$14:$C$79,C367)</f>
        <v>0</v>
      </c>
      <c r="E367" s="24">
        <f t="shared" ca="1" si="41"/>
        <v>0</v>
      </c>
      <c r="F367" s="24">
        <f ca="1">IF(D367=0,0,SUM($E$224:E367))</f>
        <v>0</v>
      </c>
    </row>
    <row r="368" spans="2:6" hidden="1">
      <c r="B368" s="23">
        <v>144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SUMIFS(RAB!$F$14:$F$79,RAB!$C$14:$C$79,C368)</f>
        <v>0</v>
      </c>
      <c r="E368" s="24">
        <f t="shared" ca="1" si="41"/>
        <v>0</v>
      </c>
      <c r="F368" s="24">
        <f ca="1">IF(D368=0,0,SUM($E$224:E368))</f>
        <v>0</v>
      </c>
    </row>
    <row r="369" spans="2:6" hidden="1">
      <c r="B369" s="151">
        <v>145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SUMIFS(RAB!$F$14:$F$79,RAB!$C$14:$C$79,C369)</f>
        <v>0</v>
      </c>
      <c r="E369" s="24">
        <f t="shared" ca="1" si="41"/>
        <v>0</v>
      </c>
      <c r="F369" s="24">
        <f ca="1">IF(D369=0,0,SUM($E$224:E369))</f>
        <v>0</v>
      </c>
    </row>
    <row r="370" spans="2:6" hidden="1">
      <c r="B370" s="23">
        <v>146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SUMIFS(RAB!$F$14:$F$79,RAB!$C$14:$C$79,C370)</f>
        <v>0</v>
      </c>
      <c r="E370" s="24">
        <f t="shared" ca="1" si="41"/>
        <v>0</v>
      </c>
      <c r="F370" s="24">
        <f ca="1">IF(D370=0,0,SUM($E$224:E370))</f>
        <v>0</v>
      </c>
    </row>
    <row r="371" spans="2:6" hidden="1">
      <c r="B371" s="151">
        <v>147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SUMIFS(RAB!$F$14:$F$79,RAB!$C$14:$C$79,C371)</f>
        <v>0</v>
      </c>
      <c r="E371" s="24">
        <f t="shared" ca="1" si="41"/>
        <v>0</v>
      </c>
      <c r="F371" s="24">
        <f ca="1">IF(D371=0,0,SUM($E$224:E371))</f>
        <v>0</v>
      </c>
    </row>
    <row r="372" spans="2:6" hidden="1">
      <c r="B372" s="23">
        <v>148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SUMIFS(RAB!$F$14:$F$79,RAB!$C$14:$C$79,C372)</f>
        <v>0</v>
      </c>
      <c r="E372" s="24">
        <f t="shared" ca="1" si="41"/>
        <v>0</v>
      </c>
      <c r="F372" s="24">
        <f ca="1">IF(D372=0,0,SUM($E$224:E372))</f>
        <v>0</v>
      </c>
    </row>
    <row r="373" spans="2:6" hidden="1">
      <c r="B373" s="151">
        <v>149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SUMIFS(RAB!$F$14:$F$79,RAB!$C$14:$C$79,C373)</f>
        <v>0</v>
      </c>
      <c r="E373" s="24">
        <f t="shared" ca="1" si="41"/>
        <v>0</v>
      </c>
      <c r="F373" s="24">
        <f ca="1">IF(D373=0,0,SUM($E$224:E373))</f>
        <v>0</v>
      </c>
    </row>
    <row r="374" spans="2:6" hidden="1">
      <c r="B374" s="23">
        <v>150</v>
      </c>
      <c r="C374" s="72" t="str">
        <f ca="1">IF(ISERROR(OFFSET('HARGA SATUAN'!$C$6,MATCH('REKAP MDU'!B374,'HARGA SATUAN'!$L$7:$L$1455,0),0)),"",OFFSET('HARGA SATUAN'!$C$6,MATCH('REKAP MDU'!B374,'HARGA SATUAN'!$L$7:$L$1455,0),0))</f>
        <v/>
      </c>
      <c r="D374" s="72">
        <f ca="1">SUMIFS(RAB!$F$14:$F$79,RAB!$C$14:$C$79,C374)</f>
        <v>0</v>
      </c>
      <c r="E374" s="24">
        <f t="shared" ca="1" si="41"/>
        <v>0</v>
      </c>
      <c r="F374" s="24">
        <f ca="1">IF(D374=0,0,SUM($E$224:E374))</f>
        <v>0</v>
      </c>
    </row>
    <row r="375" spans="2:6" hidden="1"/>
    <row r="376" spans="2:6" hidden="1"/>
  </sheetData>
  <sheetProtection sort="0" autoFilter="0"/>
  <autoFilter ref="B14:K167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3:K183"/>
    <mergeCell ref="H177:K177"/>
    <mergeCell ref="H178:K178"/>
    <mergeCell ref="I12:I13"/>
    <mergeCell ref="J12:J13"/>
    <mergeCell ref="K12:K13"/>
    <mergeCell ref="C169:F169"/>
    <mergeCell ref="C170:F170"/>
    <mergeCell ref="C171:F171"/>
    <mergeCell ref="B172:K173"/>
    <mergeCell ref="H176:K176"/>
  </mergeCells>
  <conditionalFormatting sqref="E172:E224 E168:F168 H168:K168 N13 H12:I12 F14:F15 R14:T116 E1:E3 G375:G65537 E375:E65537 G226:G323 G167:G224 E167:K167 R167:T167 E6:E15 H14:K16 G1:G16 G17:K116">
    <cfRule type="cellIs" dxfId="107" priority="43" stopIfTrue="1" operator="equal">
      <formula>0</formula>
    </cfRule>
  </conditionalFormatting>
  <conditionalFormatting sqref="G324:G374">
    <cfRule type="cellIs" dxfId="106" priority="14" stopIfTrue="1" operator="equal">
      <formula>0</formula>
    </cfRule>
  </conditionalFormatting>
  <conditionalFormatting sqref="D225:D374">
    <cfRule type="cellIs" dxfId="105" priority="13" operator="equal">
      <formula>0</formula>
    </cfRule>
  </conditionalFormatting>
  <conditionalFormatting sqref="B117:B166">
    <cfRule type="cellIs" dxfId="104" priority="5" operator="equal">
      <formula>0</formula>
    </cfRule>
  </conditionalFormatting>
  <conditionalFormatting sqref="R117:T166 G117:K166">
    <cfRule type="cellIs" dxfId="103" priority="6" stopIfTrue="1" operator="equal">
      <formula>0</formula>
    </cfRule>
  </conditionalFormatting>
  <conditionalFormatting sqref="G225">
    <cfRule type="cellIs" dxfId="102" priority="10" operator="equal">
      <formula>0</formula>
    </cfRule>
  </conditionalFormatting>
  <conditionalFormatting sqref="E225:E374">
    <cfRule type="cellIs" dxfId="101" priority="9" stopIfTrue="1" operator="equal">
      <formula>0</formula>
    </cfRule>
  </conditionalFormatting>
  <conditionalFormatting sqref="E225:F374">
    <cfRule type="cellIs" dxfId="100" priority="8" operator="equal">
      <formula>0</formula>
    </cfRule>
  </conditionalFormatting>
  <conditionalFormatting sqref="B167 B16:B116">
    <cfRule type="cellIs" dxfId="99" priority="7" operator="equal">
      <formula>0</formula>
    </cfRule>
  </conditionalFormatting>
  <conditionalFormatting sqref="C16:C166">
    <cfRule type="cellIs" dxfId="98" priority="4" stopIfTrue="1" operator="equal">
      <formula>0</formula>
    </cfRule>
  </conditionalFormatting>
  <conditionalFormatting sqref="C16:C166">
    <cfRule type="cellIs" dxfId="97" priority="3" operator="equal">
      <formula>0</formula>
    </cfRule>
  </conditionalFormatting>
  <conditionalFormatting sqref="D16:D166">
    <cfRule type="cellIs" dxfId="96" priority="2" operator="equal">
      <formula>0</formula>
    </cfRule>
  </conditionalFormatting>
  <conditionalFormatting sqref="E16:E166">
    <cfRule type="cellIs" dxfId="95" priority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8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5"/>
    </row>
    <row r="4" spans="4:4" ht="57" customHeight="1">
      <c r="D4" s="465">
        <v>3</v>
      </c>
    </row>
    <row r="5" spans="4:4" ht="57" customHeight="1">
      <c r="D5" s="46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1609</v>
      </c>
      <c r="G4" s="108" t="s">
        <v>1608</v>
      </c>
      <c r="H4" s="55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3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3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4">
        <v>2740</v>
      </c>
      <c r="G1433" s="49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5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5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5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5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5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D6:K6 D1:IV5 N6:IV6 D7:IV7 Q121:IV1454 J108:P1454 Q108:IV117 I108:I117 A108:A117 A1:C7 I9:IV106 I121:I1404 A1495:XFD65536 H1455:IV1457 H1434:I1454 A8:A106 H8:IV8 A121:A1493 H1458:XFD1485 H1486:H1493 A1494:H1494 I1486:XFD1494">
    <cfRule type="cellIs" dxfId="94" priority="163" operator="equal">
      <formula>0</formula>
    </cfRule>
  </conditionalFormatting>
  <conditionalFormatting sqref="M6">
    <cfRule type="cellIs" dxfId="93" priority="140" operator="equal">
      <formula>0</formula>
    </cfRule>
  </conditionalFormatting>
  <conditionalFormatting sqref="A118:A120 I118:I120 Q118:IV120">
    <cfRule type="cellIs" dxfId="92" priority="139" operator="equal">
      <formula>0</formula>
    </cfRule>
  </conditionalFormatting>
  <conditionalFormatting sqref="A107 I107:IV107">
    <cfRule type="cellIs" dxfId="91" priority="138" operator="equal">
      <formula>0</formula>
    </cfRule>
  </conditionalFormatting>
  <conditionalFormatting sqref="H108:H117 H9:H106 H250:H1404 H121:H246">
    <cfRule type="cellIs" dxfId="90" priority="134" operator="equal">
      <formula>0</formula>
    </cfRule>
  </conditionalFormatting>
  <conditionalFormatting sqref="H118:H120">
    <cfRule type="cellIs" dxfId="89" priority="133" operator="equal">
      <formula>0</formula>
    </cfRule>
  </conditionalFormatting>
  <conditionalFormatting sqref="H107">
    <cfRule type="cellIs" dxfId="88" priority="132" operator="equal">
      <formula>0</formula>
    </cfRule>
  </conditionalFormatting>
  <conditionalFormatting sqref="H247:H249">
    <cfRule type="cellIs" dxfId="87" priority="131" operator="equal">
      <formula>0</formula>
    </cfRule>
  </conditionalFormatting>
  <conditionalFormatting sqref="H1412:H1418 H1419:I1420">
    <cfRule type="cellIs" dxfId="86" priority="130" operator="equal">
      <formula>0</formula>
    </cfRule>
  </conditionalFormatting>
  <conditionalFormatting sqref="H1405:H1411">
    <cfRule type="cellIs" dxfId="85" priority="129" operator="equal">
      <formula>0</formula>
    </cfRule>
  </conditionalFormatting>
  <conditionalFormatting sqref="H1421:I1433">
    <cfRule type="cellIs" dxfId="84" priority="128" operator="equal">
      <formula>0</formula>
    </cfRule>
  </conditionalFormatting>
  <conditionalFormatting sqref="I1405:I1418">
    <cfRule type="cellIs" dxfId="83" priority="125" operator="equal">
      <formula>0</formula>
    </cfRule>
  </conditionalFormatting>
  <conditionalFormatting sqref="D8:G8 B1457:E1457 B1468:E1472 B1458:C1459 B1473 D1473:E1473 B1461:C1467 B1460 B1474:E1477 B1486:E1486 C1483:E1484 C1478:E1478 G229:G248 B1051:E1058 G1051:G1058 G1483:G1484 G1486 G1474:G1478 G1468:G1472 G1457 D9:E120 D124:G142 B132:C135 C144:G147 C136:C142 B136:B149 B150:G228 B229:E913 F252:G913 B915:G1001 B914 B1003:G1034 G1060:G1452 D1060:E1452 B1060:C1383">
    <cfRule type="cellIs" dxfId="82" priority="62" operator="equal">
      <formula>0</formula>
    </cfRule>
  </conditionalFormatting>
  <conditionalFormatting sqref="D121:E123">
    <cfRule type="cellIs" dxfId="81" priority="61" operator="equal">
      <formula>0</formula>
    </cfRule>
  </conditionalFormatting>
  <conditionalFormatting sqref="C8 B116:C116 C117:C121 B118 B120 B126:C128 B123:C123 B1384:C1452 C17:C85 B8:B85 B86:C114">
    <cfRule type="cellIs" dxfId="80" priority="57" operator="equal">
      <formula>0</formula>
    </cfRule>
  </conditionalFormatting>
  <conditionalFormatting sqref="B129:C131">
    <cfRule type="cellIs" dxfId="79" priority="56" operator="equal">
      <formula>0</formula>
    </cfRule>
  </conditionalFormatting>
  <conditionalFormatting sqref="B115:C115 B117 B119 B121">
    <cfRule type="cellIs" dxfId="78" priority="55" operator="equal">
      <formula>0</formula>
    </cfRule>
  </conditionalFormatting>
  <conditionalFormatting sqref="G9 G11:G120">
    <cfRule type="cellIs" dxfId="77" priority="60" operator="equal">
      <formula>0</formula>
    </cfRule>
  </conditionalFormatting>
  <conditionalFormatting sqref="G121:G123">
    <cfRule type="cellIs" dxfId="76" priority="59" operator="equal">
      <formula>0</formula>
    </cfRule>
  </conditionalFormatting>
  <conditionalFormatting sqref="G249:G251">
    <cfRule type="cellIs" dxfId="75" priority="58" operator="equal">
      <formula>0</formula>
    </cfRule>
  </conditionalFormatting>
  <conditionalFormatting sqref="C9:C13 C15:C16">
    <cfRule type="cellIs" dxfId="74" priority="54" operator="equal">
      <formula>0</formula>
    </cfRule>
  </conditionalFormatting>
  <conditionalFormatting sqref="C14">
    <cfRule type="cellIs" dxfId="73" priority="53" operator="equal">
      <formula>0</formula>
    </cfRule>
  </conditionalFormatting>
  <conditionalFormatting sqref="B124:C125">
    <cfRule type="cellIs" dxfId="72" priority="52" operator="equal">
      <formula>0</formula>
    </cfRule>
  </conditionalFormatting>
  <conditionalFormatting sqref="B122:C122">
    <cfRule type="cellIs" dxfId="71" priority="51" operator="equal">
      <formula>0</formula>
    </cfRule>
  </conditionalFormatting>
  <conditionalFormatting sqref="B1453:C1455 B1456">
    <cfRule type="cellIs" dxfId="70" priority="50" operator="equal">
      <formula>0</formula>
    </cfRule>
  </conditionalFormatting>
  <conditionalFormatting sqref="D1453:E1455 G1453:G1455">
    <cfRule type="cellIs" dxfId="69" priority="49" operator="equal">
      <formula>0</formula>
    </cfRule>
  </conditionalFormatting>
  <conditionalFormatting sqref="G1473">
    <cfRule type="cellIs" dxfId="68" priority="43" operator="equal">
      <formula>0</formula>
    </cfRule>
  </conditionalFormatting>
  <conditionalFormatting sqref="C1456:E1456 G1456">
    <cfRule type="cellIs" dxfId="67" priority="48" operator="equal">
      <formula>0</formula>
    </cfRule>
  </conditionalFormatting>
  <conditionalFormatting sqref="D1458:E1458 D1461:E1461 D1463:E1467 G1463:G1467 G1461 G1458">
    <cfRule type="cellIs" dxfId="66" priority="47" operator="equal">
      <formula>0</formula>
    </cfRule>
  </conditionalFormatting>
  <conditionalFormatting sqref="D1462:E1462 G1462">
    <cfRule type="cellIs" dxfId="65" priority="46" operator="equal">
      <formula>0</formula>
    </cfRule>
  </conditionalFormatting>
  <conditionalFormatting sqref="C1460">
    <cfRule type="cellIs" dxfId="64" priority="42" operator="equal">
      <formula>0</formula>
    </cfRule>
  </conditionalFormatting>
  <conditionalFormatting sqref="D1459:E1460 G1459:G1460">
    <cfRule type="cellIs" dxfId="63" priority="45" operator="equal">
      <formula>0</formula>
    </cfRule>
  </conditionalFormatting>
  <conditionalFormatting sqref="C1473">
    <cfRule type="cellIs" dxfId="62" priority="44" operator="equal">
      <formula>0</formula>
    </cfRule>
  </conditionalFormatting>
  <conditionalFormatting sqref="C1479:E1479 G1479">
    <cfRule type="cellIs" dxfId="61" priority="41" operator="equal">
      <formula>0</formula>
    </cfRule>
  </conditionalFormatting>
  <conditionalFormatting sqref="C1480:E1480 G1480">
    <cfRule type="cellIs" dxfId="60" priority="40" operator="equal">
      <formula>0</formula>
    </cfRule>
  </conditionalFormatting>
  <conditionalFormatting sqref="C1481:E1481 G1481">
    <cfRule type="cellIs" dxfId="59" priority="39" operator="equal">
      <formula>0</formula>
    </cfRule>
  </conditionalFormatting>
  <conditionalFormatting sqref="C1482:E1482 G1482">
    <cfRule type="cellIs" dxfId="58" priority="38" operator="equal">
      <formula>0</formula>
    </cfRule>
  </conditionalFormatting>
  <conditionalFormatting sqref="C1485:E1485 G1485">
    <cfRule type="cellIs" dxfId="57" priority="37" operator="equal">
      <formula>0</formula>
    </cfRule>
  </conditionalFormatting>
  <conditionalFormatting sqref="B1478:B1485">
    <cfRule type="cellIs" dxfId="56" priority="36" operator="equal">
      <formula>0</formula>
    </cfRule>
  </conditionalFormatting>
  <conditionalFormatting sqref="B1487:E1493 G1487:G1493">
    <cfRule type="cellIs" dxfId="55" priority="35" operator="equal">
      <formula>0</formula>
    </cfRule>
  </conditionalFormatting>
  <conditionalFormatting sqref="F1482">
    <cfRule type="cellIs" dxfId="54" priority="16" operator="equal">
      <formula>0</formula>
    </cfRule>
  </conditionalFormatting>
  <conditionalFormatting sqref="C1035:C1050">
    <cfRule type="cellIs" dxfId="53" priority="31" operator="equal">
      <formula>0</formula>
    </cfRule>
  </conditionalFormatting>
  <conditionalFormatting sqref="G1049">
    <cfRule type="cellIs" dxfId="52" priority="30" operator="equal">
      <formula>0</formula>
    </cfRule>
  </conditionalFormatting>
  <conditionalFormatting sqref="D1035:E1050">
    <cfRule type="cellIs" dxfId="51" priority="34" operator="equal">
      <formula>0</formula>
    </cfRule>
  </conditionalFormatting>
  <conditionalFormatting sqref="B1035:B1050">
    <cfRule type="cellIs" dxfId="50" priority="32" operator="equal">
      <formula>0</formula>
    </cfRule>
  </conditionalFormatting>
  <conditionalFormatting sqref="G1035:G1048 G1050">
    <cfRule type="cellIs" dxfId="49" priority="33" operator="equal">
      <formula>0</formula>
    </cfRule>
  </conditionalFormatting>
  <conditionalFormatting sqref="F1049">
    <cfRule type="cellIs" dxfId="48" priority="12" operator="equal">
      <formula>0</formula>
    </cfRule>
  </conditionalFormatting>
  <conditionalFormatting sqref="F229:F248 F1051:F1058 F1483:F1484 F1486 F1474:F1478 F1468:F1472 F1457 F1060:F1452">
    <cfRule type="cellIs" dxfId="47" priority="29" operator="equal">
      <formula>0</formula>
    </cfRule>
  </conditionalFormatting>
  <conditionalFormatting sqref="F9:F120">
    <cfRule type="cellIs" dxfId="46" priority="28" operator="equal">
      <formula>0</formula>
    </cfRule>
  </conditionalFormatting>
  <conditionalFormatting sqref="F121:F123">
    <cfRule type="cellIs" dxfId="45" priority="27" operator="equal">
      <formula>0</formula>
    </cfRule>
  </conditionalFormatting>
  <conditionalFormatting sqref="F249:F251">
    <cfRule type="cellIs" dxfId="44" priority="26" operator="equal">
      <formula>0</formula>
    </cfRule>
  </conditionalFormatting>
  <conditionalFormatting sqref="F1453:F1455">
    <cfRule type="cellIs" dxfId="43" priority="25" operator="equal">
      <formula>0</formula>
    </cfRule>
  </conditionalFormatting>
  <conditionalFormatting sqref="F1473">
    <cfRule type="cellIs" dxfId="42" priority="20" operator="equal">
      <formula>0</formula>
    </cfRule>
  </conditionalFormatting>
  <conditionalFormatting sqref="F1456">
    <cfRule type="cellIs" dxfId="41" priority="24" operator="equal">
      <formula>0</formula>
    </cfRule>
  </conditionalFormatting>
  <conditionalFormatting sqref="F1463:F1467 F1461 F1458">
    <cfRule type="cellIs" dxfId="40" priority="23" operator="equal">
      <formula>0</formula>
    </cfRule>
  </conditionalFormatting>
  <conditionalFormatting sqref="F1462">
    <cfRule type="cellIs" dxfId="39" priority="22" operator="equal">
      <formula>0</formula>
    </cfRule>
  </conditionalFormatting>
  <conditionalFormatting sqref="F1459:F1460">
    <cfRule type="cellIs" dxfId="38" priority="21" operator="equal">
      <formula>0</formula>
    </cfRule>
  </conditionalFormatting>
  <conditionalFormatting sqref="F1479">
    <cfRule type="cellIs" dxfId="37" priority="19" operator="equal">
      <formula>0</formula>
    </cfRule>
  </conditionalFormatting>
  <conditionalFormatting sqref="F1480">
    <cfRule type="cellIs" dxfId="36" priority="18" operator="equal">
      <formula>0</formula>
    </cfRule>
  </conditionalFormatting>
  <conditionalFormatting sqref="F1481">
    <cfRule type="cellIs" dxfId="35" priority="17" operator="equal">
      <formula>0</formula>
    </cfRule>
  </conditionalFormatting>
  <conditionalFormatting sqref="F1035:F1048 F1050">
    <cfRule type="cellIs" dxfId="34" priority="13" operator="equal">
      <formula>0</formula>
    </cfRule>
  </conditionalFormatting>
  <conditionalFormatting sqref="F1485">
    <cfRule type="cellIs" dxfId="33" priority="15" operator="equal">
      <formula>0</formula>
    </cfRule>
  </conditionalFormatting>
  <conditionalFormatting sqref="F1487:F1493">
    <cfRule type="cellIs" dxfId="32" priority="14" operator="equal">
      <formula>0</formula>
    </cfRule>
  </conditionalFormatting>
  <conditionalFormatting sqref="G10">
    <cfRule type="cellIs" dxfId="31" priority="11" operator="equal">
      <formula>0</formula>
    </cfRule>
  </conditionalFormatting>
  <conditionalFormatting sqref="C143:G143">
    <cfRule type="cellIs" dxfId="30" priority="10" operator="equal">
      <formula>0</formula>
    </cfRule>
  </conditionalFormatting>
  <conditionalFormatting sqref="C148:C149">
    <cfRule type="cellIs" dxfId="29" priority="7" operator="equal">
      <formula>0</formula>
    </cfRule>
  </conditionalFormatting>
  <conditionalFormatting sqref="E148:E149">
    <cfRule type="cellIs" dxfId="28" priority="9" operator="equal">
      <formula>0</formula>
    </cfRule>
  </conditionalFormatting>
  <conditionalFormatting sqref="G148:G149">
    <cfRule type="cellIs" dxfId="27" priority="8" operator="equal">
      <formula>0</formula>
    </cfRule>
  </conditionalFormatting>
  <conditionalFormatting sqref="F148:F149">
    <cfRule type="cellIs" dxfId="26" priority="6" operator="equal">
      <formula>0</formula>
    </cfRule>
  </conditionalFormatting>
  <conditionalFormatting sqref="D148:D149">
    <cfRule type="cellIs" dxfId="25" priority="5" operator="equal">
      <formula>0</formula>
    </cfRule>
  </conditionalFormatting>
  <conditionalFormatting sqref="C914:G914">
    <cfRule type="cellIs" dxfId="24" priority="4" operator="equal">
      <formula>0</formula>
    </cfRule>
  </conditionalFormatting>
  <conditionalFormatting sqref="B1002:G1002">
    <cfRule type="cellIs" dxfId="23" priority="3" operator="equal">
      <formula>0</formula>
    </cfRule>
  </conditionalFormatting>
  <conditionalFormatting sqref="B1059:E1059 G1059">
    <cfRule type="cellIs" dxfId="22" priority="2" operator="equal">
      <formula>0</formula>
    </cfRule>
  </conditionalFormatting>
  <conditionalFormatting sqref="F1059">
    <cfRule type="cellIs" dxfId="21" priority="1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70" zoomScaleNormal="70" zoomScaleSheetLayoutView="85" workbookViewId="0">
      <selection activeCell="O24" sqref="O2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7" t="s">
        <v>1454</v>
      </c>
      <c r="C2" s="567"/>
      <c r="D2" s="567"/>
      <c r="E2" s="56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2" t="s">
        <v>1535</v>
      </c>
      <c r="C4" s="573"/>
      <c r="D4" s="573"/>
      <c r="E4" s="574"/>
      <c r="F4" s="447"/>
      <c r="G4" s="447"/>
      <c r="H4" s="448"/>
      <c r="I4" s="599" t="s">
        <v>1536</v>
      </c>
      <c r="J4" s="600"/>
      <c r="K4" s="600"/>
      <c r="L4" s="601"/>
    </row>
    <row r="5" spans="1:12" ht="34.5" customHeight="1">
      <c r="A5" s="204"/>
      <c r="B5" s="450" t="s">
        <v>1379</v>
      </c>
      <c r="C5" s="277" t="s">
        <v>9</v>
      </c>
      <c r="D5" s="568" t="str">
        <f>DATA!D14</f>
        <v>DPU-RUMAH POMPA LOIRENG</v>
      </c>
      <c r="E5" s="569"/>
      <c r="F5" s="208"/>
      <c r="G5" s="208"/>
      <c r="I5" s="451" t="s">
        <v>1379</v>
      </c>
      <c r="J5" s="277" t="s">
        <v>9</v>
      </c>
      <c r="K5" s="602" t="str">
        <f>D5</f>
        <v>DPU-RUMAH POMPA LOIRENG</v>
      </c>
      <c r="L5" s="603"/>
    </row>
    <row r="6" spans="1:12" ht="31.5" customHeight="1">
      <c r="A6" s="204"/>
      <c r="B6" s="450" t="s">
        <v>1532</v>
      </c>
      <c r="C6" s="277" t="s">
        <v>9</v>
      </c>
      <c r="D6" s="577">
        <f>DATA!D17*1000</f>
        <v>0</v>
      </c>
      <c r="E6" s="578"/>
      <c r="F6" s="208"/>
      <c r="G6" s="208"/>
      <c r="I6" s="451" t="s">
        <v>1533</v>
      </c>
      <c r="J6" s="277" t="s">
        <v>9</v>
      </c>
      <c r="K6" s="604">
        <f>DATA!D20*1000</f>
        <v>10600</v>
      </c>
      <c r="L6" s="605"/>
    </row>
    <row r="7" spans="1:12" ht="30.75" customHeight="1">
      <c r="A7" s="204"/>
      <c r="B7" s="450" t="s">
        <v>1441</v>
      </c>
      <c r="C7" s="277" t="s">
        <v>9</v>
      </c>
      <c r="D7" s="575">
        <f>DATA!D18</f>
        <v>1</v>
      </c>
      <c r="E7" s="576"/>
      <c r="F7" s="449" t="s">
        <v>1453</v>
      </c>
      <c r="I7" s="451" t="s">
        <v>1441</v>
      </c>
      <c r="J7" s="277" t="s">
        <v>9</v>
      </c>
      <c r="K7" s="606">
        <f>DATA!D21</f>
        <v>1</v>
      </c>
      <c r="L7" s="607"/>
    </row>
    <row r="8" spans="1:12" ht="51" customHeight="1">
      <c r="A8" s="204"/>
      <c r="B8" s="450" t="s">
        <v>1442</v>
      </c>
      <c r="C8" s="277" t="s">
        <v>9</v>
      </c>
      <c r="D8" s="575">
        <f>DATA!D19</f>
        <v>220</v>
      </c>
      <c r="E8" s="576"/>
      <c r="F8" s="449" t="s">
        <v>1453</v>
      </c>
      <c r="G8" s="444">
        <v>220</v>
      </c>
      <c r="I8" s="451" t="s">
        <v>1442</v>
      </c>
      <c r="J8" s="277" t="s">
        <v>9</v>
      </c>
      <c r="K8" s="606">
        <f>DATA!D22</f>
        <v>220</v>
      </c>
      <c r="L8" s="607"/>
    </row>
    <row r="9" spans="1:12" ht="30" customHeight="1" thickBot="1">
      <c r="A9" s="204"/>
      <c r="B9" s="456" t="s">
        <v>1544</v>
      </c>
      <c r="C9" s="446" t="s">
        <v>9</v>
      </c>
      <c r="D9" s="570">
        <f>IF(D7=1,D6/(380/3^0.5),(D6/(380*3^0.5)))</f>
        <v>0</v>
      </c>
      <c r="E9" s="571"/>
      <c r="F9" s="207"/>
      <c r="G9" s="445">
        <v>380</v>
      </c>
      <c r="I9" s="457" t="s">
        <v>1544</v>
      </c>
      <c r="J9" s="446" t="s">
        <v>9</v>
      </c>
      <c r="K9" s="608">
        <f>IF(K7=1,K6/(380/3^0.5),(K6/(380*3^0.5)))</f>
        <v>48.315101474289733</v>
      </c>
      <c r="L9" s="609"/>
    </row>
    <row r="10" spans="1:12" ht="24.75" customHeight="1">
      <c r="B10" s="458"/>
      <c r="C10" s="455"/>
      <c r="D10" s="459"/>
      <c r="E10" s="459"/>
      <c r="F10" s="207"/>
      <c r="G10" s="445"/>
      <c r="I10" s="458"/>
      <c r="J10" s="455"/>
      <c r="K10" s="459"/>
      <c r="L10" s="459"/>
    </row>
    <row r="11" spans="1:12" ht="16.5" thickBot="1">
      <c r="B11" s="452" t="s">
        <v>1545</v>
      </c>
      <c r="I11" s="452" t="s">
        <v>1539</v>
      </c>
    </row>
    <row r="12" spans="1:12" ht="34.5" customHeight="1">
      <c r="A12" s="204"/>
      <c r="B12" s="480" t="s">
        <v>1537</v>
      </c>
      <c r="C12" s="474" t="s">
        <v>9</v>
      </c>
      <c r="D12" s="579" t="s">
        <v>1625</v>
      </c>
      <c r="E12" s="580"/>
      <c r="F12" s="208"/>
      <c r="G12" s="208"/>
      <c r="I12" s="473" t="s">
        <v>1537</v>
      </c>
      <c r="J12" s="474" t="s">
        <v>9</v>
      </c>
      <c r="K12" s="579" t="s">
        <v>1625</v>
      </c>
      <c r="L12" s="580"/>
    </row>
    <row r="13" spans="1:12" ht="31.5" customHeight="1">
      <c r="A13" s="204"/>
      <c r="B13" s="481" t="s">
        <v>1380</v>
      </c>
      <c r="C13" s="461" t="s">
        <v>9</v>
      </c>
      <c r="D13" s="583" t="s">
        <v>1626</v>
      </c>
      <c r="E13" s="584"/>
      <c r="F13" s="208"/>
      <c r="G13" s="208"/>
      <c r="I13" s="475" t="s">
        <v>1380</v>
      </c>
      <c r="J13" s="461" t="s">
        <v>9</v>
      </c>
      <c r="K13" s="583" t="s">
        <v>1626</v>
      </c>
      <c r="L13" s="584"/>
    </row>
    <row r="14" spans="1:12" ht="30.75" customHeight="1">
      <c r="A14" s="204"/>
      <c r="B14" s="481" t="s">
        <v>1538</v>
      </c>
      <c r="C14" s="461" t="s">
        <v>9</v>
      </c>
      <c r="D14" s="591"/>
      <c r="E14" s="592"/>
      <c r="F14" s="449" t="s">
        <v>1453</v>
      </c>
      <c r="G14" s="453">
        <v>50</v>
      </c>
      <c r="I14" s="475" t="s">
        <v>1538</v>
      </c>
      <c r="J14" s="461" t="s">
        <v>9</v>
      </c>
      <c r="K14" s="593">
        <v>50</v>
      </c>
      <c r="L14" s="594"/>
    </row>
    <row r="15" spans="1:12" ht="57" customHeight="1">
      <c r="A15" s="204"/>
      <c r="B15" s="481" t="s">
        <v>1441</v>
      </c>
      <c r="C15" s="461" t="s">
        <v>9</v>
      </c>
      <c r="D15" s="467"/>
      <c r="E15" s="476"/>
      <c r="F15" s="449" t="s">
        <v>1453</v>
      </c>
      <c r="G15" s="453">
        <v>100</v>
      </c>
      <c r="I15" s="475" t="s">
        <v>1441</v>
      </c>
      <c r="J15" s="461" t="s">
        <v>9</v>
      </c>
      <c r="K15" s="467">
        <v>1</v>
      </c>
      <c r="L15" s="476"/>
    </row>
    <row r="16" spans="1:12" ht="44.25" customHeight="1">
      <c r="A16" s="204"/>
      <c r="B16" s="481" t="s">
        <v>1548</v>
      </c>
      <c r="C16" s="461"/>
      <c r="D16" s="595">
        <f>50</f>
        <v>50</v>
      </c>
      <c r="E16" s="596"/>
      <c r="F16" s="449"/>
      <c r="G16" s="453">
        <v>160</v>
      </c>
      <c r="I16" s="475" t="s">
        <v>1540</v>
      </c>
      <c r="J16" s="461" t="s">
        <v>9</v>
      </c>
      <c r="K16" s="597">
        <f>K9</f>
        <v>48.315101474289733</v>
      </c>
      <c r="L16" s="598"/>
    </row>
    <row r="17" spans="1:12" ht="34.5" customHeight="1">
      <c r="A17" s="204"/>
      <c r="B17" s="481" t="s">
        <v>1541</v>
      </c>
      <c r="C17" s="461" t="s">
        <v>9</v>
      </c>
      <c r="D17" s="585">
        <f>IF(D15=1,D14/(20/3^0.5),(D14/(20*3^0.5)))</f>
        <v>0</v>
      </c>
      <c r="E17" s="586"/>
      <c r="F17" s="449" t="s">
        <v>1453</v>
      </c>
      <c r="G17" s="454">
        <v>200</v>
      </c>
      <c r="I17" s="475" t="s">
        <v>1541</v>
      </c>
      <c r="J17" s="461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204"/>
      <c r="B18" s="481" t="s">
        <v>1542</v>
      </c>
      <c r="C18" s="461" t="s">
        <v>9</v>
      </c>
      <c r="D18" s="585">
        <f>IF(D15=1,D14/(380/3^0.5),(D14/(380*3^0.5)))*1000</f>
        <v>0</v>
      </c>
      <c r="E18" s="586"/>
      <c r="F18" s="449" t="s">
        <v>1453</v>
      </c>
      <c r="G18" s="454">
        <v>250</v>
      </c>
      <c r="I18" s="475" t="s">
        <v>1542</v>
      </c>
      <c r="J18" s="461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204"/>
      <c r="B19" s="482" t="s">
        <v>1534</v>
      </c>
      <c r="C19" s="460" t="s">
        <v>9</v>
      </c>
      <c r="D19" s="585">
        <f>IF(D15=1,D14/(380/3^0.5),(D14/(380*3^0.5)))</f>
        <v>0</v>
      </c>
      <c r="E19" s="586"/>
      <c r="F19" s="207"/>
      <c r="G19" s="445"/>
      <c r="I19" s="477" t="s">
        <v>1534</v>
      </c>
      <c r="J19" s="460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204"/>
      <c r="B20" s="483" t="s">
        <v>1543</v>
      </c>
      <c r="C20" s="479" t="s">
        <v>9</v>
      </c>
      <c r="D20" s="581" t="e">
        <f>D16/D18</f>
        <v>#DIV/0!</v>
      </c>
      <c r="E20" s="582"/>
      <c r="F20" s="207"/>
      <c r="G20" s="445"/>
      <c r="I20" s="478" t="s">
        <v>1534</v>
      </c>
      <c r="J20" s="479" t="s">
        <v>9</v>
      </c>
      <c r="K20" s="587">
        <f>K16/K18</f>
        <v>0.21200000000000002</v>
      </c>
      <c r="L20" s="588"/>
    </row>
    <row r="21" spans="1:12" ht="9.75" customHeight="1">
      <c r="A21" s="204"/>
      <c r="B21" s="468" t="s">
        <v>1543</v>
      </c>
      <c r="C21" s="469" t="s">
        <v>9</v>
      </c>
      <c r="D21" s="566">
        <v>1</v>
      </c>
      <c r="E21" s="566"/>
      <c r="F21" s="470"/>
      <c r="G21" s="471"/>
      <c r="H21" s="472"/>
      <c r="I21" s="468" t="s">
        <v>1534</v>
      </c>
      <c r="J21" s="469" t="s">
        <v>9</v>
      </c>
      <c r="K21" s="566">
        <v>1</v>
      </c>
      <c r="L21" s="566"/>
    </row>
    <row r="22" spans="1:12" ht="6.75" customHeight="1">
      <c r="B22" s="458"/>
      <c r="C22" s="455"/>
      <c r="D22" s="466"/>
      <c r="E22" s="466"/>
      <c r="F22" s="207"/>
      <c r="G22" s="445"/>
      <c r="J22" s="455"/>
      <c r="K22" s="466"/>
      <c r="L22" s="466"/>
    </row>
    <row r="23" spans="1:12" ht="15.75" thickBot="1"/>
    <row r="24" spans="1:12" ht="200.25" customHeight="1" thickBot="1">
      <c r="B24" s="563"/>
      <c r="C24" s="564"/>
      <c r="D24" s="564"/>
      <c r="E24" s="565"/>
      <c r="I24" s="563"/>
      <c r="J24" s="564"/>
      <c r="K24" s="564"/>
      <c r="L24" s="565"/>
    </row>
    <row r="26" spans="1:12">
      <c r="D26" s="463"/>
    </row>
    <row r="27" spans="1:12">
      <c r="D27" s="464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Q4 O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16" sqref="D16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0"/>
      <c r="C1" s="610"/>
      <c r="D1" s="61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7">
        <v>1084.1250458865841</v>
      </c>
      <c r="F5" s="492" t="s">
        <v>1610</v>
      </c>
      <c r="K5" s="491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2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10.6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10271400</v>
      </c>
    </row>
    <row r="10" spans="2:11" ht="20.100000000000001" customHeight="1">
      <c r="B10" s="291" t="s">
        <v>1446</v>
      </c>
      <c r="C10" s="292" t="s">
        <v>9</v>
      </c>
      <c r="D10" s="298">
        <f ca="1">RAB!K85</f>
        <v>70672318.577250004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1413446.371545</v>
      </c>
    </row>
    <row r="12" spans="2:11" ht="9" customHeight="1">
      <c r="B12" s="611"/>
      <c r="C12" s="611"/>
      <c r="D12" s="611"/>
    </row>
    <row r="13" spans="2:11" ht="15.75" customHeight="1">
      <c r="B13" s="299"/>
      <c r="C13" s="299"/>
      <c r="D13" s="299"/>
    </row>
    <row r="14" spans="2:11" ht="33.75" customHeight="1">
      <c r="B14" s="420" t="s">
        <v>1379</v>
      </c>
      <c r="C14" s="421" t="s">
        <v>9</v>
      </c>
      <c r="D14" s="426" t="s">
        <v>1627</v>
      </c>
      <c r="E14" s="300" t="s">
        <v>1453</v>
      </c>
    </row>
    <row r="15" spans="2:11" ht="20.100000000000001" customHeight="1">
      <c r="B15" s="422" t="s">
        <v>1447</v>
      </c>
      <c r="C15" s="423" t="s">
        <v>9</v>
      </c>
      <c r="D15" s="427" t="s">
        <v>1637</v>
      </c>
      <c r="E15" s="300" t="s">
        <v>1453</v>
      </c>
    </row>
    <row r="16" spans="2:11" ht="20.100000000000001" customHeight="1">
      <c r="B16" s="422" t="s">
        <v>1448</v>
      </c>
      <c r="C16" s="423" t="s">
        <v>9</v>
      </c>
      <c r="D16" s="427" t="s">
        <v>1451</v>
      </c>
      <c r="E16" s="300" t="s">
        <v>1453</v>
      </c>
    </row>
    <row r="17" spans="2:5" ht="20.100000000000001" customHeight="1">
      <c r="B17" s="422" t="s">
        <v>1449</v>
      </c>
      <c r="C17" s="423" t="s">
        <v>9</v>
      </c>
      <c r="D17" s="428">
        <v>0</v>
      </c>
      <c r="E17" s="300" t="s">
        <v>1453</v>
      </c>
    </row>
    <row r="18" spans="2:5" ht="20.100000000000001" hidden="1" customHeight="1">
      <c r="B18" s="422" t="s">
        <v>1546</v>
      </c>
      <c r="C18" s="423"/>
      <c r="D18" s="428">
        <f>IF((D17&lt;=11),1,3)</f>
        <v>1</v>
      </c>
      <c r="E18" s="300"/>
    </row>
    <row r="19" spans="2:5" ht="20.100000000000001" hidden="1" customHeight="1">
      <c r="B19" s="422" t="s">
        <v>1547</v>
      </c>
      <c r="C19" s="423"/>
      <c r="D19" s="428">
        <f>IF((D17&lt;=11),220,380)</f>
        <v>220</v>
      </c>
      <c r="E19" s="300"/>
    </row>
    <row r="20" spans="2:5" ht="20.100000000000001" customHeight="1">
      <c r="B20" s="422" t="s">
        <v>1450</v>
      </c>
      <c r="C20" s="423" t="s">
        <v>9</v>
      </c>
      <c r="D20" s="428">
        <v>10.6</v>
      </c>
      <c r="E20" s="300" t="s">
        <v>1453</v>
      </c>
    </row>
    <row r="21" spans="2:5" ht="20.100000000000001" customHeight="1">
      <c r="B21" s="422" t="s">
        <v>1546</v>
      </c>
      <c r="C21" s="423"/>
      <c r="D21" s="428">
        <f>IF((D20&lt;=11),1,3)</f>
        <v>1</v>
      </c>
      <c r="E21" s="300"/>
    </row>
    <row r="22" spans="2:5" ht="20.100000000000001" customHeight="1">
      <c r="B22" s="422" t="s">
        <v>1547</v>
      </c>
      <c r="C22" s="423"/>
      <c r="D22" s="428">
        <f>IF((D20&lt;=11),220,380)</f>
        <v>220</v>
      </c>
      <c r="E22" s="300"/>
    </row>
    <row r="23" spans="2:5" ht="20.100000000000001" customHeight="1">
      <c r="B23" s="422" t="s">
        <v>1353</v>
      </c>
      <c r="C23" s="423" t="s">
        <v>9</v>
      </c>
      <c r="D23" s="427">
        <v>1444.7</v>
      </c>
      <c r="E23" s="300" t="s">
        <v>1453</v>
      </c>
    </row>
    <row r="24" spans="2:5" ht="20.100000000000001" customHeight="1">
      <c r="B24" s="422" t="s">
        <v>1354</v>
      </c>
      <c r="C24" s="423" t="s">
        <v>9</v>
      </c>
      <c r="D24" s="427">
        <v>1444.7</v>
      </c>
      <c r="E24" s="300" t="s">
        <v>1453</v>
      </c>
    </row>
    <row r="25" spans="2:5" ht="20.100000000000001" customHeight="1">
      <c r="B25" s="422" t="s">
        <v>1452</v>
      </c>
      <c r="C25" s="423" t="s">
        <v>9</v>
      </c>
      <c r="D25" s="428">
        <v>969</v>
      </c>
      <c r="E25" s="300" t="s">
        <v>1453</v>
      </c>
    </row>
    <row r="26" spans="2:5" ht="20.100000000000001" customHeight="1">
      <c r="B26" s="424" t="s">
        <v>1355</v>
      </c>
      <c r="C26" s="425" t="s">
        <v>9</v>
      </c>
      <c r="D26" s="429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U38" sqref="U38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2" t="s">
        <v>1357</v>
      </c>
      <c r="C3" s="612"/>
      <c r="D3" s="612"/>
      <c r="E3" s="612"/>
      <c r="F3" s="305" t="str">
        <f>DATA!D14</f>
        <v>DPU-RUMAH POMPA LOIRENG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3" t="s">
        <v>1349</v>
      </c>
      <c r="C5" s="613" t="s">
        <v>1358</v>
      </c>
      <c r="D5" s="614" t="s">
        <v>1359</v>
      </c>
      <c r="E5" s="614" t="s">
        <v>1360</v>
      </c>
      <c r="F5" s="613" t="s">
        <v>1361</v>
      </c>
      <c r="G5" s="613"/>
      <c r="H5" s="613"/>
      <c r="I5" s="613"/>
      <c r="J5" s="613"/>
      <c r="K5" s="613" t="s">
        <v>1362</v>
      </c>
      <c r="L5" s="613"/>
      <c r="M5" s="307"/>
      <c r="N5" s="617" t="s">
        <v>1363</v>
      </c>
      <c r="O5" s="614" t="s">
        <v>1364</v>
      </c>
      <c r="P5" s="614" t="s">
        <v>1365</v>
      </c>
      <c r="Q5" s="614" t="s">
        <v>1366</v>
      </c>
      <c r="R5" s="308"/>
      <c r="S5" s="309"/>
      <c r="T5" s="615" t="s">
        <v>1367</v>
      </c>
      <c r="U5" s="310"/>
    </row>
    <row r="6" spans="1:21" ht="20.100000000000001" customHeight="1">
      <c r="B6" s="613"/>
      <c r="C6" s="613"/>
      <c r="D6" s="613"/>
      <c r="E6" s="61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8"/>
      <c r="O6" s="613"/>
      <c r="P6" s="613"/>
      <c r="Q6" s="613"/>
      <c r="R6" s="308"/>
      <c r="S6" s="309"/>
      <c r="T6" s="613"/>
      <c r="U6" s="312"/>
    </row>
    <row r="7" spans="1:21" ht="20.100000000000001" customHeight="1">
      <c r="A7" s="313">
        <v>0</v>
      </c>
      <c r="B7" s="314">
        <v>2023</v>
      </c>
      <c r="C7" s="484">
        <f>DATA!D8*DATA!D26*6</f>
        <v>2544</v>
      </c>
      <c r="D7" s="316">
        <f>C7*4/24</f>
        <v>424</v>
      </c>
      <c r="E7" s="316">
        <f>C7-D7</f>
        <v>2120</v>
      </c>
      <c r="F7" s="317">
        <f ca="1">DATA!D10/1000000</f>
        <v>70.67231857725001</v>
      </c>
      <c r="G7" s="318">
        <f ca="1">DATA!$D$11/1000000</f>
        <v>1.4134463715450001</v>
      </c>
      <c r="H7" s="318">
        <f>C7*DATA!$D$5/1000000</f>
        <v>2.7580141167354699</v>
      </c>
      <c r="I7" s="318">
        <f>(C7*DATA!$D$5*DATA!$D$7)/1000000</f>
        <v>6.2055317626548069E-2</v>
      </c>
      <c r="J7" s="316">
        <f ca="1">SUM(F7:I7)</f>
        <v>74.905834383157028</v>
      </c>
      <c r="K7" s="319">
        <f>DATA!D9/1000000</f>
        <v>10.2714</v>
      </c>
      <c r="L7" s="316">
        <f>((D7*DATA!$D$23)/1000000)+((E7*DATA!$D$24)/1000000)</f>
        <v>3.6753168000000001</v>
      </c>
      <c r="M7" s="316">
        <f>K7+L7</f>
        <v>13.946716800000001</v>
      </c>
      <c r="N7" s="316">
        <f ca="1">M7-J7</f>
        <v>-60.959117583157024</v>
      </c>
      <c r="O7" s="314">
        <v>1</v>
      </c>
      <c r="P7" s="316">
        <f ca="1">O7*N7</f>
        <v>-60.959117583157024</v>
      </c>
      <c r="Q7" s="316">
        <f ca="1">P7</f>
        <v>-60.959117583157024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5088</v>
      </c>
      <c r="D8" s="316">
        <f>C8*4/24</f>
        <v>848</v>
      </c>
      <c r="E8" s="316">
        <f t="shared" ref="E8:E32" si="0">C8-D8</f>
        <v>4240</v>
      </c>
      <c r="F8" s="314"/>
      <c r="G8" s="318">
        <f ca="1">DATA!$D$11/1000000</f>
        <v>1.4134463715450001</v>
      </c>
      <c r="H8" s="318">
        <f>C8*DATA!$D$5/1000000</f>
        <v>5.5160282334709398</v>
      </c>
      <c r="I8" s="318">
        <f>(C8*DATA!$D$5*DATA!$D$7)/1000000</f>
        <v>0.12411063525309614</v>
      </c>
      <c r="J8" s="316">
        <f t="shared" ref="J8:J32" ca="1" si="1">SUM(F8:I8)</f>
        <v>7.0535852402690367</v>
      </c>
      <c r="K8" s="321"/>
      <c r="L8" s="316">
        <f>((D8*DATA!$D$23)/1000000)+((E8*DATA!$D$24)/1000000)</f>
        <v>7.3506336000000001</v>
      </c>
      <c r="M8" s="316">
        <f t="shared" ref="M8:M32" si="2">K8+L8</f>
        <v>7.3506336000000001</v>
      </c>
      <c r="N8" s="316">
        <f ca="1">M8-J8</f>
        <v>0.29704835973096344</v>
      </c>
      <c r="O8" s="315">
        <f>1/(1+'[93]Asumsi I'!$C$3)^(KKF!A8)</f>
        <v>0.89285714285714279</v>
      </c>
      <c r="P8" s="316">
        <f ca="1">O8*N8</f>
        <v>0.26522174975978879</v>
      </c>
      <c r="Q8" s="316">
        <f ca="1">Q7+P8</f>
        <v>-60.693895833397235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5088</v>
      </c>
      <c r="D9" s="316">
        <f t="shared" ref="D9:D32" si="5">C9*4/24</f>
        <v>848</v>
      </c>
      <c r="E9" s="316">
        <f t="shared" si="0"/>
        <v>4240</v>
      </c>
      <c r="F9" s="314"/>
      <c r="G9" s="318">
        <f ca="1">DATA!$D$11/1000000</f>
        <v>1.4134463715450001</v>
      </c>
      <c r="H9" s="318">
        <f>C9*DATA!$D$5/1000000</f>
        <v>5.5160282334709398</v>
      </c>
      <c r="I9" s="318">
        <f>(C9*DATA!$D$5*DATA!$D$7)/1000000</f>
        <v>0.12411063525309614</v>
      </c>
      <c r="J9" s="316">
        <f t="shared" ca="1" si="1"/>
        <v>7.0535852402690367</v>
      </c>
      <c r="K9" s="316"/>
      <c r="L9" s="316">
        <f>((D9*DATA!$D$23)/1000000)+((E9*DATA!$D$24)/1000000)</f>
        <v>7.3506336000000001</v>
      </c>
      <c r="M9" s="316">
        <f t="shared" si="2"/>
        <v>7.3506336000000001</v>
      </c>
      <c r="N9" s="316">
        <f t="shared" ref="N9:N32" ca="1" si="6">M9-J9</f>
        <v>0.29704835973096344</v>
      </c>
      <c r="O9" s="322">
        <f>1/(1+'[93]Asumsi I'!$C$3)^(KKF!A9)</f>
        <v>0.79719387755102034</v>
      </c>
      <c r="P9" s="316">
        <f t="shared" ref="P9:P32" ca="1" si="7">O9*N9</f>
        <v>0.23680513371409712</v>
      </c>
      <c r="Q9" s="316">
        <f ca="1">Q8+P9</f>
        <v>-60.457090699683135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5088</v>
      </c>
      <c r="D10" s="316">
        <f t="shared" si="5"/>
        <v>848</v>
      </c>
      <c r="E10" s="316">
        <f t="shared" si="0"/>
        <v>4240</v>
      </c>
      <c r="F10" s="314"/>
      <c r="G10" s="318">
        <f ca="1">DATA!$D$11/1000000</f>
        <v>1.4134463715450001</v>
      </c>
      <c r="H10" s="318">
        <f>C10*DATA!$D$5/1000000</f>
        <v>5.5160282334709398</v>
      </c>
      <c r="I10" s="318">
        <f>(C10*DATA!$D$5*DATA!$D$7)/1000000</f>
        <v>0.12411063525309614</v>
      </c>
      <c r="J10" s="316">
        <f t="shared" ca="1" si="1"/>
        <v>7.0535852402690367</v>
      </c>
      <c r="K10" s="314"/>
      <c r="L10" s="316">
        <f>((D10*DATA!$D$23)/1000000)+((E10*DATA!$D$24)/1000000)</f>
        <v>7.3506336000000001</v>
      </c>
      <c r="M10" s="316">
        <f t="shared" si="2"/>
        <v>7.3506336000000001</v>
      </c>
      <c r="N10" s="316">
        <f t="shared" ca="1" si="6"/>
        <v>0.29704835973096344</v>
      </c>
      <c r="O10" s="315">
        <f>1/(1+'[93]Asumsi I'!$C$3)^(KKF!A10)</f>
        <v>0.71178024781341087</v>
      </c>
      <c r="P10" s="316">
        <f t="shared" ca="1" si="7"/>
        <v>0.21143315510187238</v>
      </c>
      <c r="Q10" s="316">
        <f t="shared" ref="Q10:Q30" ca="1" si="9">Q9+P10</f>
        <v>-60.245657544581263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5088</v>
      </c>
      <c r="D11" s="316">
        <f t="shared" si="5"/>
        <v>848</v>
      </c>
      <c r="E11" s="316">
        <f t="shared" si="0"/>
        <v>4240</v>
      </c>
      <c r="F11" s="314"/>
      <c r="G11" s="318">
        <f ca="1">DATA!$D$11/1000000</f>
        <v>1.4134463715450001</v>
      </c>
      <c r="H11" s="318">
        <f>C11*DATA!$D$5/1000000</f>
        <v>5.5160282334709398</v>
      </c>
      <c r="I11" s="318">
        <f>(C11*DATA!$D$5*DATA!$D$7)/1000000</f>
        <v>0.12411063525309614</v>
      </c>
      <c r="J11" s="316">
        <f t="shared" ca="1" si="1"/>
        <v>7.0535852402690367</v>
      </c>
      <c r="K11" s="314"/>
      <c r="L11" s="316">
        <f>((D11*DATA!$D$23)/1000000)+((E11*DATA!$D$24)/1000000)</f>
        <v>7.3506336000000001</v>
      </c>
      <c r="M11" s="316">
        <f t="shared" si="2"/>
        <v>7.3506336000000001</v>
      </c>
      <c r="N11" s="316">
        <f t="shared" ca="1" si="6"/>
        <v>0.29704835973096344</v>
      </c>
      <c r="O11" s="315">
        <f>1/(1+'[93]Asumsi I'!$C$3)^(KKF!A11)</f>
        <v>0.63551807840483121</v>
      </c>
      <c r="P11" s="316">
        <f t="shared" ca="1" si="7"/>
        <v>0.18877960276952893</v>
      </c>
      <c r="Q11" s="316">
        <f t="shared" ca="1" si="9"/>
        <v>-60.056877941811734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5088</v>
      </c>
      <c r="D12" s="316">
        <f t="shared" si="5"/>
        <v>848</v>
      </c>
      <c r="E12" s="316">
        <f t="shared" si="0"/>
        <v>4240</v>
      </c>
      <c r="F12" s="314"/>
      <c r="G12" s="318">
        <f ca="1">DATA!$D$11/1000000</f>
        <v>1.4134463715450001</v>
      </c>
      <c r="H12" s="318">
        <f>C12*DATA!$D$5/1000000</f>
        <v>5.5160282334709398</v>
      </c>
      <c r="I12" s="318">
        <f>(C12*DATA!$D$5*DATA!$D$7)/1000000</f>
        <v>0.12411063525309614</v>
      </c>
      <c r="J12" s="316">
        <f t="shared" ca="1" si="1"/>
        <v>7.0535852402690367</v>
      </c>
      <c r="K12" s="314"/>
      <c r="L12" s="316">
        <f>((D12*DATA!$D$23)/1000000)+((E12*DATA!$D$24)/1000000)</f>
        <v>7.3506336000000001</v>
      </c>
      <c r="M12" s="316">
        <f t="shared" si="2"/>
        <v>7.3506336000000001</v>
      </c>
      <c r="N12" s="316">
        <f t="shared" ca="1" si="6"/>
        <v>0.29704835973096344</v>
      </c>
      <c r="O12" s="315">
        <f>1/(1+'[93]Asumsi I'!$C$3)^(KKF!A12)</f>
        <v>0.56742685571859919</v>
      </c>
      <c r="P12" s="316">
        <f t="shared" ca="1" si="7"/>
        <v>0.16855321675850793</v>
      </c>
      <c r="Q12" s="316">
        <f t="shared" ca="1" si="9"/>
        <v>-59.888324725053224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5088</v>
      </c>
      <c r="D13" s="316">
        <f t="shared" si="5"/>
        <v>848</v>
      </c>
      <c r="E13" s="316">
        <f t="shared" si="0"/>
        <v>4240</v>
      </c>
      <c r="F13" s="314"/>
      <c r="G13" s="318">
        <f ca="1">DATA!$D$11/1000000</f>
        <v>1.4134463715450001</v>
      </c>
      <c r="H13" s="318">
        <f>C13*DATA!$D$5/1000000</f>
        <v>5.5160282334709398</v>
      </c>
      <c r="I13" s="318">
        <f>(C13*DATA!$D$5*DATA!$D$7)/1000000</f>
        <v>0.12411063525309614</v>
      </c>
      <c r="J13" s="316">
        <f t="shared" ca="1" si="1"/>
        <v>7.0535852402690367</v>
      </c>
      <c r="K13" s="314"/>
      <c r="L13" s="316">
        <f>((D13*DATA!$D$23)/1000000)+((E13*DATA!$D$24)/1000000)</f>
        <v>7.3506336000000001</v>
      </c>
      <c r="M13" s="316">
        <f t="shared" si="2"/>
        <v>7.3506336000000001</v>
      </c>
      <c r="N13" s="316">
        <f t="shared" ca="1" si="6"/>
        <v>0.29704835973096344</v>
      </c>
      <c r="O13" s="315">
        <f>1/(1+'[93]Asumsi I'!$C$3)^(KKF!A13)</f>
        <v>0.50663112117732068</v>
      </c>
      <c r="P13" s="316">
        <f t="shared" ca="1" si="7"/>
        <v>0.15049394353438209</v>
      </c>
      <c r="Q13" s="316">
        <f t="shared" ca="1" si="9"/>
        <v>-59.737830781518845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5088</v>
      </c>
      <c r="D14" s="316">
        <f t="shared" si="5"/>
        <v>848</v>
      </c>
      <c r="E14" s="316">
        <f t="shared" si="0"/>
        <v>4240</v>
      </c>
      <c r="F14" s="314"/>
      <c r="G14" s="318">
        <f ca="1">DATA!$D$11/1000000</f>
        <v>1.4134463715450001</v>
      </c>
      <c r="H14" s="318">
        <f>C14*DATA!$D$5/1000000</f>
        <v>5.5160282334709398</v>
      </c>
      <c r="I14" s="318">
        <f>(C14*DATA!$D$5*DATA!$D$7)/1000000</f>
        <v>0.12411063525309614</v>
      </c>
      <c r="J14" s="316">
        <f t="shared" ca="1" si="1"/>
        <v>7.0535852402690367</v>
      </c>
      <c r="K14" s="314"/>
      <c r="L14" s="316">
        <f>((D14*DATA!$D$23)/1000000)+((E14*DATA!$D$24)/1000000)</f>
        <v>7.3506336000000001</v>
      </c>
      <c r="M14" s="316">
        <f t="shared" si="2"/>
        <v>7.3506336000000001</v>
      </c>
      <c r="N14" s="316">
        <f t="shared" ca="1" si="6"/>
        <v>0.29704835973096344</v>
      </c>
      <c r="O14" s="315">
        <f>1/(1+'[93]Asumsi I'!$C$3)^(KKF!A14)</f>
        <v>0.45234921533689343</v>
      </c>
      <c r="P14" s="316">
        <f t="shared" ca="1" si="7"/>
        <v>0.13436959244141256</v>
      </c>
      <c r="Q14" s="316">
        <f t="shared" ca="1" si="9"/>
        <v>-59.603461189077436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5088</v>
      </c>
      <c r="D15" s="316">
        <f t="shared" si="5"/>
        <v>848</v>
      </c>
      <c r="E15" s="316">
        <f t="shared" si="0"/>
        <v>4240</v>
      </c>
      <c r="F15" s="314"/>
      <c r="G15" s="318">
        <f ca="1">DATA!$D$11/1000000</f>
        <v>1.4134463715450001</v>
      </c>
      <c r="H15" s="318">
        <f>C15*DATA!$D$5/1000000</f>
        <v>5.5160282334709398</v>
      </c>
      <c r="I15" s="318">
        <f>(C15*DATA!$D$5*DATA!$D$7)/1000000</f>
        <v>0.12411063525309614</v>
      </c>
      <c r="J15" s="316">
        <f t="shared" ca="1" si="1"/>
        <v>7.0535852402690367</v>
      </c>
      <c r="K15" s="314"/>
      <c r="L15" s="316">
        <f>((D15*DATA!$D$23)/1000000)+((E15*DATA!$D$24)/1000000)</f>
        <v>7.3506336000000001</v>
      </c>
      <c r="M15" s="316">
        <f t="shared" si="2"/>
        <v>7.3506336000000001</v>
      </c>
      <c r="N15" s="316">
        <f t="shared" ca="1" si="6"/>
        <v>0.29704835973096344</v>
      </c>
      <c r="O15" s="315">
        <f>1/(1+'[93]Asumsi I'!$C$3)^(KKF!A15)</f>
        <v>0.4038832279793691</v>
      </c>
      <c r="P15" s="316">
        <f t="shared" ca="1" si="7"/>
        <v>0.11997285039411835</v>
      </c>
      <c r="Q15" s="316">
        <f t="shared" ca="1" si="9"/>
        <v>-59.483488338683316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5088</v>
      </c>
      <c r="D16" s="316">
        <f t="shared" si="5"/>
        <v>848</v>
      </c>
      <c r="E16" s="316">
        <f t="shared" si="0"/>
        <v>4240</v>
      </c>
      <c r="F16" s="314"/>
      <c r="G16" s="318">
        <f ca="1">DATA!$D$11/1000000</f>
        <v>1.4134463715450001</v>
      </c>
      <c r="H16" s="318">
        <f>C16*DATA!$D$5/1000000</f>
        <v>5.5160282334709398</v>
      </c>
      <c r="I16" s="318">
        <f>(C16*DATA!$D$5*DATA!$D$7)/1000000</f>
        <v>0.12411063525309614</v>
      </c>
      <c r="J16" s="316">
        <f t="shared" ca="1" si="1"/>
        <v>7.0535852402690367</v>
      </c>
      <c r="K16" s="314"/>
      <c r="L16" s="316">
        <f>((D16*DATA!$D$23)/1000000)+((E16*DATA!$D$24)/1000000)</f>
        <v>7.3506336000000001</v>
      </c>
      <c r="M16" s="316">
        <f t="shared" si="2"/>
        <v>7.3506336000000001</v>
      </c>
      <c r="N16" s="316">
        <f t="shared" ca="1" si="6"/>
        <v>0.29704835973096344</v>
      </c>
      <c r="O16" s="315">
        <f>1/(1+'[93]Asumsi I'!$C$3)^(KKF!A16)</f>
        <v>0.36061002498157957</v>
      </c>
      <c r="P16" s="316">
        <f t="shared" ca="1" si="7"/>
        <v>0.10711861642331996</v>
      </c>
      <c r="Q16" s="316">
        <f t="shared" ca="1" si="9"/>
        <v>-59.376369722259994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5088</v>
      </c>
      <c r="D17" s="316">
        <f t="shared" si="5"/>
        <v>848</v>
      </c>
      <c r="E17" s="316">
        <f t="shared" si="0"/>
        <v>4240</v>
      </c>
      <c r="F17" s="314"/>
      <c r="G17" s="318">
        <f ca="1">DATA!$D$11/1000000</f>
        <v>1.4134463715450001</v>
      </c>
      <c r="H17" s="318">
        <f>C17*DATA!$D$5/1000000</f>
        <v>5.5160282334709398</v>
      </c>
      <c r="I17" s="318">
        <f>(C17*DATA!$D$5*DATA!$D$7)/1000000</f>
        <v>0.12411063525309614</v>
      </c>
      <c r="J17" s="316">
        <f t="shared" ca="1" si="1"/>
        <v>7.0535852402690367</v>
      </c>
      <c r="K17" s="314"/>
      <c r="L17" s="316">
        <f>((D17*DATA!$D$23)/1000000)+((E17*DATA!$D$24)/1000000)</f>
        <v>7.3506336000000001</v>
      </c>
      <c r="M17" s="316">
        <f t="shared" si="2"/>
        <v>7.3506336000000001</v>
      </c>
      <c r="N17" s="316">
        <f t="shared" ca="1" si="6"/>
        <v>0.29704835973096344</v>
      </c>
      <c r="O17" s="315">
        <f>1/(1+'[93]Asumsi I'!$C$3)^(KKF!A17)</f>
        <v>0.32197323659069599</v>
      </c>
      <c r="P17" s="316">
        <f t="shared" ca="1" si="7"/>
        <v>9.5641621806535668E-2</v>
      </c>
      <c r="Q17" s="316">
        <f t="shared" ca="1" si="9"/>
        <v>-59.280728100453459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5088</v>
      </c>
      <c r="D18" s="316">
        <f t="shared" si="5"/>
        <v>848</v>
      </c>
      <c r="E18" s="316">
        <f t="shared" si="0"/>
        <v>4240</v>
      </c>
      <c r="F18" s="314"/>
      <c r="G18" s="318">
        <f ca="1">DATA!$D$11/1000000</f>
        <v>1.4134463715450001</v>
      </c>
      <c r="H18" s="318">
        <f>C18*DATA!$D$5/1000000</f>
        <v>5.5160282334709398</v>
      </c>
      <c r="I18" s="318">
        <f>(C18*DATA!$D$5*DATA!$D$7)/1000000</f>
        <v>0.12411063525309614</v>
      </c>
      <c r="J18" s="316">
        <f t="shared" ca="1" si="1"/>
        <v>7.0535852402690367</v>
      </c>
      <c r="K18" s="314"/>
      <c r="L18" s="316">
        <f>((D18*DATA!$D$23)/1000000)+((E18*DATA!$D$24)/1000000)</f>
        <v>7.3506336000000001</v>
      </c>
      <c r="M18" s="316">
        <f t="shared" si="2"/>
        <v>7.3506336000000001</v>
      </c>
      <c r="N18" s="316">
        <f t="shared" ca="1" si="6"/>
        <v>0.29704835973096344</v>
      </c>
      <c r="O18" s="315">
        <f>1/(1+'[93]Asumsi I'!$C$3)^(KKF!A18)</f>
        <v>0.28747610409883567</v>
      </c>
      <c r="P18" s="316">
        <f t="shared" ca="1" si="7"/>
        <v>8.5394305184406827E-2</v>
      </c>
      <c r="Q18" s="316">
        <f t="shared" ca="1" si="9"/>
        <v>-59.19533379526905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5088</v>
      </c>
      <c r="D19" s="316">
        <f t="shared" si="5"/>
        <v>848</v>
      </c>
      <c r="E19" s="316">
        <f t="shared" si="0"/>
        <v>4240</v>
      </c>
      <c r="F19" s="314"/>
      <c r="G19" s="318">
        <f ca="1">DATA!$D$11/1000000</f>
        <v>1.4134463715450001</v>
      </c>
      <c r="H19" s="318">
        <f>C19*DATA!$D$5/1000000</f>
        <v>5.5160282334709398</v>
      </c>
      <c r="I19" s="318">
        <f>(C19*DATA!$D$5*DATA!$D$7)/1000000</f>
        <v>0.12411063525309614</v>
      </c>
      <c r="J19" s="316">
        <f t="shared" ca="1" si="1"/>
        <v>7.0535852402690367</v>
      </c>
      <c r="K19" s="314"/>
      <c r="L19" s="316">
        <f>((D19*DATA!$D$23)/1000000)+((E19*DATA!$D$24)/1000000)</f>
        <v>7.3506336000000001</v>
      </c>
      <c r="M19" s="316">
        <f t="shared" si="2"/>
        <v>7.3506336000000001</v>
      </c>
      <c r="N19" s="316">
        <f t="shared" ca="1" si="6"/>
        <v>0.29704835973096344</v>
      </c>
      <c r="O19" s="315">
        <f>1/(1+'[93]Asumsi I'!$C$3)^(KKF!A19)</f>
        <v>0.25667509294538904</v>
      </c>
      <c r="P19" s="316">
        <f t="shared" ca="1" si="7"/>
        <v>7.6244915343220393E-2</v>
      </c>
      <c r="Q19" s="316">
        <f t="shared" ca="1" si="9"/>
        <v>-59.119088879925833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5088</v>
      </c>
      <c r="D20" s="316">
        <f t="shared" si="5"/>
        <v>848</v>
      </c>
      <c r="E20" s="316">
        <f t="shared" si="0"/>
        <v>4240</v>
      </c>
      <c r="F20" s="314"/>
      <c r="G20" s="318">
        <f ca="1">DATA!$D$11/1000000</f>
        <v>1.4134463715450001</v>
      </c>
      <c r="H20" s="318">
        <f>C20*DATA!$D$5/1000000</f>
        <v>5.5160282334709398</v>
      </c>
      <c r="I20" s="318">
        <f>(C20*DATA!$D$5*DATA!$D$7)/1000000</f>
        <v>0.12411063525309614</v>
      </c>
      <c r="J20" s="316">
        <f t="shared" ca="1" si="1"/>
        <v>7.0535852402690367</v>
      </c>
      <c r="K20" s="314"/>
      <c r="L20" s="316">
        <f>((D20*DATA!$D$23)/1000000)+((E20*DATA!$D$24)/1000000)</f>
        <v>7.3506336000000001</v>
      </c>
      <c r="M20" s="316">
        <f t="shared" si="2"/>
        <v>7.3506336000000001</v>
      </c>
      <c r="N20" s="316">
        <f t="shared" ca="1" si="6"/>
        <v>0.29704835973096344</v>
      </c>
      <c r="O20" s="315">
        <f>1/(1+'[93]Asumsi I'!$C$3)^(KKF!A20)</f>
        <v>0.22917419012981158</v>
      </c>
      <c r="P20" s="316">
        <f t="shared" ca="1" si="7"/>
        <v>6.8075817270732475E-2</v>
      </c>
      <c r="Q20" s="316">
        <f t="shared" ca="1" si="9"/>
        <v>-59.051013062655102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5088</v>
      </c>
      <c r="D21" s="316">
        <f t="shared" si="5"/>
        <v>848</v>
      </c>
      <c r="E21" s="316">
        <f t="shared" si="0"/>
        <v>4240</v>
      </c>
      <c r="F21" s="314"/>
      <c r="G21" s="318">
        <f ca="1">DATA!$D$11/1000000</f>
        <v>1.4134463715450001</v>
      </c>
      <c r="H21" s="318">
        <f>C21*DATA!$D$5/1000000</f>
        <v>5.5160282334709398</v>
      </c>
      <c r="I21" s="318">
        <f>(C21*DATA!$D$5*DATA!$D$7)/1000000</f>
        <v>0.12411063525309614</v>
      </c>
      <c r="J21" s="316">
        <f t="shared" ca="1" si="1"/>
        <v>7.0535852402690367</v>
      </c>
      <c r="K21" s="314"/>
      <c r="L21" s="316">
        <f>((D21*DATA!$D$23)/1000000)+((E21*DATA!$D$24)/1000000)</f>
        <v>7.3506336000000001</v>
      </c>
      <c r="M21" s="316">
        <f t="shared" si="2"/>
        <v>7.3506336000000001</v>
      </c>
      <c r="N21" s="316">
        <f t="shared" ca="1" si="6"/>
        <v>0.29704835973096344</v>
      </c>
      <c r="O21" s="315">
        <f>1/(1+'[93]Asumsi I'!$C$3)^(KKF!A21)</f>
        <v>0.20461981261590317</v>
      </c>
      <c r="P21" s="316">
        <f t="shared" ca="1" si="7"/>
        <v>6.0781979706011138E-2</v>
      </c>
      <c r="Q21" s="316">
        <f t="shared" ca="1" si="9"/>
        <v>-58.990231082949087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5088</v>
      </c>
      <c r="D22" s="316">
        <f t="shared" si="5"/>
        <v>848</v>
      </c>
      <c r="E22" s="316">
        <f t="shared" si="0"/>
        <v>4240</v>
      </c>
      <c r="F22" s="314"/>
      <c r="G22" s="318">
        <f ca="1">DATA!$D$11/1000000</f>
        <v>1.4134463715450001</v>
      </c>
      <c r="H22" s="318">
        <f>C22*DATA!$D$5/1000000</f>
        <v>5.5160282334709398</v>
      </c>
      <c r="I22" s="318">
        <f>(C22*DATA!$D$5*DATA!$D$7)/1000000</f>
        <v>0.12411063525309614</v>
      </c>
      <c r="J22" s="316">
        <f t="shared" ca="1" si="1"/>
        <v>7.0535852402690367</v>
      </c>
      <c r="K22" s="314"/>
      <c r="L22" s="316">
        <f>((D22*DATA!$D$23)/1000000)+((E22*DATA!$D$24)/1000000)</f>
        <v>7.3506336000000001</v>
      </c>
      <c r="M22" s="316">
        <f t="shared" si="2"/>
        <v>7.3506336000000001</v>
      </c>
      <c r="N22" s="316">
        <f t="shared" ca="1" si="6"/>
        <v>0.29704835973096344</v>
      </c>
      <c r="O22" s="315">
        <f>1/(1+'[93]Asumsi I'!$C$3)^(KKF!A22)</f>
        <v>0.18269626126419927</v>
      </c>
      <c r="P22" s="316">
        <f t="shared" ca="1" si="7"/>
        <v>5.4269624737509944E-2</v>
      </c>
      <c r="Q22" s="316">
        <f t="shared" ca="1" si="9"/>
        <v>-58.93596145821158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5088</v>
      </c>
      <c r="D23" s="316">
        <f t="shared" si="5"/>
        <v>848</v>
      </c>
      <c r="E23" s="316">
        <f t="shared" si="0"/>
        <v>4240</v>
      </c>
      <c r="F23" s="314"/>
      <c r="G23" s="318">
        <f ca="1">DATA!$D$11/1000000</f>
        <v>1.4134463715450001</v>
      </c>
      <c r="H23" s="318">
        <f>C23*DATA!$D$5/1000000</f>
        <v>5.5160282334709398</v>
      </c>
      <c r="I23" s="318">
        <f>(C23*DATA!$D$5*DATA!$D$7)/1000000</f>
        <v>0.12411063525309614</v>
      </c>
      <c r="J23" s="316">
        <f t="shared" ca="1" si="1"/>
        <v>7.0535852402690367</v>
      </c>
      <c r="K23" s="314"/>
      <c r="L23" s="316">
        <f>((D23*DATA!$D$23)/1000000)+((E23*DATA!$D$24)/1000000)</f>
        <v>7.3506336000000001</v>
      </c>
      <c r="M23" s="316">
        <f t="shared" si="2"/>
        <v>7.3506336000000001</v>
      </c>
      <c r="N23" s="316">
        <f t="shared" ca="1" si="6"/>
        <v>0.29704835973096344</v>
      </c>
      <c r="O23" s="315">
        <f>1/(1+'[93]Asumsi I'!$C$3)^(KKF!A23)</f>
        <v>0.16312166184303503</v>
      </c>
      <c r="P23" s="316">
        <f t="shared" ca="1" si="7"/>
        <v>4.8455022087062441E-2</v>
      </c>
      <c r="Q23" s="316">
        <f t="shared" ca="1" si="9"/>
        <v>-58.887506436124518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5088</v>
      </c>
      <c r="D24" s="316">
        <f t="shared" si="5"/>
        <v>848</v>
      </c>
      <c r="E24" s="316">
        <f t="shared" si="0"/>
        <v>4240</v>
      </c>
      <c r="F24" s="314"/>
      <c r="G24" s="318">
        <f ca="1">DATA!$D$11/1000000</f>
        <v>1.4134463715450001</v>
      </c>
      <c r="H24" s="318">
        <f>C24*DATA!$D$5/1000000</f>
        <v>5.5160282334709398</v>
      </c>
      <c r="I24" s="318">
        <f>(C24*DATA!$D$5*DATA!$D$7)/1000000</f>
        <v>0.12411063525309614</v>
      </c>
      <c r="J24" s="316">
        <f t="shared" ca="1" si="1"/>
        <v>7.0535852402690367</v>
      </c>
      <c r="K24" s="314"/>
      <c r="L24" s="316">
        <f>((D24*DATA!$D$23)/1000000)+((E24*DATA!$D$24)/1000000)</f>
        <v>7.3506336000000001</v>
      </c>
      <c r="M24" s="316">
        <f t="shared" si="2"/>
        <v>7.3506336000000001</v>
      </c>
      <c r="N24" s="316">
        <f t="shared" ca="1" si="6"/>
        <v>0.29704835973096344</v>
      </c>
      <c r="O24" s="315">
        <f>1/(1+'[93]Asumsi I'!$C$3)^(KKF!A24)</f>
        <v>0.14564434093128129</v>
      </c>
      <c r="P24" s="316">
        <f t="shared" ca="1" si="7"/>
        <v>4.3263412577734327E-2</v>
      </c>
      <c r="Q24" s="316">
        <f t="shared" ca="1" si="9"/>
        <v>-58.844243023546781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5088</v>
      </c>
      <c r="D25" s="316">
        <f t="shared" si="5"/>
        <v>848</v>
      </c>
      <c r="E25" s="316">
        <f t="shared" si="0"/>
        <v>4240</v>
      </c>
      <c r="F25" s="314"/>
      <c r="G25" s="318">
        <f ca="1">DATA!$D$11/1000000</f>
        <v>1.4134463715450001</v>
      </c>
      <c r="H25" s="318">
        <f>C25*DATA!$D$5/1000000</f>
        <v>5.5160282334709398</v>
      </c>
      <c r="I25" s="318">
        <f>(C25*DATA!$D$5*DATA!$D$7)/1000000</f>
        <v>0.12411063525309614</v>
      </c>
      <c r="J25" s="316">
        <f t="shared" ca="1" si="1"/>
        <v>7.0535852402690367</v>
      </c>
      <c r="K25" s="314"/>
      <c r="L25" s="316">
        <f>((D25*DATA!$D$23)/1000000)+((E25*DATA!$D$24)/1000000)</f>
        <v>7.3506336000000001</v>
      </c>
      <c r="M25" s="316">
        <f t="shared" si="2"/>
        <v>7.3506336000000001</v>
      </c>
      <c r="N25" s="316">
        <f t="shared" ca="1" si="6"/>
        <v>0.29704835973096344</v>
      </c>
      <c r="O25" s="315">
        <f>1/(1+'[93]Asumsi I'!$C$3)^(KKF!A25)</f>
        <v>0.13003959011721541</v>
      </c>
      <c r="P25" s="316">
        <f t="shared" ca="1" si="7"/>
        <v>3.8628046944405643E-2</v>
      </c>
      <c r="Q25" s="316">
        <f t="shared" ca="1" si="9"/>
        <v>-58.805614976602378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5088</v>
      </c>
      <c r="D26" s="316">
        <f t="shared" si="5"/>
        <v>848</v>
      </c>
      <c r="E26" s="316">
        <f t="shared" si="0"/>
        <v>4240</v>
      </c>
      <c r="F26" s="314"/>
      <c r="G26" s="318">
        <f ca="1">DATA!$D$11/1000000</f>
        <v>1.4134463715450001</v>
      </c>
      <c r="H26" s="318">
        <f>C26*DATA!$D$5/1000000</f>
        <v>5.5160282334709398</v>
      </c>
      <c r="I26" s="318">
        <f>(C26*DATA!$D$5*DATA!$D$7)/1000000</f>
        <v>0.12411063525309614</v>
      </c>
      <c r="J26" s="316">
        <f t="shared" ca="1" si="1"/>
        <v>7.0535852402690367</v>
      </c>
      <c r="K26" s="314"/>
      <c r="L26" s="316">
        <f>((D26*DATA!$D$23)/1000000)+((E26*DATA!$D$24)/1000000)</f>
        <v>7.3506336000000001</v>
      </c>
      <c r="M26" s="316">
        <f t="shared" si="2"/>
        <v>7.3506336000000001</v>
      </c>
      <c r="N26" s="316">
        <f t="shared" ca="1" si="6"/>
        <v>0.29704835973096344</v>
      </c>
      <c r="O26" s="315">
        <f>1/(1+'[93]Asumsi I'!$C$3)^(KKF!A26)</f>
        <v>0.1161067768903709</v>
      </c>
      <c r="P26" s="316">
        <f t="shared" ca="1" si="7"/>
        <v>3.4489327628933607E-2</v>
      </c>
      <c r="Q26" s="316">
        <f t="shared" ca="1" si="9"/>
        <v>-58.771125648973445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5088</v>
      </c>
      <c r="D27" s="316">
        <f t="shared" si="5"/>
        <v>848</v>
      </c>
      <c r="E27" s="316">
        <f t="shared" si="0"/>
        <v>4240</v>
      </c>
      <c r="F27" s="314"/>
      <c r="G27" s="318">
        <f ca="1">DATA!$D$11/1000000</f>
        <v>1.4134463715450001</v>
      </c>
      <c r="H27" s="318">
        <f>C27*DATA!$D$5/1000000</f>
        <v>5.5160282334709398</v>
      </c>
      <c r="I27" s="318">
        <f>(C27*DATA!$D$5*DATA!$D$7)/1000000</f>
        <v>0.12411063525309614</v>
      </c>
      <c r="J27" s="316">
        <f t="shared" ca="1" si="1"/>
        <v>7.0535852402690367</v>
      </c>
      <c r="K27" s="314"/>
      <c r="L27" s="316">
        <f>((D27*DATA!$D$23)/1000000)+((E27*DATA!$D$24)/1000000)</f>
        <v>7.3506336000000001</v>
      </c>
      <c r="M27" s="316">
        <f t="shared" si="2"/>
        <v>7.3506336000000001</v>
      </c>
      <c r="N27" s="316">
        <f t="shared" ca="1" si="6"/>
        <v>0.29704835973096344</v>
      </c>
      <c r="O27" s="315">
        <f>1/(1+'[93]Asumsi I'!$C$3)^(KKF!A27)</f>
        <v>0.1036667650806883</v>
      </c>
      <c r="P27" s="316">
        <f t="shared" ca="1" si="7"/>
        <v>3.0794042525833575E-2</v>
      </c>
      <c r="Q27" s="316">
        <f t="shared" ca="1" si="9"/>
        <v>-58.740331606447612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5088</v>
      </c>
      <c r="D28" s="316">
        <f t="shared" si="5"/>
        <v>848</v>
      </c>
      <c r="E28" s="316">
        <f t="shared" si="0"/>
        <v>4240</v>
      </c>
      <c r="F28" s="314"/>
      <c r="G28" s="318">
        <f ca="1">DATA!$D$11/1000000</f>
        <v>1.4134463715450001</v>
      </c>
      <c r="H28" s="318">
        <f>C28*DATA!$D$5/1000000</f>
        <v>5.5160282334709398</v>
      </c>
      <c r="I28" s="318">
        <f>(C28*DATA!$D$5*DATA!$D$7)/1000000</f>
        <v>0.12411063525309614</v>
      </c>
      <c r="J28" s="316">
        <f t="shared" ca="1" si="1"/>
        <v>7.0535852402690367</v>
      </c>
      <c r="K28" s="314"/>
      <c r="L28" s="316">
        <f>((D28*DATA!$D$23)/1000000)+((E28*DATA!$D$24)/1000000)</f>
        <v>7.3506336000000001</v>
      </c>
      <c r="M28" s="316">
        <f t="shared" si="2"/>
        <v>7.3506336000000001</v>
      </c>
      <c r="N28" s="316">
        <f t="shared" ca="1" si="6"/>
        <v>0.29704835973096344</v>
      </c>
      <c r="O28" s="315">
        <f>1/(1+'[93]Asumsi I'!$C$3)^(KKF!A28)</f>
        <v>9.2559611679185971E-2</v>
      </c>
      <c r="P28" s="316">
        <f t="shared" ca="1" si="7"/>
        <v>2.749468082663712E-2</v>
      </c>
      <c r="Q28" s="316">
        <f t="shared" ca="1" si="9"/>
        <v>-58.712836925620977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5088</v>
      </c>
      <c r="D29" s="316">
        <f t="shared" si="5"/>
        <v>848</v>
      </c>
      <c r="E29" s="316">
        <f t="shared" si="0"/>
        <v>4240</v>
      </c>
      <c r="F29" s="314"/>
      <c r="G29" s="318">
        <f ca="1">DATA!$D$11/1000000</f>
        <v>1.4134463715450001</v>
      </c>
      <c r="H29" s="318">
        <f>C29*DATA!$D$5/1000000</f>
        <v>5.5160282334709398</v>
      </c>
      <c r="I29" s="318">
        <f>(C29*DATA!$D$5*DATA!$D$7)/1000000</f>
        <v>0.12411063525309614</v>
      </c>
      <c r="J29" s="316">
        <f t="shared" ca="1" si="1"/>
        <v>7.0535852402690367</v>
      </c>
      <c r="K29" s="314"/>
      <c r="L29" s="316">
        <f>((D29*DATA!$D$23)/1000000)+((E29*DATA!$D$24)/1000000)</f>
        <v>7.3506336000000001</v>
      </c>
      <c r="M29" s="316">
        <f t="shared" si="2"/>
        <v>7.3506336000000001</v>
      </c>
      <c r="N29" s="316">
        <f t="shared" ca="1" si="6"/>
        <v>0.29704835973096344</v>
      </c>
      <c r="O29" s="315">
        <f>1/(1+'[93]Asumsi I'!$C$3)^(KKF!A29)</f>
        <v>8.2642510427844609E-2</v>
      </c>
      <c r="P29" s="316">
        <f t="shared" ca="1" si="7"/>
        <v>2.4548822166640283E-2</v>
      </c>
      <c r="Q29" s="316">
        <f t="shared" ca="1" si="9"/>
        <v>-58.688288103454333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5088</v>
      </c>
      <c r="D30" s="316">
        <f t="shared" si="5"/>
        <v>848</v>
      </c>
      <c r="E30" s="316">
        <f t="shared" si="0"/>
        <v>4240</v>
      </c>
      <c r="F30" s="314"/>
      <c r="G30" s="318">
        <f ca="1">DATA!$D$11/1000000</f>
        <v>1.4134463715450001</v>
      </c>
      <c r="H30" s="318">
        <f>C30*DATA!$D$5/1000000</f>
        <v>5.5160282334709398</v>
      </c>
      <c r="I30" s="318">
        <f>(C30*DATA!$D$5*DATA!$D$7)/1000000</f>
        <v>0.12411063525309614</v>
      </c>
      <c r="J30" s="316">
        <f t="shared" ca="1" si="1"/>
        <v>7.0535852402690367</v>
      </c>
      <c r="K30" s="314"/>
      <c r="L30" s="316">
        <f>((D30*DATA!$D$23)/1000000)+((E30*DATA!$D$24)/1000000)</f>
        <v>7.3506336000000001</v>
      </c>
      <c r="M30" s="316">
        <f t="shared" si="2"/>
        <v>7.3506336000000001</v>
      </c>
      <c r="N30" s="316">
        <f t="shared" ca="1" si="6"/>
        <v>0.29704835973096344</v>
      </c>
      <c r="O30" s="315">
        <f>1/(1+'[93]Asumsi I'!$C$3)^(KKF!A30)</f>
        <v>7.3787955739146982E-2</v>
      </c>
      <c r="P30" s="316">
        <f t="shared" ca="1" si="7"/>
        <v>2.1918591220214542E-2</v>
      </c>
      <c r="Q30" s="316">
        <f t="shared" ca="1" si="9"/>
        <v>-58.66636951223412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5088</v>
      </c>
      <c r="D31" s="316">
        <f t="shared" si="5"/>
        <v>848</v>
      </c>
      <c r="E31" s="316">
        <f t="shared" si="0"/>
        <v>4240</v>
      </c>
      <c r="F31" s="314"/>
      <c r="G31" s="318">
        <f ca="1">DATA!$D$11/1000000</f>
        <v>1.4134463715450001</v>
      </c>
      <c r="H31" s="318">
        <f>C31*DATA!$D$5/1000000</f>
        <v>5.5160282334709398</v>
      </c>
      <c r="I31" s="318">
        <f>(C31*DATA!$D$5*DATA!$D$7)/1000000</f>
        <v>0.12411063525309614</v>
      </c>
      <c r="J31" s="316">
        <f t="shared" ca="1" si="1"/>
        <v>7.0535852402690367</v>
      </c>
      <c r="K31" s="314"/>
      <c r="L31" s="316">
        <f>((D31*DATA!$D$23)/1000000)+((E31*DATA!$D$24)/1000000)</f>
        <v>7.3506336000000001</v>
      </c>
      <c r="M31" s="316">
        <f t="shared" si="2"/>
        <v>7.3506336000000001</v>
      </c>
      <c r="N31" s="316">
        <f t="shared" ca="1" si="6"/>
        <v>0.29704835973096344</v>
      </c>
      <c r="O31" s="315">
        <f>1/(1+'[93]Asumsi I'!$C$3)^(KKF!A31)</f>
        <v>6.5882103338524081E-2</v>
      </c>
      <c r="P31" s="316">
        <f t="shared" ca="1" si="7"/>
        <v>1.957017073233441E-2</v>
      </c>
      <c r="Q31" s="316">
        <f ca="1">Q30+P31</f>
        <v>-58.646799341501783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5088</v>
      </c>
      <c r="D32" s="316">
        <f t="shared" si="5"/>
        <v>848</v>
      </c>
      <c r="E32" s="316">
        <f t="shared" si="0"/>
        <v>4240</v>
      </c>
      <c r="F32" s="314"/>
      <c r="G32" s="318">
        <f ca="1">DATA!$D$11/1000000</f>
        <v>1.4134463715450001</v>
      </c>
      <c r="H32" s="318">
        <f>C32*DATA!$D$5/1000000</f>
        <v>5.5160282334709398</v>
      </c>
      <c r="I32" s="318">
        <f>(C32*DATA!$D$5*DATA!$D$7)/1000000</f>
        <v>0.12411063525309614</v>
      </c>
      <c r="J32" s="316">
        <f t="shared" ca="1" si="1"/>
        <v>7.0535852402690367</v>
      </c>
      <c r="K32" s="314"/>
      <c r="L32" s="316">
        <f>((D32*DATA!$D$23)/1000000)+((E32*DATA!$D$24)/1000000)</f>
        <v>7.3506336000000001</v>
      </c>
      <c r="M32" s="316">
        <f t="shared" si="2"/>
        <v>7.3506336000000001</v>
      </c>
      <c r="N32" s="316">
        <f t="shared" ca="1" si="6"/>
        <v>0.29704835973096344</v>
      </c>
      <c r="O32" s="315">
        <f>1/(1+'[93]Asumsi I'!$C$3)^(KKF!A32)</f>
        <v>5.8823306552253637E-2</v>
      </c>
      <c r="P32" s="316">
        <f t="shared" ca="1" si="7"/>
        <v>1.7473366725298579E-2</v>
      </c>
      <c r="Q32" s="316">
        <f ca="1">Q31+P32</f>
        <v>-58.629325974776485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6" t="s">
        <v>1374</v>
      </c>
      <c r="G33" s="616"/>
      <c r="H33" s="616"/>
      <c r="I33" s="324"/>
      <c r="J33" s="325">
        <f ca="1">SUM(J7:J32)</f>
        <v>251.24546538988278</v>
      </c>
      <c r="K33" s="616" t="s">
        <v>1375</v>
      </c>
      <c r="L33" s="616"/>
      <c r="M33" s="325">
        <f>SUM(M7:M32)</f>
        <v>197.71255680000004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252.16713686283003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0.78692985162215623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-52.347612477478997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-0.1223288733080109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0"/>
  <sheetViews>
    <sheetView showGridLines="0" tabSelected="1" view="pageBreakPreview" zoomScale="70" zoomScaleNormal="70" zoomScaleSheetLayoutView="70" workbookViewId="0">
      <pane ySplit="13" topLeftCell="A79" activePane="bottomLeft" state="frozen"/>
      <selection activeCell="H1093" sqref="H1093"/>
      <selection pane="bottomLeft" activeCell="C99" sqref="C99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4" customWidth="1"/>
    <col min="4" max="4" width="13.7109375" style="414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9" t="s">
        <v>1036</v>
      </c>
      <c r="P3" s="619"/>
      <c r="Q3" s="346"/>
      <c r="T3" s="344"/>
      <c r="U3" s="345" t="s">
        <v>1041</v>
      </c>
      <c r="V3" s="344"/>
    </row>
    <row r="4" spans="1:22" ht="18.75">
      <c r="B4" s="620" t="s">
        <v>1023</v>
      </c>
      <c r="C4" s="620"/>
      <c r="D4" s="620"/>
      <c r="E4" s="620"/>
      <c r="F4" s="620"/>
      <c r="G4" s="620"/>
      <c r="H4" s="620"/>
      <c r="I4" s="620"/>
      <c r="J4" s="620"/>
      <c r="K4" s="620"/>
      <c r="O4" s="619"/>
      <c r="P4" s="619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6" t="s">
        <v>1621</v>
      </c>
      <c r="H6" s="636"/>
      <c r="I6" s="636"/>
      <c r="J6" s="636"/>
      <c r="K6" s="63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1551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2" t="s">
        <v>0</v>
      </c>
      <c r="C11" s="624" t="s">
        <v>1</v>
      </c>
      <c r="D11" s="627" t="s">
        <v>42</v>
      </c>
      <c r="E11" s="627" t="s">
        <v>43</v>
      </c>
      <c r="F11" s="627" t="s">
        <v>2</v>
      </c>
      <c r="G11" s="629" t="s">
        <v>41</v>
      </c>
      <c r="H11" s="627" t="s">
        <v>3</v>
      </c>
      <c r="I11" s="627"/>
      <c r="J11" s="627"/>
      <c r="K11" s="646"/>
      <c r="O11" s="351"/>
      <c r="P11" s="352"/>
      <c r="Q11" s="351"/>
      <c r="S11" s="353"/>
      <c r="T11" s="354"/>
      <c r="U11" s="354"/>
      <c r="V11" s="354"/>
    </row>
    <row r="12" spans="1:22">
      <c r="B12" s="623"/>
      <c r="C12" s="625"/>
      <c r="D12" s="628"/>
      <c r="E12" s="628"/>
      <c r="F12" s="628"/>
      <c r="G12" s="630"/>
      <c r="H12" s="632" t="s">
        <v>46</v>
      </c>
      <c r="I12" s="632" t="s">
        <v>5</v>
      </c>
      <c r="J12" s="628" t="s">
        <v>47</v>
      </c>
      <c r="K12" s="647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23"/>
      <c r="C13" s="626"/>
      <c r="D13" s="628"/>
      <c r="E13" s="628"/>
      <c r="F13" s="628"/>
      <c r="G13" s="631"/>
      <c r="H13" s="633"/>
      <c r="I13" s="633"/>
      <c r="J13" s="628"/>
      <c r="K13" s="647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e">
        <f>IF(AND(C17=0,#REF!=0,#REF!=0),"BLANKS",1)</f>
        <v>#REF!</v>
      </c>
      <c r="B17" s="371" t="s">
        <v>1456</v>
      </c>
      <c r="C17" s="372" t="s">
        <v>1619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4"/>
        <v>0</v>
      </c>
      <c r="I17" s="361">
        <f t="shared" ca="1" si="5"/>
        <v>0</v>
      </c>
      <c r="J17" s="361">
        <f t="shared" ca="1" si="6"/>
        <v>0</v>
      </c>
      <c r="K17" s="362">
        <f t="shared" ca="1" si="7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500"/>
      <c r="C18" s="501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24" ca="1" si="8">IF(OR(D18="MDU",D18="MDU-KD"),(IF($O$3="RAB NON MDU","PLN KD",G18*F18)),0)</f>
        <v>0</v>
      </c>
      <c r="I18" s="361">
        <f t="shared" ref="I18:I24" ca="1" si="9">IF(D18="HDW",G18*F18,0)</f>
        <v>0</v>
      </c>
      <c r="J18" s="361">
        <f t="shared" ref="J18:J24" ca="1" si="10">IF(D18="JASA",G18*F18,0)</f>
        <v>0</v>
      </c>
      <c r="K18" s="362">
        <f t="shared" ref="K18:K24" ca="1" si="11">SUM(H18:J18)</f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504" t="s">
        <v>1035</v>
      </c>
      <c r="C19" s="505" t="s">
        <v>1617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485">
        <v>1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504">
        <v>1</v>
      </c>
      <c r="C20" s="505" t="s">
        <v>595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Bh</v>
      </c>
      <c r="F20" s="485">
        <f>F19*1</f>
        <v>1</v>
      </c>
      <c r="G20" s="360">
        <f ca="1">IF(ISERROR(OFFSET('HARGA SATUAN'!$I$6,MATCH(RAB!C20,'HARGA SATUAN'!$C$7:$C$1492,0),0)),0,OFFSET('HARGA SATUAN'!$I$6,MATCH(RAB!C20,'HARGA SATUAN'!$C$7:$C$1492,0),0))</f>
        <v>78500</v>
      </c>
      <c r="H20" s="361">
        <f t="shared" ca="1" si="8"/>
        <v>0</v>
      </c>
      <c r="I20" s="361">
        <f t="shared" ca="1" si="9"/>
        <v>78500</v>
      </c>
      <c r="J20" s="361">
        <f t="shared" ca="1" si="10"/>
        <v>0</v>
      </c>
      <c r="K20" s="362">
        <f t="shared" ca="1" si="11"/>
        <v>78500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504">
        <v>2</v>
      </c>
      <c r="C21" s="505" t="s">
        <v>229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Bh</v>
      </c>
      <c r="F21" s="485">
        <f>F19*1</f>
        <v>1</v>
      </c>
      <c r="G21" s="360">
        <f ca="1">IF(ISERROR(OFFSET('HARGA SATUAN'!$I$6,MATCH(RAB!C21,'HARGA SATUAN'!$C$7:$C$1492,0),0)),0,OFFSET('HARGA SATUAN'!$I$6,MATCH(RAB!C21,'HARGA SATUAN'!$C$7:$C$1492,0),0))</f>
        <v>4212</v>
      </c>
      <c r="H21" s="361">
        <f t="shared" ca="1" si="8"/>
        <v>0</v>
      </c>
      <c r="I21" s="361">
        <f t="shared" ca="1" si="9"/>
        <v>4212</v>
      </c>
      <c r="J21" s="361">
        <f t="shared" ca="1" si="10"/>
        <v>0</v>
      </c>
      <c r="K21" s="362">
        <f t="shared" ca="1" si="11"/>
        <v>4212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504">
        <v>3</v>
      </c>
      <c r="C22" s="505" t="s">
        <v>266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Mtr</v>
      </c>
      <c r="F22" s="485">
        <f>F19*1</f>
        <v>1</v>
      </c>
      <c r="G22" s="360">
        <f ca="1">IF(ISERROR(OFFSET('HARGA SATUAN'!$I$6,MATCH(RAB!C22,'HARGA SATUAN'!$C$7:$C$1492,0),0)),0,OFFSET('HARGA SATUAN'!$I$6,MATCH(RAB!C22,'HARGA SATUAN'!$C$7:$C$1492,0),0))</f>
        <v>23310</v>
      </c>
      <c r="H22" s="361">
        <f t="shared" ca="1" si="8"/>
        <v>0</v>
      </c>
      <c r="I22" s="361">
        <f t="shared" ca="1" si="9"/>
        <v>23310</v>
      </c>
      <c r="J22" s="361">
        <f t="shared" ca="1" si="10"/>
        <v>0</v>
      </c>
      <c r="K22" s="362">
        <f t="shared" ca="1" si="11"/>
        <v>23310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504">
        <v>4</v>
      </c>
      <c r="C23" s="505" t="s">
        <v>35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85">
        <f>F19*1</f>
        <v>1</v>
      </c>
      <c r="G23" s="360">
        <f ca="1">IF(ISERROR(OFFSET('HARGA SATUAN'!$I$6,MATCH(RAB!C23,'HARGA SATUAN'!$C$7:$C$1492,0),0)),0,OFFSET('HARGA SATUAN'!$I$6,MATCH(RAB!C23,'HARGA SATUAN'!$C$7:$C$1492,0),0))</f>
        <v>2300</v>
      </c>
      <c r="H23" s="361">
        <f t="shared" ca="1" si="8"/>
        <v>0</v>
      </c>
      <c r="I23" s="361">
        <f t="shared" ca="1" si="9"/>
        <v>2300</v>
      </c>
      <c r="J23" s="361">
        <f t="shared" ca="1" si="10"/>
        <v>0</v>
      </c>
      <c r="K23" s="362">
        <f t="shared" ca="1" si="11"/>
        <v>2300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04">
        <v>5</v>
      </c>
      <c r="C24" s="505" t="s">
        <v>630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5">
        <f>F19*1</f>
        <v>1</v>
      </c>
      <c r="G24" s="360">
        <f ca="1">IF(ISERROR(OFFSET('HARGA SATUAN'!$I$6,MATCH(RAB!C24,'HARGA SATUAN'!$C$7:$C$1492,0),0)),0,OFFSET('HARGA SATUAN'!$I$6,MATCH(RAB!C24,'HARGA SATUAN'!$C$7:$C$1492,0),0))</f>
        <v>35700</v>
      </c>
      <c r="H24" s="361">
        <f t="shared" ca="1" si="8"/>
        <v>0</v>
      </c>
      <c r="I24" s="361">
        <f t="shared" ca="1" si="9"/>
        <v>0</v>
      </c>
      <c r="J24" s="361">
        <f t="shared" ca="1" si="10"/>
        <v>35700</v>
      </c>
      <c r="K24" s="362">
        <f t="shared" ca="1" si="11"/>
        <v>35700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4"/>
      <c r="C25" s="505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485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ref="H25" ca="1" si="12">IF(OR(D25="MDU",D25="MDU-KD"),(IF($O$3="RAB NON MDU","PLN KD",G25*F25)),0)</f>
        <v>0</v>
      </c>
      <c r="I25" s="361">
        <f t="shared" ref="I25" ca="1" si="13">IF(D25="HDW",G25*F25,0)</f>
        <v>0</v>
      </c>
      <c r="J25" s="361">
        <f t="shared" ref="J25" ca="1" si="14">IF(D25="JASA",G25*F25,0)</f>
        <v>0</v>
      </c>
      <c r="K25" s="362">
        <f t="shared" ref="K25" ca="1" si="15">SUM(H25:J25)</f>
        <v>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65" customFormat="1">
      <c r="A26" s="336"/>
      <c r="B26" s="374" t="s">
        <v>1549</v>
      </c>
      <c r="C26" s="375" t="s">
        <v>1615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368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ref="H26" ca="1" si="16">IF(OR(D26="MDU",D26="MDU-KD"),(IF($O$3="RAB NON MDU","PLN KD",G26*F26)),0)</f>
        <v>0</v>
      </c>
      <c r="I26" s="361">
        <f t="shared" ref="I26" ca="1" si="17">IF(D26="HDW",G26*F26,0)</f>
        <v>0</v>
      </c>
      <c r="J26" s="361">
        <f t="shared" ref="J26" ca="1" si="18">IF(D26="JASA",G26*F26,0)</f>
        <v>0</v>
      </c>
      <c r="K26" s="362">
        <f t="shared" ref="K26" ca="1" si="19">SUM(H26:J26)</f>
        <v>0</v>
      </c>
      <c r="L26" s="342"/>
      <c r="M26" s="342"/>
      <c r="N26" s="369"/>
      <c r="O26" s="344"/>
      <c r="P26" s="344"/>
      <c r="Q26" s="399"/>
      <c r="R26" s="344"/>
      <c r="S26" s="399"/>
      <c r="T26" s="400"/>
      <c r="U26" s="400"/>
      <c r="V26" s="400"/>
    </row>
    <row r="27" spans="1:22" s="365" customFormat="1">
      <c r="A27" s="336"/>
      <c r="B27" s="374"/>
      <c r="C27" s="375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368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ref="H27:H50" ca="1" si="20">IF(OR(D27="MDU",D27="MDU-KD"),(IF($O$3="RAB NON MDU","PLN KD",G27*F27)),0)</f>
        <v>0</v>
      </c>
      <c r="I27" s="361">
        <f t="shared" ref="I27:I50" ca="1" si="21">IF(D27="HDW",G27*F27,0)</f>
        <v>0</v>
      </c>
      <c r="J27" s="361">
        <f t="shared" ref="J27:J50" ca="1" si="22">IF(D27="JASA",G27*F27,0)</f>
        <v>0</v>
      </c>
      <c r="K27" s="362">
        <f t="shared" ref="K27:K50" ca="1" si="23">SUM(H27:J27)</f>
        <v>0</v>
      </c>
      <c r="L27" s="342"/>
      <c r="M27" s="342"/>
      <c r="N27" s="369"/>
      <c r="O27" s="344"/>
      <c r="P27" s="344"/>
      <c r="Q27" s="399"/>
      <c r="R27" s="344"/>
      <c r="S27" s="399"/>
      <c r="T27" s="400"/>
      <c r="U27" s="400"/>
      <c r="V27" s="400"/>
    </row>
    <row r="28" spans="1:22" s="365" customFormat="1">
      <c r="A28" s="336"/>
      <c r="B28" s="512" t="s">
        <v>1035</v>
      </c>
      <c r="C28" s="513" t="s">
        <v>1628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85">
        <v>1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20"/>
        <v>0</v>
      </c>
      <c r="I28" s="361">
        <f t="shared" ca="1" si="21"/>
        <v>0</v>
      </c>
      <c r="J28" s="361">
        <f t="shared" ca="1" si="22"/>
        <v>0</v>
      </c>
      <c r="K28" s="362">
        <f t="shared" ca="1" si="23"/>
        <v>0</v>
      </c>
      <c r="L28" s="342"/>
      <c r="M28" s="342"/>
      <c r="N28" s="369"/>
      <c r="O28" s="344"/>
      <c r="P28" s="344"/>
      <c r="Q28" s="399"/>
      <c r="R28" s="344"/>
      <c r="S28" s="399"/>
      <c r="T28" s="400"/>
      <c r="U28" s="400"/>
      <c r="V28" s="400"/>
    </row>
    <row r="29" spans="1:22" s="365" customFormat="1">
      <c r="A29" s="336"/>
      <c r="B29" s="512">
        <v>1</v>
      </c>
      <c r="C29" s="513" t="s">
        <v>1146</v>
      </c>
      <c r="D29" s="358" t="str">
        <f ca="1">IF(ISERROR(OFFSET('HARGA SATUAN'!$D$6,MATCH(RAB!C29,'HARGA SATUAN'!$C$7:$C$1492,0),0)),"",OFFSET('HARGA SATUAN'!$D$6,MATCH(RAB!C29,'HARGA SATUAN'!$C$7:$C$1492,0),0))</f>
        <v>MDU-KD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5">
        <f>F28*1</f>
        <v>1</v>
      </c>
      <c r="G29" s="360">
        <f ca="1">IF(ISERROR(OFFSET('HARGA SATUAN'!$I$6,MATCH(RAB!C29,'HARGA SATUAN'!$C$7:$C$1492,0),0)),0,OFFSET('HARGA SATUAN'!$I$6,MATCH(RAB!C29,'HARGA SATUAN'!$C$7:$C$1492,0),0))</f>
        <v>42757200</v>
      </c>
      <c r="H29" s="361">
        <f t="shared" ca="1" si="20"/>
        <v>42757200</v>
      </c>
      <c r="I29" s="361">
        <f t="shared" ca="1" si="21"/>
        <v>0</v>
      </c>
      <c r="J29" s="361">
        <f t="shared" ca="1" si="22"/>
        <v>0</v>
      </c>
      <c r="K29" s="362">
        <f t="shared" ca="1" si="23"/>
        <v>42757200</v>
      </c>
      <c r="L29" s="342"/>
      <c r="M29" s="342"/>
      <c r="N29" s="369"/>
      <c r="O29" s="344"/>
      <c r="P29" s="344"/>
      <c r="Q29" s="399"/>
      <c r="R29" s="344"/>
      <c r="S29" s="399"/>
      <c r="T29" s="400"/>
      <c r="U29" s="400"/>
      <c r="V29" s="400"/>
    </row>
    <row r="30" spans="1:22" s="365" customFormat="1">
      <c r="A30" s="336"/>
      <c r="B30" s="514">
        <v>2</v>
      </c>
      <c r="C30" s="515" t="s">
        <v>1629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16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0"/>
        <v>0</v>
      </c>
      <c r="I30" s="361">
        <f t="shared" ca="1" si="21"/>
        <v>0</v>
      </c>
      <c r="J30" s="361">
        <f t="shared" ca="1" si="22"/>
        <v>0</v>
      </c>
      <c r="K30" s="362">
        <f t="shared" ca="1" si="23"/>
        <v>0</v>
      </c>
      <c r="L30" s="342"/>
      <c r="M30" s="342"/>
      <c r="N30" s="369"/>
      <c r="O30" s="344"/>
      <c r="P30" s="344"/>
      <c r="Q30" s="399"/>
      <c r="R30" s="344"/>
      <c r="S30" s="399"/>
      <c r="T30" s="400"/>
      <c r="U30" s="400"/>
      <c r="V30" s="400"/>
    </row>
    <row r="31" spans="1:22" s="365" customFormat="1">
      <c r="A31" s="336"/>
      <c r="B31" s="512"/>
      <c r="C31" s="515" t="s">
        <v>65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85">
        <f>F28*(3*3)</f>
        <v>9</v>
      </c>
      <c r="G31" s="360">
        <f ca="1">IF(ISERROR(OFFSET('HARGA SATUAN'!$I$6,MATCH(RAB!C31,'HARGA SATUAN'!$C$7:$C$1492,0),0)),0,OFFSET('HARGA SATUAN'!$I$6,MATCH(RAB!C31,'HARGA SATUAN'!$C$7:$C$1492,0),0))</f>
        <v>14200</v>
      </c>
      <c r="H31" s="361">
        <f t="shared" ca="1" si="20"/>
        <v>127800</v>
      </c>
      <c r="I31" s="361">
        <f t="shared" ca="1" si="21"/>
        <v>0</v>
      </c>
      <c r="J31" s="361">
        <f t="shared" ca="1" si="22"/>
        <v>0</v>
      </c>
      <c r="K31" s="362">
        <f t="shared" ca="1" si="23"/>
        <v>127800</v>
      </c>
      <c r="L31" s="342"/>
      <c r="M31" s="342"/>
      <c r="N31" s="369"/>
      <c r="O31" s="344"/>
      <c r="P31" s="344"/>
      <c r="Q31" s="399"/>
      <c r="R31" s="344"/>
      <c r="S31" s="399"/>
      <c r="T31" s="400"/>
      <c r="U31" s="400"/>
      <c r="V31" s="400"/>
    </row>
    <row r="32" spans="1:22" s="365" customFormat="1">
      <c r="A32" s="336"/>
      <c r="B32" s="512"/>
      <c r="C32" s="109" t="s">
        <v>1462</v>
      </c>
      <c r="D32" s="358" t="str">
        <f ca="1">IF(ISERROR(OFFSET('HARGA SATUAN'!$D$6,MATCH(RAB!C32,'HARGA SATUAN'!$C$7:$C$1492,0),0)),"",OFFSET('HARGA SATUAN'!$D$6,MATCH(RAB!C32,'HARGA SATUAN'!$C$7:$C$1492,0),0))</f>
        <v>MDU-KD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485">
        <f>F28*3</f>
        <v>3</v>
      </c>
      <c r="G32" s="360">
        <f ca="1">IF(ISERROR(OFFSET('HARGA SATUAN'!$I$6,MATCH(RAB!C32,'HARGA SATUAN'!$C$7:$C$1492,0),0)),0,OFFSET('HARGA SATUAN'!$I$6,MATCH(RAB!C32,'HARGA SATUAN'!$C$7:$C$1492,0),0))</f>
        <v>54500</v>
      </c>
      <c r="H32" s="361">
        <f t="shared" ca="1" si="20"/>
        <v>163500</v>
      </c>
      <c r="I32" s="361">
        <f t="shared" ca="1" si="21"/>
        <v>0</v>
      </c>
      <c r="J32" s="361">
        <f t="shared" ca="1" si="22"/>
        <v>0</v>
      </c>
      <c r="K32" s="362">
        <f t="shared" ca="1" si="23"/>
        <v>163500</v>
      </c>
      <c r="L32" s="342"/>
      <c r="M32" s="342"/>
      <c r="N32" s="369"/>
      <c r="O32" s="344"/>
      <c r="P32" s="344"/>
      <c r="Q32" s="399"/>
      <c r="R32" s="344"/>
      <c r="S32" s="399"/>
      <c r="T32" s="400"/>
      <c r="U32" s="400"/>
      <c r="V32" s="400"/>
    </row>
    <row r="33" spans="1:22" s="365" customFormat="1">
      <c r="A33" s="336"/>
      <c r="B33" s="512">
        <v>3</v>
      </c>
      <c r="C33" s="109" t="s">
        <v>559</v>
      </c>
      <c r="D33" s="358" t="str">
        <f ca="1">IF(ISERROR(OFFSET('HARGA SATUAN'!$D$6,MATCH(RAB!C33,'HARGA SATUAN'!$C$7:$C$1492,0),0)),"",OFFSET('HARGA SATUAN'!$D$6,MATCH(RAB!C33,'HARGA SATUAN'!$C$7:$C$1492,0),0))</f>
        <v>MDU-KD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5">
        <f>F28*3</f>
        <v>3</v>
      </c>
      <c r="G33" s="360">
        <f ca="1">IF(ISERROR(OFFSET('HARGA SATUAN'!$I$6,MATCH(RAB!C33,'HARGA SATUAN'!$C$7:$C$1492,0),0)),0,OFFSET('HARGA SATUAN'!$I$6,MATCH(RAB!C33,'HARGA SATUAN'!$C$7:$C$1492,0),0))</f>
        <v>725900</v>
      </c>
      <c r="H33" s="361">
        <f t="shared" ca="1" si="20"/>
        <v>2177700</v>
      </c>
      <c r="I33" s="361">
        <f t="shared" ca="1" si="21"/>
        <v>0</v>
      </c>
      <c r="J33" s="361">
        <f t="shared" ca="1" si="22"/>
        <v>0</v>
      </c>
      <c r="K33" s="362">
        <f t="shared" ca="1" si="23"/>
        <v>2177700</v>
      </c>
      <c r="L33" s="342"/>
      <c r="M33" s="342"/>
      <c r="N33" s="369"/>
      <c r="O33" s="344"/>
      <c r="P33" s="344"/>
      <c r="Q33" s="399"/>
      <c r="R33" s="344"/>
      <c r="S33" s="399"/>
      <c r="T33" s="400"/>
      <c r="U33" s="400"/>
      <c r="V33" s="400"/>
    </row>
    <row r="34" spans="1:22" s="365" customFormat="1">
      <c r="A34" s="336"/>
      <c r="B34" s="512">
        <v>4</v>
      </c>
      <c r="C34" s="513" t="s">
        <v>535</v>
      </c>
      <c r="D34" s="358" t="str">
        <f ca="1">IF(ISERROR(OFFSET('HARGA SATUAN'!$D$6,MATCH(RAB!C34,'HARGA SATUAN'!$C$7:$C$1492,0),0)),"",OFFSET('HARGA SATUAN'!$D$6,MATCH(RAB!C34,'HARGA SATUAN'!$C$7:$C$1492,0),0))</f>
        <v>MDU-KD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5">
        <f>F28*3</f>
        <v>3</v>
      </c>
      <c r="G34" s="360">
        <f ca="1">IF(ISERROR(OFFSET('HARGA SATUAN'!$I$6,MATCH(RAB!C34,'HARGA SATUAN'!$C$7:$C$1492,0),0)),0,OFFSET('HARGA SATUAN'!$I$6,MATCH(RAB!C34,'HARGA SATUAN'!$C$7:$C$1492,0),0))</f>
        <v>848250</v>
      </c>
      <c r="H34" s="361">
        <f t="shared" ca="1" si="20"/>
        <v>2544750</v>
      </c>
      <c r="I34" s="361">
        <f t="shared" ca="1" si="21"/>
        <v>0</v>
      </c>
      <c r="J34" s="361">
        <f t="shared" ca="1" si="22"/>
        <v>0</v>
      </c>
      <c r="K34" s="362">
        <f t="shared" ca="1" si="23"/>
        <v>2544750</v>
      </c>
      <c r="L34" s="342"/>
      <c r="M34" s="342"/>
      <c r="N34" s="369"/>
      <c r="O34" s="344"/>
      <c r="P34" s="344"/>
      <c r="Q34" s="399"/>
      <c r="R34" s="344"/>
      <c r="S34" s="399"/>
      <c r="T34" s="400"/>
      <c r="U34" s="400"/>
      <c r="V34" s="400"/>
    </row>
    <row r="35" spans="1:22" s="365" customFormat="1">
      <c r="A35" s="336"/>
      <c r="B35" s="512">
        <v>5</v>
      </c>
      <c r="C35" s="513" t="s">
        <v>537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5">
        <f>F28*3</f>
        <v>3</v>
      </c>
      <c r="G35" s="360">
        <f ca="1">IF(ISERROR(OFFSET('HARGA SATUAN'!$I$6,MATCH(RAB!C35,'HARGA SATUAN'!$C$7:$C$1492,0),0)),0,OFFSET('HARGA SATUAN'!$I$6,MATCH(RAB!C35,'HARGA SATUAN'!$C$7:$C$1492,0),0))</f>
        <v>17500</v>
      </c>
      <c r="H35" s="361">
        <f t="shared" ca="1" si="20"/>
        <v>0</v>
      </c>
      <c r="I35" s="361">
        <f t="shared" ca="1" si="21"/>
        <v>52500</v>
      </c>
      <c r="J35" s="361">
        <f t="shared" ca="1" si="22"/>
        <v>0</v>
      </c>
      <c r="K35" s="362">
        <f t="shared" ca="1" si="23"/>
        <v>52500</v>
      </c>
      <c r="L35" s="342"/>
      <c r="M35" s="342"/>
      <c r="N35" s="369"/>
      <c r="O35" s="344"/>
      <c r="P35" s="344"/>
      <c r="Q35" s="399"/>
      <c r="R35" s="344"/>
      <c r="S35" s="399"/>
      <c r="T35" s="400"/>
      <c r="U35" s="400"/>
      <c r="V35" s="400"/>
    </row>
    <row r="36" spans="1:22" s="365" customFormat="1">
      <c r="A36" s="336"/>
      <c r="B36" s="512">
        <v>6</v>
      </c>
      <c r="C36" s="109" t="s">
        <v>1569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85">
        <f>F28*13</f>
        <v>13</v>
      </c>
      <c r="G36" s="360">
        <f ca="1">IF(ISERROR(OFFSET('HARGA SATUAN'!$I$6,MATCH(RAB!C36,'HARGA SATUAN'!$C$7:$C$1492,0),0)),0,OFFSET('HARGA SATUAN'!$I$6,MATCH(RAB!C36,'HARGA SATUAN'!$C$7:$C$1492,0),0))</f>
        <v>49000</v>
      </c>
      <c r="H36" s="361">
        <f t="shared" ca="1" si="20"/>
        <v>0</v>
      </c>
      <c r="I36" s="361">
        <f t="shared" ca="1" si="21"/>
        <v>637000</v>
      </c>
      <c r="J36" s="361">
        <f t="shared" ca="1" si="22"/>
        <v>0</v>
      </c>
      <c r="K36" s="362">
        <f t="shared" ca="1" si="23"/>
        <v>637000</v>
      </c>
      <c r="L36" s="342"/>
      <c r="M36" s="342"/>
      <c r="N36" s="369"/>
      <c r="O36" s="344"/>
      <c r="P36" s="344"/>
      <c r="Q36" s="399"/>
      <c r="R36" s="344"/>
      <c r="S36" s="399"/>
      <c r="T36" s="400"/>
      <c r="U36" s="400"/>
      <c r="V36" s="400"/>
    </row>
    <row r="37" spans="1:22" s="365" customFormat="1">
      <c r="A37" s="336"/>
      <c r="B37" s="512">
        <v>7</v>
      </c>
      <c r="C37" s="513" t="s">
        <v>163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5">
        <f>F28*22</f>
        <v>22</v>
      </c>
      <c r="G37" s="360">
        <f ca="1">IF(ISERROR(OFFSET('HARGA SATUAN'!$I$6,MATCH(RAB!C37,'HARGA SATUAN'!$C$7:$C$1492,0),0)),0,OFFSET('HARGA SATUAN'!$I$6,MATCH(RAB!C37,'HARGA SATUAN'!$C$7:$C$1492,0),0))</f>
        <v>7938</v>
      </c>
      <c r="H37" s="361">
        <f t="shared" ca="1" si="20"/>
        <v>0</v>
      </c>
      <c r="I37" s="361">
        <f t="shared" ca="1" si="21"/>
        <v>174636</v>
      </c>
      <c r="J37" s="361">
        <f t="shared" ca="1" si="22"/>
        <v>0</v>
      </c>
      <c r="K37" s="362">
        <f t="shared" ca="1" si="23"/>
        <v>174636</v>
      </c>
      <c r="L37" s="342"/>
      <c r="M37" s="342"/>
      <c r="N37" s="369"/>
      <c r="O37" s="344"/>
      <c r="P37" s="344"/>
      <c r="Q37" s="399"/>
      <c r="R37" s="344"/>
      <c r="S37" s="399"/>
      <c r="T37" s="400"/>
      <c r="U37" s="400"/>
      <c r="V37" s="400"/>
    </row>
    <row r="38" spans="1:22" s="365" customFormat="1">
      <c r="A38" s="336"/>
      <c r="B38" s="512">
        <v>8</v>
      </c>
      <c r="C38" s="513" t="s">
        <v>176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85">
        <f>F28*1</f>
        <v>1</v>
      </c>
      <c r="G38" s="360">
        <f ca="1">IF(ISERROR(OFFSET('HARGA SATUAN'!$I$6,MATCH(RAB!C38,'HARGA SATUAN'!$C$7:$C$1492,0),0)),0,OFFSET('HARGA SATUAN'!$I$6,MATCH(RAB!C38,'HARGA SATUAN'!$C$7:$C$1492,0),0))</f>
        <v>404600</v>
      </c>
      <c r="H38" s="361">
        <f t="shared" ca="1" si="20"/>
        <v>0</v>
      </c>
      <c r="I38" s="361">
        <f t="shared" ca="1" si="21"/>
        <v>404600</v>
      </c>
      <c r="J38" s="361">
        <f t="shared" ca="1" si="22"/>
        <v>0</v>
      </c>
      <c r="K38" s="362">
        <f t="shared" ca="1" si="23"/>
        <v>404600</v>
      </c>
      <c r="L38" s="342"/>
      <c r="M38" s="342"/>
      <c r="N38" s="369"/>
      <c r="O38" s="344"/>
      <c r="P38" s="344"/>
      <c r="Q38" s="399"/>
      <c r="R38" s="344"/>
      <c r="S38" s="399"/>
      <c r="T38" s="400"/>
      <c r="U38" s="400"/>
      <c r="V38" s="400"/>
    </row>
    <row r="39" spans="1:22" s="365" customFormat="1">
      <c r="A39" s="336"/>
      <c r="B39" s="512">
        <v>9</v>
      </c>
      <c r="C39" s="513" t="s">
        <v>184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85">
        <f>F28*3</f>
        <v>3</v>
      </c>
      <c r="G39" s="360">
        <f ca="1">IF(ISERROR(OFFSET('HARGA SATUAN'!$I$6,MATCH(RAB!C39,'HARGA SATUAN'!$C$7:$C$1492,0),0)),0,OFFSET('HARGA SATUAN'!$I$6,MATCH(RAB!C39,'HARGA SATUAN'!$C$7:$C$1492,0),0))</f>
        <v>15900</v>
      </c>
      <c r="H39" s="361">
        <f t="shared" ca="1" si="20"/>
        <v>0</v>
      </c>
      <c r="I39" s="361">
        <f t="shared" ca="1" si="21"/>
        <v>47700</v>
      </c>
      <c r="J39" s="361">
        <f t="shared" ca="1" si="22"/>
        <v>0</v>
      </c>
      <c r="K39" s="362">
        <f t="shared" ca="1" si="23"/>
        <v>47700</v>
      </c>
      <c r="L39" s="342"/>
      <c r="M39" s="342"/>
      <c r="N39" s="369"/>
      <c r="O39" s="344"/>
      <c r="P39" s="344"/>
      <c r="Q39" s="399"/>
      <c r="R39" s="344"/>
      <c r="S39" s="399"/>
      <c r="T39" s="400"/>
      <c r="U39" s="400"/>
      <c r="V39" s="400"/>
    </row>
    <row r="40" spans="1:22" s="365" customFormat="1">
      <c r="A40" s="336"/>
      <c r="B40" s="512">
        <v>10</v>
      </c>
      <c r="C40" s="513" t="s">
        <v>592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85">
        <f>F28*5</f>
        <v>5</v>
      </c>
      <c r="G40" s="360">
        <f ca="1">IF(ISERROR(OFFSET('HARGA SATUAN'!$I$6,MATCH(RAB!C40,'HARGA SATUAN'!$C$7:$C$1492,0),0)),0,OFFSET('HARGA SATUAN'!$I$6,MATCH(RAB!C40,'HARGA SATUAN'!$C$7:$C$1492,0),0))</f>
        <v>283100</v>
      </c>
      <c r="H40" s="361">
        <f t="shared" ca="1" si="20"/>
        <v>0</v>
      </c>
      <c r="I40" s="361">
        <f t="shared" ca="1" si="21"/>
        <v>1415500</v>
      </c>
      <c r="J40" s="361">
        <f t="shared" ca="1" si="22"/>
        <v>0</v>
      </c>
      <c r="K40" s="362">
        <f t="shared" ca="1" si="23"/>
        <v>1415500</v>
      </c>
      <c r="L40" s="342"/>
      <c r="M40" s="342"/>
      <c r="N40" s="369"/>
      <c r="O40" s="344"/>
      <c r="P40" s="344"/>
      <c r="Q40" s="399"/>
      <c r="R40" s="344"/>
      <c r="S40" s="399"/>
      <c r="T40" s="400"/>
      <c r="U40" s="400"/>
      <c r="V40" s="400"/>
    </row>
    <row r="41" spans="1:22" s="365" customFormat="1">
      <c r="A41" s="336"/>
      <c r="B41" s="512">
        <v>11</v>
      </c>
      <c r="C41" s="513" t="s">
        <v>593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85">
        <f>F28*4</f>
        <v>4</v>
      </c>
      <c r="G41" s="360">
        <f ca="1">IF(ISERROR(OFFSET('HARGA SATUAN'!$I$6,MATCH(RAB!C41,'HARGA SATUAN'!$C$7:$C$1492,0),0)),0,OFFSET('HARGA SATUAN'!$I$6,MATCH(RAB!C41,'HARGA SATUAN'!$C$7:$C$1492,0),0))</f>
        <v>380500</v>
      </c>
      <c r="H41" s="361">
        <f t="shared" ca="1" si="20"/>
        <v>0</v>
      </c>
      <c r="I41" s="361">
        <f t="shared" ca="1" si="21"/>
        <v>1522000</v>
      </c>
      <c r="J41" s="361">
        <f t="shared" ca="1" si="22"/>
        <v>0</v>
      </c>
      <c r="K41" s="362">
        <f t="shared" ca="1" si="23"/>
        <v>1522000</v>
      </c>
      <c r="L41" s="342"/>
      <c r="M41" s="342"/>
      <c r="N41" s="369"/>
      <c r="O41" s="344"/>
      <c r="P41" s="344"/>
      <c r="Q41" s="399"/>
      <c r="R41" s="344"/>
      <c r="S41" s="399"/>
      <c r="T41" s="400"/>
      <c r="U41" s="400"/>
      <c r="V41" s="400"/>
    </row>
    <row r="42" spans="1:22" s="365" customFormat="1">
      <c r="A42" s="336"/>
      <c r="B42" s="512">
        <v>12</v>
      </c>
      <c r="C42" s="513" t="s">
        <v>208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85">
        <f>F28*3</f>
        <v>3</v>
      </c>
      <c r="G42" s="360">
        <f ca="1">IF(ISERROR(OFFSET('HARGA SATUAN'!$I$6,MATCH(RAB!C42,'HARGA SATUAN'!$C$7:$C$1492,0),0)),0,OFFSET('HARGA SATUAN'!$I$6,MATCH(RAB!C42,'HARGA SATUAN'!$C$7:$C$1492,0),0))</f>
        <v>173400</v>
      </c>
      <c r="H42" s="361">
        <f t="shared" ca="1" si="20"/>
        <v>0</v>
      </c>
      <c r="I42" s="361">
        <f t="shared" ca="1" si="21"/>
        <v>520200</v>
      </c>
      <c r="J42" s="361">
        <f t="shared" ca="1" si="22"/>
        <v>0</v>
      </c>
      <c r="K42" s="362">
        <f t="shared" ca="1" si="23"/>
        <v>520200</v>
      </c>
      <c r="L42" s="342"/>
      <c r="M42" s="342"/>
      <c r="N42" s="369"/>
      <c r="O42" s="344"/>
      <c r="P42" s="344"/>
      <c r="Q42" s="399"/>
      <c r="R42" s="344"/>
      <c r="S42" s="399"/>
      <c r="T42" s="400"/>
      <c r="U42" s="400"/>
      <c r="V42" s="400"/>
    </row>
    <row r="43" spans="1:22" s="365" customFormat="1">
      <c r="A43" s="336"/>
      <c r="B43" s="512">
        <v>13</v>
      </c>
      <c r="C43" s="513" t="s">
        <v>247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85">
        <f>F28*1</f>
        <v>1</v>
      </c>
      <c r="G43" s="360">
        <f ca="1">IF(ISERROR(OFFSET('HARGA SATUAN'!$I$6,MATCH(RAB!C43,'HARGA SATUAN'!$C$7:$C$1492,0),0)),0,OFFSET('HARGA SATUAN'!$I$6,MATCH(RAB!C43,'HARGA SATUAN'!$C$7:$C$1492,0),0))</f>
        <v>57690</v>
      </c>
      <c r="H43" s="361">
        <f t="shared" ca="1" si="20"/>
        <v>0</v>
      </c>
      <c r="I43" s="361">
        <f t="shared" ca="1" si="21"/>
        <v>57690</v>
      </c>
      <c r="J43" s="361">
        <f t="shared" ca="1" si="22"/>
        <v>0</v>
      </c>
      <c r="K43" s="362">
        <f t="shared" ca="1" si="23"/>
        <v>57690</v>
      </c>
      <c r="L43" s="342"/>
      <c r="M43" s="342"/>
      <c r="N43" s="369"/>
      <c r="O43" s="344"/>
      <c r="P43" s="344"/>
      <c r="Q43" s="399"/>
      <c r="R43" s="344"/>
      <c r="S43" s="399"/>
      <c r="T43" s="400"/>
      <c r="U43" s="400"/>
      <c r="V43" s="400"/>
    </row>
    <row r="44" spans="1:22" s="365" customFormat="1">
      <c r="A44" s="336"/>
      <c r="B44" s="512">
        <v>14</v>
      </c>
      <c r="C44" s="513" t="s">
        <v>234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85">
        <f>F28*2</f>
        <v>2</v>
      </c>
      <c r="G44" s="360">
        <f ca="1">IF(ISERROR(OFFSET('HARGA SATUAN'!$I$6,MATCH(RAB!C44,'HARGA SATUAN'!$C$7:$C$1492,0),0)),0,OFFSET('HARGA SATUAN'!$I$6,MATCH(RAB!C44,'HARGA SATUAN'!$C$7:$C$1492,0),0))</f>
        <v>67500</v>
      </c>
      <c r="H44" s="361">
        <f t="shared" ca="1" si="20"/>
        <v>0</v>
      </c>
      <c r="I44" s="361">
        <f t="shared" ca="1" si="21"/>
        <v>135000</v>
      </c>
      <c r="J44" s="361">
        <f t="shared" ca="1" si="22"/>
        <v>0</v>
      </c>
      <c r="K44" s="362">
        <f t="shared" ca="1" si="23"/>
        <v>135000</v>
      </c>
      <c r="L44" s="342"/>
      <c r="M44" s="342"/>
      <c r="N44" s="369"/>
      <c r="O44" s="344"/>
      <c r="P44" s="344"/>
      <c r="Q44" s="399"/>
      <c r="R44" s="344"/>
      <c r="S44" s="399"/>
      <c r="T44" s="400"/>
      <c r="U44" s="400"/>
      <c r="V44" s="400"/>
    </row>
    <row r="45" spans="1:22" s="365" customFormat="1">
      <c r="A45" s="336"/>
      <c r="B45" s="512">
        <v>15</v>
      </c>
      <c r="C45" s="513" t="s">
        <v>267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85">
        <f>F28*2</f>
        <v>2</v>
      </c>
      <c r="G45" s="360">
        <f ca="1">IF(ISERROR(OFFSET('HARGA SATUAN'!$I$6,MATCH(RAB!C45,'HARGA SATUAN'!$C$7:$C$1492,0),0)),0,OFFSET('HARGA SATUAN'!$I$6,MATCH(RAB!C45,'HARGA SATUAN'!$C$7:$C$1492,0),0))</f>
        <v>129000</v>
      </c>
      <c r="H45" s="361">
        <f t="shared" ca="1" si="20"/>
        <v>0</v>
      </c>
      <c r="I45" s="361">
        <f t="shared" ca="1" si="21"/>
        <v>258000</v>
      </c>
      <c r="J45" s="361">
        <f t="shared" ca="1" si="22"/>
        <v>0</v>
      </c>
      <c r="K45" s="362">
        <f t="shared" ca="1" si="23"/>
        <v>258000</v>
      </c>
      <c r="L45" s="342"/>
      <c r="M45" s="342"/>
      <c r="N45" s="369"/>
      <c r="O45" s="344"/>
      <c r="P45" s="344"/>
      <c r="Q45" s="399"/>
      <c r="R45" s="344"/>
      <c r="S45" s="399"/>
      <c r="T45" s="400"/>
      <c r="U45" s="400"/>
      <c r="V45" s="400"/>
    </row>
    <row r="46" spans="1:22" s="365" customFormat="1">
      <c r="A46" s="336"/>
      <c r="B46" s="512">
        <v>16</v>
      </c>
      <c r="C46" s="513" t="s">
        <v>607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85">
        <f>F28*4</f>
        <v>4</v>
      </c>
      <c r="G46" s="360">
        <f ca="1">IF(ISERROR(OFFSET('HARGA SATUAN'!$I$6,MATCH(RAB!C46,'HARGA SATUAN'!$C$7:$C$1492,0),0)),0,OFFSET('HARGA SATUAN'!$I$6,MATCH(RAB!C46,'HARGA SATUAN'!$C$7:$C$1492,0),0))</f>
        <v>250000</v>
      </c>
      <c r="H46" s="361">
        <f t="shared" ca="1" si="20"/>
        <v>0</v>
      </c>
      <c r="I46" s="361">
        <f t="shared" ca="1" si="21"/>
        <v>1000000</v>
      </c>
      <c r="J46" s="361">
        <f t="shared" ca="1" si="22"/>
        <v>0</v>
      </c>
      <c r="K46" s="362">
        <f t="shared" ca="1" si="23"/>
        <v>1000000</v>
      </c>
      <c r="L46" s="342"/>
      <c r="M46" s="342"/>
      <c r="N46" s="369"/>
      <c r="O46" s="344"/>
      <c r="P46" s="344"/>
      <c r="Q46" s="399"/>
      <c r="R46" s="344"/>
      <c r="S46" s="399"/>
      <c r="T46" s="400"/>
      <c r="U46" s="400"/>
      <c r="V46" s="400"/>
    </row>
    <row r="47" spans="1:22" s="365" customFormat="1">
      <c r="A47" s="336"/>
      <c r="B47" s="512">
        <v>17</v>
      </c>
      <c r="C47" s="513" t="s">
        <v>783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485">
        <f>F28*1</f>
        <v>1</v>
      </c>
      <c r="G47" s="360">
        <f ca="1">IF(ISERROR(OFFSET('HARGA SATUAN'!$I$6,MATCH(RAB!C47,'HARGA SATUAN'!$C$7:$C$1492,0),0)),0,OFFSET('HARGA SATUAN'!$I$6,MATCH(RAB!C47,'HARGA SATUAN'!$C$7:$C$1492,0),0))</f>
        <v>1182800</v>
      </c>
      <c r="H47" s="361">
        <f t="shared" ca="1" si="20"/>
        <v>0</v>
      </c>
      <c r="I47" s="361">
        <f t="shared" ca="1" si="21"/>
        <v>0</v>
      </c>
      <c r="J47" s="361">
        <f t="shared" ca="1" si="22"/>
        <v>1182800</v>
      </c>
      <c r="K47" s="362">
        <f t="shared" ca="1" si="23"/>
        <v>1182800</v>
      </c>
      <c r="L47" s="342"/>
      <c r="M47" s="342"/>
      <c r="N47" s="369"/>
      <c r="O47" s="344"/>
      <c r="P47" s="344"/>
      <c r="Q47" s="399"/>
      <c r="R47" s="344"/>
      <c r="S47" s="399"/>
      <c r="T47" s="400"/>
      <c r="U47" s="400"/>
      <c r="V47" s="400"/>
    </row>
    <row r="48" spans="1:22" s="365" customFormat="1">
      <c r="A48" s="336"/>
      <c r="B48" s="374"/>
      <c r="C48" s="375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368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0"/>
        <v>0</v>
      </c>
      <c r="I48" s="361">
        <f t="shared" ca="1" si="21"/>
        <v>0</v>
      </c>
      <c r="J48" s="361">
        <f t="shared" ca="1" si="22"/>
        <v>0</v>
      </c>
      <c r="K48" s="362">
        <f t="shared" ca="1" si="23"/>
        <v>0</v>
      </c>
      <c r="L48" s="342"/>
      <c r="M48" s="342"/>
      <c r="N48" s="369"/>
      <c r="O48" s="344"/>
      <c r="P48" s="344"/>
      <c r="Q48" s="399"/>
      <c r="R48" s="344"/>
      <c r="S48" s="399"/>
      <c r="T48" s="400"/>
      <c r="U48" s="400"/>
      <c r="V48" s="400"/>
    </row>
    <row r="49" spans="1:22" s="365" customFormat="1">
      <c r="A49" s="336"/>
      <c r="B49" s="514" t="s">
        <v>1035</v>
      </c>
      <c r="C49" s="517" t="s">
        <v>1630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485">
        <v>1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20"/>
        <v>0</v>
      </c>
      <c r="I49" s="361">
        <f t="shared" ca="1" si="21"/>
        <v>0</v>
      </c>
      <c r="J49" s="361">
        <f t="shared" ca="1" si="22"/>
        <v>0</v>
      </c>
      <c r="K49" s="362">
        <f t="shared" ca="1" si="23"/>
        <v>0</v>
      </c>
      <c r="L49" s="342"/>
      <c r="M49" s="342"/>
      <c r="N49" s="369"/>
      <c r="O49" s="344"/>
      <c r="P49" s="344"/>
      <c r="Q49" s="399"/>
      <c r="R49" s="344"/>
      <c r="S49" s="399"/>
      <c r="T49" s="400"/>
      <c r="U49" s="400"/>
      <c r="V49" s="400"/>
    </row>
    <row r="50" spans="1:22" s="365" customFormat="1">
      <c r="A50" s="336"/>
      <c r="B50" s="514">
        <v>1</v>
      </c>
      <c r="C50" s="518" t="s">
        <v>29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85">
        <f>F49*1</f>
        <v>1</v>
      </c>
      <c r="G50" s="360">
        <f ca="1">IF(ISERROR(OFFSET('HARGA SATUAN'!$I$6,MATCH(RAB!C50,'HARGA SATUAN'!$C$7:$C$1492,0),0)),0,OFFSET('HARGA SATUAN'!$I$6,MATCH(RAB!C50,'HARGA SATUAN'!$C$7:$C$1492,0),0))</f>
        <v>185200</v>
      </c>
      <c r="H50" s="361">
        <f t="shared" ca="1" si="20"/>
        <v>0</v>
      </c>
      <c r="I50" s="361">
        <f t="shared" ca="1" si="21"/>
        <v>185200</v>
      </c>
      <c r="J50" s="361">
        <f t="shared" ca="1" si="22"/>
        <v>0</v>
      </c>
      <c r="K50" s="362">
        <f t="shared" ca="1" si="23"/>
        <v>185200</v>
      </c>
      <c r="L50" s="342"/>
      <c r="M50" s="342"/>
      <c r="N50" s="369"/>
      <c r="O50" s="344"/>
      <c r="P50" s="344"/>
      <c r="Q50" s="399"/>
      <c r="R50" s="344"/>
      <c r="S50" s="399"/>
      <c r="T50" s="400"/>
      <c r="U50" s="400"/>
      <c r="V50" s="400"/>
    </row>
    <row r="51" spans="1:22" s="365" customFormat="1">
      <c r="A51" s="336"/>
      <c r="B51" s="512">
        <v>2</v>
      </c>
      <c r="C51" s="513" t="s">
        <v>30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85">
        <f>F49*1</f>
        <v>1</v>
      </c>
      <c r="G51" s="360">
        <f ca="1">IF(ISERROR(OFFSET('HARGA SATUAN'!$I$6,MATCH(RAB!C51,'HARGA SATUAN'!$C$7:$C$1492,0),0)),0,OFFSET('HARGA SATUAN'!$I$6,MATCH(RAB!C51,'HARGA SATUAN'!$C$7:$C$1492,0),0))</f>
        <v>47459</v>
      </c>
      <c r="H51" s="361">
        <f t="shared" ref="H51:H60" ca="1" si="24">IF(OR(D51="MDU",D51="MDU-KD"),(IF($O$3="RAB NON MDU","PLN KD",G51*F51)),0)</f>
        <v>0</v>
      </c>
      <c r="I51" s="361">
        <f t="shared" ref="I51:I60" ca="1" si="25">IF(D51="HDW",G51*F51,0)</f>
        <v>47459</v>
      </c>
      <c r="J51" s="361">
        <f t="shared" ref="J51:J60" ca="1" si="26">IF(D51="JASA",G51*F51,0)</f>
        <v>0</v>
      </c>
      <c r="K51" s="362">
        <f t="shared" ref="K51:K60" ca="1" si="27">SUM(H51:J51)</f>
        <v>47459</v>
      </c>
      <c r="L51" s="342"/>
      <c r="M51" s="342"/>
      <c r="N51" s="369"/>
      <c r="O51" s="344"/>
      <c r="P51" s="344"/>
      <c r="Q51" s="399"/>
      <c r="R51" s="344"/>
      <c r="S51" s="399"/>
      <c r="T51" s="400"/>
      <c r="U51" s="400"/>
      <c r="V51" s="400"/>
    </row>
    <row r="52" spans="1:22" s="365" customFormat="1">
      <c r="A52" s="336"/>
      <c r="B52" s="512">
        <v>3</v>
      </c>
      <c r="C52" s="513" t="s">
        <v>31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85">
        <f>F49*1</f>
        <v>1</v>
      </c>
      <c r="G52" s="360">
        <f ca="1">IF(ISERROR(OFFSET('HARGA SATUAN'!$I$6,MATCH(RAB!C52,'HARGA SATUAN'!$C$7:$C$1492,0),0)),0,OFFSET('HARGA SATUAN'!$I$6,MATCH(RAB!C52,'HARGA SATUAN'!$C$7:$C$1492,0),0))</f>
        <v>4880</v>
      </c>
      <c r="H52" s="361">
        <f t="shared" ca="1" si="24"/>
        <v>0</v>
      </c>
      <c r="I52" s="361">
        <f t="shared" ca="1" si="25"/>
        <v>4880</v>
      </c>
      <c r="J52" s="361">
        <f t="shared" ca="1" si="26"/>
        <v>0</v>
      </c>
      <c r="K52" s="362">
        <f t="shared" ca="1" si="27"/>
        <v>4880</v>
      </c>
      <c r="L52" s="342"/>
      <c r="M52" s="342"/>
      <c r="N52" s="369"/>
      <c r="O52" s="344"/>
      <c r="P52" s="344"/>
      <c r="Q52" s="399"/>
      <c r="R52" s="344"/>
      <c r="S52" s="399"/>
      <c r="T52" s="400"/>
      <c r="U52" s="400"/>
      <c r="V52" s="400"/>
    </row>
    <row r="53" spans="1:22" s="365" customFormat="1">
      <c r="A53" s="336"/>
      <c r="B53" s="512">
        <v>4</v>
      </c>
      <c r="C53" s="513" t="s">
        <v>32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485">
        <f>F49*10</f>
        <v>10</v>
      </c>
      <c r="G53" s="360">
        <f ca="1">IF(ISERROR(OFFSET('HARGA SATUAN'!$I$6,MATCH(RAB!C53,'HARGA SATUAN'!$C$7:$C$1492,0),0)),0,OFFSET('HARGA SATUAN'!$I$6,MATCH(RAB!C53,'HARGA SATUAN'!$C$7:$C$1492,0),0))</f>
        <v>30000</v>
      </c>
      <c r="H53" s="361">
        <f t="shared" ca="1" si="24"/>
        <v>0</v>
      </c>
      <c r="I53" s="361">
        <f t="shared" ca="1" si="25"/>
        <v>300000</v>
      </c>
      <c r="J53" s="361">
        <f t="shared" ca="1" si="26"/>
        <v>0</v>
      </c>
      <c r="K53" s="362">
        <f t="shared" ca="1" si="27"/>
        <v>300000</v>
      </c>
      <c r="L53" s="342"/>
      <c r="M53" s="342"/>
      <c r="N53" s="369"/>
      <c r="O53" s="344"/>
      <c r="P53" s="344"/>
      <c r="Q53" s="399"/>
      <c r="R53" s="344"/>
      <c r="S53" s="399"/>
      <c r="T53" s="400"/>
      <c r="U53" s="400"/>
      <c r="V53" s="400"/>
    </row>
    <row r="54" spans="1:22" s="365" customFormat="1">
      <c r="A54" s="336"/>
      <c r="B54" s="512">
        <v>5</v>
      </c>
      <c r="C54" s="513" t="s">
        <v>33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85">
        <f>F49*2</f>
        <v>2</v>
      </c>
      <c r="G54" s="360">
        <f ca="1">IF(ISERROR(OFFSET('HARGA SATUAN'!$I$6,MATCH(RAB!C54,'HARGA SATUAN'!$C$7:$C$1492,0),0)),0,OFFSET('HARGA SATUAN'!$I$6,MATCH(RAB!C54,'HARGA SATUAN'!$C$7:$C$1492,0),0))</f>
        <v>9500</v>
      </c>
      <c r="H54" s="361">
        <f t="shared" ca="1" si="24"/>
        <v>0</v>
      </c>
      <c r="I54" s="361">
        <f t="shared" ca="1" si="25"/>
        <v>19000</v>
      </c>
      <c r="J54" s="361">
        <f t="shared" ca="1" si="26"/>
        <v>0</v>
      </c>
      <c r="K54" s="362">
        <f t="shared" ca="1" si="27"/>
        <v>19000</v>
      </c>
      <c r="L54" s="342"/>
      <c r="M54" s="342"/>
      <c r="N54" s="369"/>
      <c r="O54" s="344"/>
      <c r="P54" s="344"/>
      <c r="Q54" s="399"/>
      <c r="R54" s="344"/>
      <c r="S54" s="399"/>
      <c r="T54" s="400"/>
      <c r="U54" s="400"/>
      <c r="V54" s="400"/>
    </row>
    <row r="55" spans="1:22" s="365" customFormat="1">
      <c r="A55" s="336"/>
      <c r="B55" s="512">
        <v>6</v>
      </c>
      <c r="C55" s="513" t="s">
        <v>34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85">
        <f>F49*5.5</f>
        <v>5.5</v>
      </c>
      <c r="G55" s="360">
        <f ca="1">IF(ISERROR(OFFSET('HARGA SATUAN'!$I$6,MATCH(RAB!C55,'HARGA SATUAN'!$C$7:$C$1492,0),0)),0,OFFSET('HARGA SATUAN'!$I$6,MATCH(RAB!C55,'HARGA SATUAN'!$C$7:$C$1492,0),0))</f>
        <v>6100</v>
      </c>
      <c r="H55" s="361">
        <f t="shared" ca="1" si="24"/>
        <v>0</v>
      </c>
      <c r="I55" s="361">
        <f t="shared" ca="1" si="25"/>
        <v>33550</v>
      </c>
      <c r="J55" s="361">
        <f t="shared" ca="1" si="26"/>
        <v>0</v>
      </c>
      <c r="K55" s="362">
        <f t="shared" ca="1" si="27"/>
        <v>33550</v>
      </c>
      <c r="L55" s="342"/>
      <c r="M55" s="342"/>
      <c r="N55" s="369"/>
      <c r="O55" s="344"/>
      <c r="P55" s="344"/>
      <c r="Q55" s="399"/>
      <c r="R55" s="344"/>
      <c r="S55" s="399"/>
      <c r="T55" s="400"/>
      <c r="U55" s="400"/>
      <c r="V55" s="400"/>
    </row>
    <row r="56" spans="1:22" s="365" customFormat="1">
      <c r="A56" s="336"/>
      <c r="B56" s="512">
        <v>7</v>
      </c>
      <c r="C56" s="513" t="s">
        <v>35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85">
        <f>F49*6</f>
        <v>6</v>
      </c>
      <c r="G56" s="360">
        <f ca="1">IF(ISERROR(OFFSET('HARGA SATUAN'!$I$6,MATCH(RAB!C56,'HARGA SATUAN'!$C$7:$C$1492,0),0)),0,OFFSET('HARGA SATUAN'!$I$6,MATCH(RAB!C56,'HARGA SATUAN'!$C$7:$C$1492,0),0))</f>
        <v>2300</v>
      </c>
      <c r="H56" s="361">
        <f t="shared" ca="1" si="24"/>
        <v>0</v>
      </c>
      <c r="I56" s="361">
        <f t="shared" ca="1" si="25"/>
        <v>13800</v>
      </c>
      <c r="J56" s="361">
        <f t="shared" ca="1" si="26"/>
        <v>0</v>
      </c>
      <c r="K56" s="362">
        <f t="shared" ca="1" si="27"/>
        <v>13800</v>
      </c>
      <c r="L56" s="342"/>
      <c r="M56" s="342"/>
      <c r="N56" s="369"/>
      <c r="O56" s="344"/>
      <c r="P56" s="344"/>
      <c r="Q56" s="399"/>
      <c r="R56" s="344"/>
      <c r="S56" s="399"/>
      <c r="T56" s="400"/>
      <c r="U56" s="400"/>
      <c r="V56" s="400"/>
    </row>
    <row r="57" spans="1:22" s="365" customFormat="1">
      <c r="A57" s="336"/>
      <c r="B57" s="512">
        <v>8</v>
      </c>
      <c r="C57" s="513" t="s">
        <v>1631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Mtr</v>
      </c>
      <c r="F57" s="485">
        <f>F49*4.8</f>
        <v>4.8</v>
      </c>
      <c r="G57" s="360">
        <f ca="1">IF(ISERROR(OFFSET('HARGA SATUAN'!$I$6,MATCH(RAB!C57,'HARGA SATUAN'!$C$7:$C$1492,0),0)),0,OFFSET('HARGA SATUAN'!$I$6,MATCH(RAB!C57,'HARGA SATUAN'!$C$7:$C$1492,0),0))</f>
        <v>23310</v>
      </c>
      <c r="H57" s="361">
        <f t="shared" ca="1" si="24"/>
        <v>0</v>
      </c>
      <c r="I57" s="361">
        <f t="shared" ca="1" si="25"/>
        <v>111888</v>
      </c>
      <c r="J57" s="361">
        <f t="shared" ca="1" si="26"/>
        <v>0</v>
      </c>
      <c r="K57" s="362">
        <f t="shared" ca="1" si="27"/>
        <v>111888</v>
      </c>
      <c r="L57" s="342"/>
      <c r="M57" s="342"/>
      <c r="N57" s="369"/>
      <c r="O57" s="344"/>
      <c r="P57" s="344"/>
      <c r="Q57" s="399"/>
      <c r="R57" s="344"/>
      <c r="S57" s="399"/>
      <c r="T57" s="400"/>
      <c r="U57" s="400"/>
      <c r="V57" s="400"/>
    </row>
    <row r="58" spans="1:22" s="365" customFormat="1">
      <c r="A58" s="336"/>
      <c r="B58" s="512">
        <v>9</v>
      </c>
      <c r="C58" s="513" t="s">
        <v>736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485">
        <f>F49*1</f>
        <v>1</v>
      </c>
      <c r="G58" s="360">
        <f ca="1">IF(ISERROR(OFFSET('HARGA SATUAN'!$I$6,MATCH(RAB!C58,'HARGA SATUAN'!$C$7:$C$1492,0),0)),0,OFFSET('HARGA SATUAN'!$I$6,MATCH(RAB!C58,'HARGA SATUAN'!$C$7:$C$1492,0),0))</f>
        <v>65400</v>
      </c>
      <c r="H58" s="361">
        <f t="shared" ca="1" si="24"/>
        <v>0</v>
      </c>
      <c r="I58" s="361">
        <f t="shared" ca="1" si="25"/>
        <v>0</v>
      </c>
      <c r="J58" s="361">
        <f t="shared" ca="1" si="26"/>
        <v>65400</v>
      </c>
      <c r="K58" s="362">
        <f t="shared" ca="1" si="27"/>
        <v>65400</v>
      </c>
      <c r="L58" s="342"/>
      <c r="M58" s="342"/>
      <c r="N58" s="369"/>
      <c r="O58" s="344"/>
      <c r="P58" s="344"/>
      <c r="Q58" s="399"/>
      <c r="R58" s="344"/>
      <c r="S58" s="399"/>
      <c r="T58" s="400"/>
      <c r="U58" s="400"/>
      <c r="V58" s="400"/>
    </row>
    <row r="59" spans="1:22" s="365" customFormat="1">
      <c r="A59" s="336"/>
      <c r="B59" s="374"/>
      <c r="C59" s="375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4"/>
        <v>0</v>
      </c>
      <c r="I59" s="361">
        <f t="shared" ca="1" si="25"/>
        <v>0</v>
      </c>
      <c r="J59" s="361">
        <f t="shared" ca="1" si="26"/>
        <v>0</v>
      </c>
      <c r="K59" s="362">
        <f t="shared" ca="1" si="27"/>
        <v>0</v>
      </c>
      <c r="L59" s="342"/>
      <c r="M59" s="342"/>
      <c r="N59" s="369"/>
      <c r="O59" s="344"/>
      <c r="P59" s="344"/>
      <c r="Q59" s="399"/>
      <c r="R59" s="344"/>
      <c r="S59" s="399"/>
      <c r="T59" s="400"/>
      <c r="U59" s="400"/>
      <c r="V59" s="400"/>
    </row>
    <row r="60" spans="1:22" s="365" customFormat="1">
      <c r="A60" s="336"/>
      <c r="B60" s="374" t="s">
        <v>1550</v>
      </c>
      <c r="C60" s="375" t="s">
        <v>1457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4"/>
        <v>0</v>
      </c>
      <c r="I60" s="361">
        <f t="shared" ca="1" si="25"/>
        <v>0</v>
      </c>
      <c r="J60" s="361">
        <f t="shared" ca="1" si="26"/>
        <v>0</v>
      </c>
      <c r="K60" s="362">
        <f t="shared" ca="1" si="27"/>
        <v>0</v>
      </c>
      <c r="L60" s="342"/>
      <c r="M60" s="342"/>
      <c r="N60" s="369"/>
      <c r="O60" s="344"/>
      <c r="P60" s="344"/>
      <c r="Q60" s="399"/>
      <c r="R60" s="344"/>
      <c r="S60" s="399"/>
      <c r="T60" s="400"/>
      <c r="U60" s="400"/>
      <c r="V60" s="400"/>
    </row>
    <row r="61" spans="1:22" s="365" customFormat="1">
      <c r="A61" s="336"/>
      <c r="B61" s="374"/>
      <c r="C61" s="375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" ca="1" si="28">IF(OR(D61="MDU",D61="MDU-KD"),(IF($O$3="RAB NON MDU","PLN KD",G61*F61)),0)</f>
        <v>0</v>
      </c>
      <c r="I61" s="361">
        <f t="shared" ref="I61" ca="1" si="29">IF(D61="HDW",G61*F61,0)</f>
        <v>0</v>
      </c>
      <c r="J61" s="361">
        <f t="shared" ref="J61" ca="1" si="30">IF(D61="JASA",G61*F61,0)</f>
        <v>0</v>
      </c>
      <c r="K61" s="362">
        <f t="shared" ref="K61" ca="1" si="31">SUM(H61:J61)</f>
        <v>0</v>
      </c>
      <c r="L61" s="342"/>
      <c r="M61" s="342"/>
      <c r="N61" s="369"/>
      <c r="O61" s="344"/>
      <c r="P61" s="344"/>
      <c r="Q61" s="399"/>
      <c r="R61" s="344"/>
      <c r="S61" s="399"/>
      <c r="T61" s="400"/>
      <c r="U61" s="400"/>
      <c r="V61" s="400"/>
    </row>
    <row r="62" spans="1:22" s="365" customFormat="1">
      <c r="A62" s="336"/>
      <c r="B62" s="502" t="s">
        <v>1035</v>
      </c>
      <c r="C62" s="503" t="s">
        <v>1632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520">
        <v>1</v>
      </c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ref="H62:H66" ca="1" si="32">IF(OR(D62="MDU",D62="MDU-KD"),(IF($O$3="RAB NON MDU","PLN KD",G62*F62)),0)</f>
        <v>0</v>
      </c>
      <c r="I62" s="361">
        <f t="shared" ref="I62:I66" ca="1" si="33">IF(D62="HDW",G62*F62,0)</f>
        <v>0</v>
      </c>
      <c r="J62" s="361">
        <f t="shared" ref="J62:J66" ca="1" si="34">IF(D62="JASA",G62*F62,0)</f>
        <v>0</v>
      </c>
      <c r="K62" s="362">
        <f t="shared" ref="K62:K66" ca="1" si="35">SUM(H62:J62)</f>
        <v>0</v>
      </c>
      <c r="L62" s="342"/>
      <c r="M62" s="342"/>
      <c r="N62" s="369"/>
      <c r="O62" s="344"/>
      <c r="P62" s="344"/>
      <c r="Q62" s="344"/>
      <c r="R62" s="344"/>
      <c r="S62" s="344"/>
      <c r="T62" s="404"/>
      <c r="U62" s="404"/>
      <c r="V62" s="404"/>
    </row>
    <row r="63" spans="1:22" s="365" customFormat="1">
      <c r="A63" s="336"/>
      <c r="B63" s="512">
        <v>1</v>
      </c>
      <c r="C63" s="109" t="s">
        <v>483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20">
        <f>F62*1</f>
        <v>1</v>
      </c>
      <c r="G63" s="360">
        <f ca="1">IF(ISERROR(OFFSET('HARGA SATUAN'!$I$6,MATCH(RAB!C63,'HARGA SATUAN'!$C$7:$C$1492,0),0)),0,OFFSET('HARGA SATUAN'!$I$6,MATCH(RAB!C63,'HARGA SATUAN'!$C$7:$C$1492,0),0))</f>
        <v>1719200</v>
      </c>
      <c r="H63" s="361">
        <f t="shared" ca="1" si="32"/>
        <v>0</v>
      </c>
      <c r="I63" s="361">
        <f t="shared" ca="1" si="33"/>
        <v>1719200</v>
      </c>
      <c r="J63" s="361">
        <f t="shared" ca="1" si="34"/>
        <v>0</v>
      </c>
      <c r="K63" s="362">
        <f t="shared" ca="1" si="35"/>
        <v>1719200</v>
      </c>
      <c r="L63" s="342"/>
      <c r="M63" s="342"/>
      <c r="N63" s="369"/>
      <c r="O63" s="344"/>
      <c r="P63" s="344"/>
      <c r="Q63" s="344"/>
      <c r="R63" s="344"/>
      <c r="S63" s="344"/>
      <c r="T63" s="400"/>
      <c r="U63" s="400"/>
      <c r="V63" s="400"/>
    </row>
    <row r="64" spans="1:22" s="365" customFormat="1">
      <c r="A64" s="336"/>
      <c r="B64" s="512">
        <v>2</v>
      </c>
      <c r="C64" s="519" t="s">
        <v>509</v>
      </c>
      <c r="D64" s="358" t="str">
        <f ca="1">IF(ISERROR(OFFSET('HARGA SATUAN'!$D$6,MATCH(RAB!C64,'HARGA SATUAN'!$C$7:$C$1492,0),0)),"",OFFSET('HARGA SATUAN'!$D$6,MATCH(RAB!C64,'HARGA SATUAN'!$C$7:$C$1492,0),0))</f>
        <v>MDU-KD</v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20">
        <f>F62*1</f>
        <v>1</v>
      </c>
      <c r="G64" s="360">
        <f ca="1">IF(ISERROR(OFFSET('HARGA SATUAN'!$I$6,MATCH(RAB!C64,'HARGA SATUAN'!$C$7:$C$1492,0),0)),0,OFFSET('HARGA SATUAN'!$I$6,MATCH(RAB!C64,'HARGA SATUAN'!$C$7:$C$1492,0),0))</f>
        <v>3564900</v>
      </c>
      <c r="H64" s="361">
        <f t="shared" ca="1" si="32"/>
        <v>3564900</v>
      </c>
      <c r="I64" s="361">
        <f t="shared" ca="1" si="33"/>
        <v>0</v>
      </c>
      <c r="J64" s="361">
        <f t="shared" ca="1" si="34"/>
        <v>0</v>
      </c>
      <c r="K64" s="362">
        <f t="shared" ca="1" si="35"/>
        <v>3564900</v>
      </c>
      <c r="L64" s="342"/>
      <c r="M64" s="342"/>
      <c r="N64" s="369"/>
      <c r="O64" s="344"/>
      <c r="P64" s="344"/>
      <c r="Q64" s="344"/>
      <c r="R64" s="344"/>
      <c r="S64" s="344"/>
      <c r="T64" s="400"/>
      <c r="U64" s="400"/>
      <c r="V64" s="400"/>
    </row>
    <row r="65" spans="1:22" s="365" customFormat="1">
      <c r="A65" s="336"/>
      <c r="B65" s="512">
        <v>3</v>
      </c>
      <c r="C65" s="519" t="s">
        <v>77</v>
      </c>
      <c r="D65" s="358" t="str">
        <f ca="1">IF(ISERROR(OFFSET('HARGA SATUAN'!$D$6,MATCH(RAB!C65,'HARGA SATUAN'!$C$7:$C$1492,0),0)),"",OFFSET('HARGA SATUAN'!$D$6,MATCH(RAB!C65,'HARGA SATUAN'!$C$7:$C$1492,0),0))</f>
        <v>MDU-KD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520">
        <f>F62*35</f>
        <v>35</v>
      </c>
      <c r="G65" s="360">
        <f ca="1">IF(ISERROR(OFFSET('HARGA SATUAN'!$I$6,MATCH(RAB!C65,'HARGA SATUAN'!$C$7:$C$1492,0),0)),0,OFFSET('HARGA SATUAN'!$I$6,MATCH(RAB!C65,'HARGA SATUAN'!$C$7:$C$1492,0),0))</f>
        <v>13500</v>
      </c>
      <c r="H65" s="361">
        <f t="shared" ca="1" si="32"/>
        <v>472500</v>
      </c>
      <c r="I65" s="361">
        <f t="shared" ca="1" si="33"/>
        <v>0</v>
      </c>
      <c r="J65" s="361">
        <f t="shared" ca="1" si="34"/>
        <v>0</v>
      </c>
      <c r="K65" s="362">
        <f t="shared" ca="1" si="35"/>
        <v>472500</v>
      </c>
      <c r="L65" s="342"/>
      <c r="M65" s="342"/>
      <c r="N65" s="369"/>
      <c r="O65" s="344"/>
      <c r="P65" s="344"/>
      <c r="Q65" s="344"/>
      <c r="R65" s="344"/>
      <c r="S65" s="344"/>
      <c r="T65" s="404"/>
      <c r="U65" s="404"/>
      <c r="V65" s="404"/>
    </row>
    <row r="66" spans="1:22" s="365" customFormat="1">
      <c r="A66" s="336"/>
      <c r="B66" s="512">
        <v>4</v>
      </c>
      <c r="C66" s="519" t="s">
        <v>799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20">
        <f>F62*1</f>
        <v>1</v>
      </c>
      <c r="G66" s="360">
        <f ca="1">IF(ISERROR(OFFSET('HARGA SATUAN'!$I$6,MATCH(RAB!C66,'HARGA SATUAN'!$C$7:$C$1492,0),0)),0,OFFSET('HARGA SATUAN'!$I$6,MATCH(RAB!C66,'HARGA SATUAN'!$C$7:$C$1492,0),0))</f>
        <v>106400</v>
      </c>
      <c r="H66" s="361">
        <f t="shared" ca="1" si="32"/>
        <v>0</v>
      </c>
      <c r="I66" s="361">
        <f t="shared" ca="1" si="33"/>
        <v>0</v>
      </c>
      <c r="J66" s="361">
        <f t="shared" ca="1" si="34"/>
        <v>106400</v>
      </c>
      <c r="K66" s="362">
        <f t="shared" ca="1" si="35"/>
        <v>106400</v>
      </c>
      <c r="L66" s="407" t="e">
        <f ca="1">PROPER([94]!terbilang(K85))</f>
        <v>#NAME?</v>
      </c>
      <c r="M66" s="407"/>
      <c r="N66" s="369"/>
      <c r="O66" s="344"/>
      <c r="P66" s="344"/>
      <c r="Q66" s="344"/>
    </row>
    <row r="67" spans="1:22">
      <c r="B67" s="498"/>
      <c r="C67" s="506"/>
      <c r="D67" s="358"/>
      <c r="E67" s="359"/>
      <c r="F67" s="368"/>
      <c r="G67" s="360"/>
      <c r="H67" s="361"/>
      <c r="I67" s="361"/>
      <c r="J67" s="361"/>
      <c r="K67" s="362"/>
    </row>
    <row r="68" spans="1:22">
      <c r="B68" s="508" t="s">
        <v>1035</v>
      </c>
      <c r="C68" s="509" t="s">
        <v>1620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10">
        <v>1</v>
      </c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ref="H68:H77" ca="1" si="36">IF(OR(D68="MDU",D68="MDU-KD"),(IF($O$3="RAB NON MDU","PLN KD",G68*F68)),0)</f>
        <v>0</v>
      </c>
      <c r="I68" s="361">
        <f t="shared" ref="I68:I77" ca="1" si="37">IF(D68="HDW",G68*F68,0)</f>
        <v>0</v>
      </c>
      <c r="J68" s="361">
        <f t="shared" ref="J68:J77" ca="1" si="38">IF(D68="JASA",G68*F68,0)</f>
        <v>0</v>
      </c>
      <c r="K68" s="362">
        <f t="shared" ref="K68:K77" ca="1" si="39">SUM(H68:J68)</f>
        <v>0</v>
      </c>
    </row>
    <row r="69" spans="1:22">
      <c r="B69" s="508">
        <v>1</v>
      </c>
      <c r="C69" s="509" t="s">
        <v>115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Set</v>
      </c>
      <c r="F69" s="510">
        <f>F68*1</f>
        <v>1</v>
      </c>
      <c r="G69" s="360">
        <f ca="1">IF(ISERROR(OFFSET('HARGA SATUAN'!$I$6,MATCH(RAB!C69,'HARGA SATUAN'!$C$7:$C$1492,0),0)),0,OFFSET('HARGA SATUAN'!$I$6,MATCH(RAB!C69,'HARGA SATUAN'!$C$7:$C$1492,0),0))</f>
        <v>11500</v>
      </c>
      <c r="H69" s="361">
        <f t="shared" ca="1" si="36"/>
        <v>0</v>
      </c>
      <c r="I69" s="361">
        <f t="shared" ca="1" si="37"/>
        <v>11500</v>
      </c>
      <c r="J69" s="361">
        <f t="shared" ca="1" si="38"/>
        <v>0</v>
      </c>
      <c r="K69" s="362">
        <f t="shared" ca="1" si="39"/>
        <v>11500</v>
      </c>
    </row>
    <row r="70" spans="1:22">
      <c r="B70" s="508">
        <v>2</v>
      </c>
      <c r="C70" s="509" t="s">
        <v>145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Set</v>
      </c>
      <c r="F70" s="510">
        <f>F68*1</f>
        <v>1</v>
      </c>
      <c r="G70" s="360">
        <f ca="1">IF(ISERROR(OFFSET('HARGA SATUAN'!$I$6,MATCH(RAB!C70,'HARGA SATUAN'!$C$7:$C$1492,0),0)),0,OFFSET('HARGA SATUAN'!$I$6,MATCH(RAB!C70,'HARGA SATUAN'!$C$7:$C$1492,0),0))</f>
        <v>6200</v>
      </c>
      <c r="H70" s="361">
        <f t="shared" ca="1" si="36"/>
        <v>0</v>
      </c>
      <c r="I70" s="361">
        <f t="shared" ca="1" si="37"/>
        <v>6200</v>
      </c>
      <c r="J70" s="361">
        <f t="shared" ca="1" si="38"/>
        <v>0</v>
      </c>
      <c r="K70" s="362">
        <f t="shared" ca="1" si="39"/>
        <v>6200</v>
      </c>
    </row>
    <row r="71" spans="1:22">
      <c r="B71" s="508">
        <v>3</v>
      </c>
      <c r="C71" s="509" t="s">
        <v>587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Btg</v>
      </c>
      <c r="F71" s="510">
        <f>F68*1</f>
        <v>1</v>
      </c>
      <c r="G71" s="360">
        <f ca="1">IF(ISERROR(OFFSET('HARGA SATUAN'!$I$6,MATCH(RAB!C71,'HARGA SATUAN'!$C$7:$C$1492,0),0)),0,OFFSET('HARGA SATUAN'!$I$6,MATCH(RAB!C71,'HARGA SATUAN'!$C$7:$C$1492,0),0))</f>
        <v>45796</v>
      </c>
      <c r="H71" s="361">
        <f t="shared" ca="1" si="36"/>
        <v>0</v>
      </c>
      <c r="I71" s="361">
        <f t="shared" ca="1" si="37"/>
        <v>45796</v>
      </c>
      <c r="J71" s="361">
        <f t="shared" ca="1" si="38"/>
        <v>0</v>
      </c>
      <c r="K71" s="362">
        <f t="shared" ca="1" si="39"/>
        <v>45796</v>
      </c>
    </row>
    <row r="72" spans="1:22">
      <c r="B72" s="508">
        <v>4</v>
      </c>
      <c r="C72" s="509" t="s">
        <v>118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Set</v>
      </c>
      <c r="F72" s="510">
        <f>F68*1</f>
        <v>1</v>
      </c>
      <c r="G72" s="360">
        <f ca="1">IF(ISERROR(OFFSET('HARGA SATUAN'!$I$6,MATCH(RAB!C72,'HARGA SATUAN'!$C$7:$C$1492,0),0)),0,OFFSET('HARGA SATUAN'!$I$6,MATCH(RAB!C72,'HARGA SATUAN'!$C$7:$C$1492,0),0))</f>
        <v>5300</v>
      </c>
      <c r="H72" s="361">
        <f t="shared" ca="1" si="36"/>
        <v>0</v>
      </c>
      <c r="I72" s="361">
        <f t="shared" ca="1" si="37"/>
        <v>5300</v>
      </c>
      <c r="J72" s="361">
        <f t="shared" ca="1" si="38"/>
        <v>0</v>
      </c>
      <c r="K72" s="362">
        <f t="shared" ca="1" si="39"/>
        <v>5300</v>
      </c>
    </row>
    <row r="73" spans="1:22">
      <c r="B73" s="508">
        <v>5</v>
      </c>
      <c r="C73" s="509" t="s">
        <v>117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10">
        <f>F68*1</f>
        <v>1</v>
      </c>
      <c r="G73" s="360">
        <f ca="1">IF(ISERROR(OFFSET('HARGA SATUAN'!$I$6,MATCH(RAB!C73,'HARGA SATUAN'!$C$7:$C$1492,0),0)),0,OFFSET('HARGA SATUAN'!$I$6,MATCH(RAB!C73,'HARGA SATUAN'!$C$7:$C$1492,0),0))</f>
        <v>58600</v>
      </c>
      <c r="H73" s="361">
        <f t="shared" ca="1" si="36"/>
        <v>0</v>
      </c>
      <c r="I73" s="361">
        <f t="shared" ca="1" si="37"/>
        <v>58600</v>
      </c>
      <c r="J73" s="361">
        <f t="shared" ca="1" si="38"/>
        <v>0</v>
      </c>
      <c r="K73" s="362">
        <f t="shared" ca="1" si="39"/>
        <v>58600</v>
      </c>
    </row>
    <row r="74" spans="1:22">
      <c r="B74" s="508">
        <v>6</v>
      </c>
      <c r="C74" s="109" t="s">
        <v>1154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Set</v>
      </c>
      <c r="F74" s="510">
        <f>F68*1</f>
        <v>1</v>
      </c>
      <c r="G74" s="360">
        <f ca="1">IF(ISERROR(OFFSET('HARGA SATUAN'!$I$6,MATCH(RAB!C74,'HARGA SATUAN'!$C$7:$C$1492,0),0)),0,OFFSET('HARGA SATUAN'!$I$6,MATCH(RAB!C74,'HARGA SATUAN'!$C$7:$C$1492,0),0))</f>
        <v>3888</v>
      </c>
      <c r="H74" s="361">
        <f t="shared" ca="1" si="36"/>
        <v>0</v>
      </c>
      <c r="I74" s="361">
        <f t="shared" ca="1" si="37"/>
        <v>3888</v>
      </c>
      <c r="J74" s="361">
        <f t="shared" ca="1" si="38"/>
        <v>0</v>
      </c>
      <c r="K74" s="362">
        <f t="shared" ca="1" si="39"/>
        <v>3888</v>
      </c>
    </row>
    <row r="75" spans="1:22">
      <c r="B75" s="508">
        <v>7</v>
      </c>
      <c r="C75" s="509" t="s">
        <v>119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Set</v>
      </c>
      <c r="F75" s="510">
        <f>F68*2</f>
        <v>2</v>
      </c>
      <c r="G75" s="360">
        <f ca="1">IF(ISERROR(OFFSET('HARGA SATUAN'!$I$6,MATCH(RAB!C75,'HARGA SATUAN'!$C$7:$C$1492,0),0)),0,OFFSET('HARGA SATUAN'!$I$6,MATCH(RAB!C75,'HARGA SATUAN'!$C$7:$C$1492,0),0))</f>
        <v>8900</v>
      </c>
      <c r="H75" s="361">
        <f t="shared" ca="1" si="36"/>
        <v>0</v>
      </c>
      <c r="I75" s="361">
        <f t="shared" ca="1" si="37"/>
        <v>17800</v>
      </c>
      <c r="J75" s="361">
        <f t="shared" ca="1" si="38"/>
        <v>0</v>
      </c>
      <c r="K75" s="362">
        <f t="shared" ca="1" si="39"/>
        <v>17800</v>
      </c>
    </row>
    <row r="76" spans="1:22">
      <c r="B76" s="376"/>
      <c r="C76" s="373"/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368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36"/>
        <v>0</v>
      </c>
      <c r="I76" s="361">
        <f t="shared" ca="1" si="37"/>
        <v>0</v>
      </c>
      <c r="J76" s="361">
        <f t="shared" ca="1" si="38"/>
        <v>0</v>
      </c>
      <c r="K76" s="362">
        <f t="shared" ca="1" si="39"/>
        <v>0</v>
      </c>
    </row>
    <row r="77" spans="1:22">
      <c r="B77" s="374" t="s">
        <v>1550</v>
      </c>
      <c r="C77" s="375" t="s">
        <v>1611</v>
      </c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368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36"/>
        <v>0</v>
      </c>
      <c r="I77" s="361">
        <f t="shared" ca="1" si="37"/>
        <v>0</v>
      </c>
      <c r="J77" s="361">
        <f t="shared" ca="1" si="38"/>
        <v>0</v>
      </c>
      <c r="K77" s="362">
        <f t="shared" ca="1" si="39"/>
        <v>0</v>
      </c>
    </row>
    <row r="78" spans="1:22">
      <c r="B78" s="376"/>
      <c r="C78" s="109"/>
      <c r="D78" s="358"/>
      <c r="E78" s="359"/>
      <c r="F78" s="368"/>
      <c r="G78" s="360"/>
      <c r="H78" s="361"/>
      <c r="I78" s="361"/>
      <c r="J78" s="361"/>
      <c r="K78" s="362"/>
    </row>
    <row r="79" spans="1:22">
      <c r="B79" s="377"/>
      <c r="C79" s="378" t="s">
        <v>475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/>
      </c>
      <c r="F79" s="368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ref="H79" ca="1" si="40">IF(OR(D79="MDU",D79="MDU-KD"),(IF($O$3="RAB NON MDU","PLN KD",G79*F79)),0)</f>
        <v>0</v>
      </c>
      <c r="I79" s="361">
        <f t="shared" ref="I79" ca="1" si="41">IF(D79="HDW",G79*F79,0)</f>
        <v>0</v>
      </c>
      <c r="J79" s="361">
        <f t="shared" ref="J79" ca="1" si="42">IF(D79="JASA",G79*F79,0)</f>
        <v>0</v>
      </c>
      <c r="K79" s="362">
        <f t="shared" ref="K79" ca="1" si="43">SUM(H79:J79)</f>
        <v>0</v>
      </c>
    </row>
    <row r="80" spans="1:22">
      <c r="B80" s="380">
        <v>1</v>
      </c>
      <c r="C80" s="381" t="s">
        <v>1091</v>
      </c>
      <c r="D80" s="382" t="str">
        <f ca="1">IF(ISERROR(OFFSET('HARGA SATUAN'!$D$6,MATCH(RAB!C80,'HARGA SATUAN'!$C$7:$C$1492,0),0)),"",OFFSET('HARGA SATUAN'!$D$6,MATCH(RAB!C80,'HARGA SATUAN'!$C$7:$C$1492,0),0))</f>
        <v>JASA</v>
      </c>
      <c r="E80" s="383" t="str">
        <f ca="1">IF(ISERROR(OFFSET('HARGA SATUAN'!$E$6,MATCH(RAB!C80,'HARGA SATUAN'!$C$7:$C$1492,0),0)),"",OFFSET('HARGA SATUAN'!$E$6,MATCH(RAB!C80,'HARGA SATUAN'!$C$7:$C$1492,0),0))</f>
        <v>Lot</v>
      </c>
      <c r="F80" s="384">
        <v>1</v>
      </c>
      <c r="G80" s="385">
        <f ca="1">IF(ISERROR(OFFSET('HARGA SATUAN'!$I$6,MATCH(RAB!C80,'HARGA SATUAN'!$C$7:$C$1492,0),0)),0,OFFSET('HARGA SATUAN'!$I$6,MATCH(RAB!C80,'HARGA SATUAN'!$C$7:$C$1492,0),0))</f>
        <v>2.5000000000000001E-2</v>
      </c>
      <c r="H80" s="386">
        <f ca="1">2.5%*(SUM(H14:H79))</f>
        <v>1295208.75</v>
      </c>
      <c r="I80" s="386">
        <f t="shared" ref="I80" ca="1" si="44">2.5%*(SUM(I14:I79))</f>
        <v>222930.22500000001</v>
      </c>
      <c r="J80" s="386">
        <f ca="1">2.5%*(SUM(J14:J79))</f>
        <v>34757.5</v>
      </c>
      <c r="K80" s="387">
        <f ca="1">SUM(H80:J80)</f>
        <v>1552896.4750000001</v>
      </c>
    </row>
    <row r="81" spans="2:13">
      <c r="B81" s="388"/>
      <c r="C81" s="389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IF(ISERROR(OFFSET('HARGA SATUAN'!$E$6,MATCH(RAB!C81,'HARGA SATUAN'!$C$7:$C$1492,0),0)),"",OFFSET('HARGA SATUAN'!$E$6,MATCH(RAB!C81,'HARGA SATUAN'!$C$7:$C$1492,0),0))</f>
        <v/>
      </c>
      <c r="F81" s="379"/>
      <c r="G81" s="360" t="str">
        <f ca="1">IF(ISERROR(OFFSET('HARGA SATUAN'!$I$6,MATCH(RAB!C81,'HARGA SATUAN'!$C$7:$C$1492,0),0)),"",OFFSET('HARGA SATUAN'!$I$6,MATCH(RAB!C81,'HARGA SATUAN'!$C$7:$C$1492,0),0))</f>
        <v/>
      </c>
      <c r="H81" s="361">
        <f ca="1">IF(OR(D81="MDU",D81="MDU-KD"),IF(G81="PLN",0,G81*F81),0)</f>
        <v>0</v>
      </c>
      <c r="I81" s="361">
        <f ca="1">IF(D81="HDW",IF(G81="PLN",0,G81*F81),0)</f>
        <v>0</v>
      </c>
      <c r="J81" s="361">
        <f ca="1">IF(D81="JASA",IF(G81="PLN",0,G81*F81),0)</f>
        <v>0</v>
      </c>
      <c r="K81" s="362">
        <f ca="1">SUM(H81:J81)</f>
        <v>0</v>
      </c>
    </row>
    <row r="82" spans="2:13" ht="15.75" thickBot="1">
      <c r="B82" s="390"/>
      <c r="C82" s="391"/>
      <c r="D82" s="392"/>
      <c r="E82" s="393"/>
      <c r="F82" s="393"/>
      <c r="G82" s="393"/>
      <c r="H82" s="394"/>
      <c r="I82" s="394"/>
      <c r="J82" s="394"/>
      <c r="K82" s="395"/>
    </row>
    <row r="83" spans="2:13">
      <c r="B83" s="396"/>
      <c r="C83" s="621" t="s">
        <v>1008</v>
      </c>
      <c r="D83" s="621"/>
      <c r="E83" s="621"/>
      <c r="F83" s="621"/>
      <c r="G83" s="397" t="s">
        <v>9</v>
      </c>
      <c r="H83" s="398">
        <f ca="1">SUM(H14:H81)</f>
        <v>53103558.75</v>
      </c>
      <c r="I83" s="398">
        <f ca="1">SUM(I14:I81)</f>
        <v>9140139.2249999996</v>
      </c>
      <c r="J83" s="398">
        <f ca="1">SUM(J14:J81)</f>
        <v>1425057.5</v>
      </c>
      <c r="K83" s="398">
        <f ca="1">SUM(K14:K81)</f>
        <v>63668755.475000001</v>
      </c>
    </row>
    <row r="84" spans="2:13">
      <c r="B84" s="401"/>
      <c r="C84" s="637" t="s">
        <v>1460</v>
      </c>
      <c r="D84" s="637"/>
      <c r="E84" s="637"/>
      <c r="F84" s="637"/>
      <c r="G84" s="402" t="s">
        <v>9</v>
      </c>
      <c r="H84" s="403">
        <f ca="1">H83*0.11</f>
        <v>5841391.4625000004</v>
      </c>
      <c r="I84" s="403">
        <f ca="1">I83*0.11</f>
        <v>1005415.31475</v>
      </c>
      <c r="J84" s="403">
        <f ca="1">J83*0.11</f>
        <v>156756.32500000001</v>
      </c>
      <c r="K84" s="403">
        <f ca="1">K83*0.11</f>
        <v>7003563.1022500005</v>
      </c>
    </row>
    <row r="85" spans="2:13" ht="15.75" thickBot="1">
      <c r="B85" s="401"/>
      <c r="C85" s="635" t="s">
        <v>463</v>
      </c>
      <c r="D85" s="635"/>
      <c r="E85" s="635"/>
      <c r="F85" s="635"/>
      <c r="G85" s="405" t="s">
        <v>9</v>
      </c>
      <c r="H85" s="406">
        <f ca="1">SUM(H83:H84)</f>
        <v>58944950.212499999</v>
      </c>
      <c r="I85" s="406">
        <f ca="1">SUM(I83:I84)</f>
        <v>10145554.53975</v>
      </c>
      <c r="J85" s="405">
        <f ca="1">SUM(J83:J84)</f>
        <v>1581813.825</v>
      </c>
      <c r="K85" s="405">
        <f ca="1">SUM(K83:K84)</f>
        <v>70672318.577250004</v>
      </c>
      <c r="M85" s="490"/>
    </row>
    <row r="86" spans="2:13">
      <c r="B86" s="638" t="str">
        <f ca="1">"Terbilang : "&amp;PROPER(IF(K85=0,"nol",IF(K85&lt;0,"minus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IF(--MID(TEXT(ABS(K85),"000000000000000"),1,3)=0,"",MID(TEXT(ABS(K85),"000000000000000"),1,1)&amp;" ratus "&amp;MID(TEXT(ABS(K85),"000000000000000"),2,1)&amp;" puluh "&amp;MID(TEXT(ABS(K85),"000000000000000"),3,1)&amp;" trilyun ")&amp; IF(--MID(TEXT(ABS(K85),"000000000000000"),4,3)=0,"",MID(TEXT(ABS(K85),"000000000000000"),4,1)&amp;" ratus "&amp;MID(TEXT(ABS(K85),"000000000000000"),5,1)&amp;" puluh "&amp;MID(TEXT(ABS(K85),"000000000000000"),6,1)&amp;" milyar ")&amp; IF(--MID(TEXT(ABS(K85),"000000000000000"),7,3)=0,"",MID(TEXT(ABS(K85),"000000000000000"),7,1)&amp;" ratus "&amp;MID(TEXT(ABS(K85),"000000000000000"),8,1)&amp;" puluh "&amp;MID(TEXT(ABS(K85),"000000000000000"),9,1)&amp;" juta ")&amp; IF(--MID(TEXT(ABS(K85),"000000000000000"),10,3)=0,"",IF(--MID(TEXT(ABS(K85),"000000000000000"),10,3)=1,"*",MID(TEXT(ABS(K85),"000000000000000"),10,1)&amp;" ratus "&amp;MID(TEXT(ABS(K85),"000000000000000"),11,1)&amp;" puluh ")&amp;MID(TEXT(ABS(K85),"000000000000000"),12,1)&amp;" ribu ")&amp; IF(--MID(TEXT(ABS(K85),"000000000000000"),13,3)=0,"",MID(TEXT(ABS(K85),"000000000000000"),13,1)&amp;" ratus "&amp;MID(TEXT(ABS(K85),"000000000000000"),14,1)&amp;" puluh "&amp;MID(TEXT(ABS(K85),"000000000000000"),15,1)),1,"satu"),2,"dua"),3,"tiga"),4,"empat"),5,"lima"),6,"enam"),7,"tujuh"),8,"delapan"),9,"sembilan"),"0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Juta Enam Ratus Tujuh Puluh Dua Ribu Tiga Ratus Sembilan Belas Rupiah</v>
      </c>
      <c r="C86" s="639"/>
      <c r="D86" s="639"/>
      <c r="E86" s="639"/>
      <c r="F86" s="639"/>
      <c r="G86" s="639"/>
      <c r="H86" s="639"/>
      <c r="I86" s="639"/>
      <c r="J86" s="639"/>
      <c r="K86" s="640"/>
    </row>
    <row r="87" spans="2:13">
      <c r="B87" s="641"/>
      <c r="C87" s="642"/>
      <c r="D87" s="642"/>
      <c r="E87" s="642"/>
      <c r="F87" s="642"/>
      <c r="G87" s="642"/>
      <c r="H87" s="642"/>
      <c r="I87" s="642"/>
      <c r="J87" s="642"/>
      <c r="K87" s="643"/>
    </row>
    <row r="88" spans="2:13" ht="15.75" thickBot="1">
      <c r="B88" s="408" t="str">
        <f>"Harga yang dipakai adalah "&amp;'HARGA SATUAN'!I5&amp;""</f>
        <v>Harga yang dipakai adalah RAB HSS 2023</v>
      </c>
      <c r="C88" s="409"/>
      <c r="D88" s="410"/>
      <c r="E88" s="410"/>
      <c r="F88" s="410"/>
      <c r="G88" s="411"/>
      <c r="H88" s="411"/>
      <c r="I88" s="411"/>
      <c r="J88" s="411"/>
      <c r="K88" s="412"/>
    </row>
    <row r="89" spans="2:13">
      <c r="C89" s="413"/>
      <c r="E89" s="415"/>
      <c r="F89" s="415"/>
      <c r="G89" s="415"/>
    </row>
    <row r="90" spans="2:13">
      <c r="C90" s="337"/>
      <c r="E90" s="415"/>
      <c r="F90" s="415"/>
      <c r="G90" s="415"/>
      <c r="H90" s="644"/>
      <c r="I90" s="644"/>
      <c r="J90" s="645"/>
      <c r="K90" s="645"/>
    </row>
    <row r="91" spans="2:13">
      <c r="C91" s="337"/>
      <c r="E91" s="415"/>
      <c r="F91" s="415"/>
      <c r="G91" s="415"/>
      <c r="H91" s="416"/>
      <c r="I91" s="634" t="s">
        <v>1635</v>
      </c>
      <c r="J91" s="634"/>
      <c r="K91" s="634"/>
    </row>
    <row r="92" spans="2:13">
      <c r="C92" s="337"/>
      <c r="E92" s="415"/>
      <c r="F92" s="415"/>
      <c r="G92" s="415"/>
      <c r="H92" s="416"/>
      <c r="I92" s="634" t="s">
        <v>1634</v>
      </c>
      <c r="J92" s="634"/>
      <c r="K92" s="634"/>
    </row>
    <row r="93" spans="2:13">
      <c r="C93" s="337"/>
      <c r="E93" s="415"/>
      <c r="F93" s="415"/>
      <c r="G93" s="415"/>
      <c r="H93" s="417"/>
      <c r="I93" s="418"/>
      <c r="J93" s="418"/>
      <c r="K93" s="418"/>
    </row>
    <row r="94" spans="2:13">
      <c r="C94" s="337"/>
      <c r="E94" s="415"/>
      <c r="F94" s="415"/>
      <c r="G94" s="415"/>
      <c r="H94" s="417"/>
      <c r="I94" s="417"/>
      <c r="J94" s="417"/>
      <c r="K94" s="417"/>
    </row>
    <row r="95" spans="2:13">
      <c r="C95" s="337"/>
      <c r="E95" s="415"/>
      <c r="F95" s="415"/>
      <c r="G95" s="415"/>
      <c r="H95" s="417"/>
      <c r="I95" s="417"/>
      <c r="J95" s="417"/>
      <c r="K95" s="417"/>
    </row>
    <row r="96" spans="2:13">
      <c r="C96" s="337"/>
      <c r="E96" s="415"/>
      <c r="F96" s="415"/>
      <c r="G96" s="415"/>
      <c r="H96" s="417"/>
      <c r="I96" s="417"/>
      <c r="J96" s="417"/>
      <c r="K96" s="417"/>
    </row>
    <row r="97" spans="3:11">
      <c r="C97" s="337"/>
      <c r="E97" s="415"/>
      <c r="F97" s="415"/>
      <c r="G97" s="415"/>
      <c r="H97" s="419"/>
      <c r="I97" s="634" t="s">
        <v>1633</v>
      </c>
      <c r="J97" s="634"/>
      <c r="K97" s="634"/>
    </row>
    <row r="98" spans="3:11">
      <c r="C98" s="413"/>
      <c r="E98" s="415"/>
      <c r="F98" s="415"/>
      <c r="G98" s="415"/>
      <c r="H98" s="417"/>
      <c r="I98" s="417"/>
      <c r="J98" s="417"/>
      <c r="K98" s="417"/>
    </row>
    <row r="99" spans="3:11">
      <c r="C99" s="413"/>
      <c r="E99" s="415"/>
      <c r="F99" s="415"/>
      <c r="G99" s="415"/>
      <c r="H99" s="417"/>
      <c r="I99" s="417"/>
      <c r="J99" s="417"/>
      <c r="K99" s="417"/>
    </row>
    <row r="100" spans="3:11">
      <c r="C100" s="413"/>
      <c r="E100" s="415"/>
      <c r="F100" s="415"/>
      <c r="G100" s="415"/>
      <c r="H100" s="417"/>
      <c r="I100" s="417"/>
      <c r="J100" s="417"/>
      <c r="K100" s="417"/>
    </row>
  </sheetData>
  <sheetProtection sort="0" autoFilter="0"/>
  <protectedRanges>
    <protectedRange sqref="B78 B74:B76" name="Range1_1"/>
    <protectedRange sqref="F59:F79 F14:F48" name="Range1_1_2_2"/>
    <protectedRange sqref="B77:C77 C74:C76 B26:C31 B59:C61 B33:C35 B32 B37:C48 B36" name="Range1_1_1"/>
    <protectedRange sqref="C65" name="Range1_1_2_2_1"/>
    <protectedRange sqref="C64" name="Range1_1_3"/>
    <protectedRange sqref="C66" name="Range1_1_3_11"/>
    <protectedRange sqref="C78" name="Range1_1_3_12"/>
    <protectedRange sqref="C32" name="Range1_1_3_3"/>
    <protectedRange sqref="C36" name="Range1_1_3_4"/>
    <protectedRange sqref="C63" name="Range1_1_3_2"/>
  </protectedRanges>
  <mergeCells count="22">
    <mergeCell ref="I92:K92"/>
    <mergeCell ref="I97:K97"/>
    <mergeCell ref="C85:F85"/>
    <mergeCell ref="G6:K6"/>
    <mergeCell ref="I91:K91"/>
    <mergeCell ref="C84:F84"/>
    <mergeCell ref="B86:K87"/>
    <mergeCell ref="H90:K90"/>
    <mergeCell ref="H11:K11"/>
    <mergeCell ref="H12:H13"/>
    <mergeCell ref="J12:J13"/>
    <mergeCell ref="K12:K13"/>
    <mergeCell ref="O3:P4"/>
    <mergeCell ref="B4:K4"/>
    <mergeCell ref="C83:F83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E82:F82 E81:H81 O13 E1:E3 H12:I12 E88:E65547 G81:G85 G1:G13 E5:E13 G88:G65547 E80:G80 E62:E66 G62:K66 H80:K82 E68:E75 G68:K75 E67:K67 E76:K79 E28:E47 G28:K47 E48:K48 E49:E58 G49:K58 E59:K61 S14:V25 E14:K27">
    <cfRule type="cellIs" dxfId="12" priority="1001" stopIfTrue="1" operator="equal">
      <formula>0</formula>
    </cfRule>
  </conditionalFormatting>
  <conditionalFormatting sqref="C15">
    <cfRule type="cellIs" dxfId="11" priority="421" operator="equal">
      <formula>0</formula>
    </cfRule>
  </conditionalFormatting>
  <conditionalFormatting sqref="E86:E87 G86:G87">
    <cfRule type="cellIs" dxfId="10" priority="135" stopIfTrue="1" operator="equal">
      <formula>0</formula>
    </cfRule>
  </conditionalFormatting>
  <conditionalFormatting sqref="C78">
    <cfRule type="cellIs" dxfId="9" priority="19" operator="equal">
      <formula>0</formula>
    </cfRule>
  </conditionalFormatting>
  <conditionalFormatting sqref="C74">
    <cfRule type="cellIs" dxfId="8" priority="12" operator="equal">
      <formula>0</formula>
    </cfRule>
  </conditionalFormatting>
  <conditionalFormatting sqref="F68:F75">
    <cfRule type="cellIs" dxfId="7" priority="11" stopIfTrue="1" operator="equal">
      <formula>0</formula>
    </cfRule>
  </conditionalFormatting>
  <conditionalFormatting sqref="C33">
    <cfRule type="cellIs" dxfId="6" priority="8" operator="equal">
      <formula>0</formula>
    </cfRule>
  </conditionalFormatting>
  <conditionalFormatting sqref="F28:F47">
    <cfRule type="cellIs" dxfId="5" priority="7" stopIfTrue="1" operator="equal">
      <formula>0</formula>
    </cfRule>
  </conditionalFormatting>
  <conditionalFormatting sqref="F49:F58">
    <cfRule type="cellIs" dxfId="4" priority="6" stopIfTrue="1" operator="equal">
      <formula>0</formula>
    </cfRule>
  </conditionalFormatting>
  <conditionalFormatting sqref="C32">
    <cfRule type="cellIs" dxfId="3" priority="5" operator="equal">
      <formula>0</formula>
    </cfRule>
  </conditionalFormatting>
  <conditionalFormatting sqref="C36">
    <cfRule type="cellIs" dxfId="2" priority="4" operator="equal">
      <formula>0</formula>
    </cfRule>
  </conditionalFormatting>
  <conditionalFormatting sqref="F62:F66">
    <cfRule type="cellIs" dxfId="1" priority="2" stopIfTrue="1" operator="equal">
      <formula>0</formula>
    </cfRule>
  </conditionalFormatting>
  <conditionalFormatting sqref="C6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9:F25 F28:F47 F49:F58 C30:C31 H14:K8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45" fitToHeight="30" orientation="portrait" horizontalDpi="1200" verticalDpi="1200" r:id="rId1"/>
  <ignoredErrors>
    <ignoredError sqref="L66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D31" zoomScale="115" zoomScaleNormal="115" zoomScaleSheetLayoutView="115" workbookViewId="0">
      <selection activeCell="S37" sqref="S3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8" t="s">
        <v>1439</v>
      </c>
      <c r="X2" s="649"/>
      <c r="Y2" s="649"/>
      <c r="Z2" s="649"/>
      <c r="AA2" s="649"/>
      <c r="AB2" s="649"/>
      <c r="AC2" s="649"/>
      <c r="AD2" s="650"/>
    </row>
    <row r="3" spans="3:30">
      <c r="C3" s="238"/>
      <c r="W3" s="651"/>
      <c r="X3" s="652"/>
      <c r="Y3" s="652"/>
      <c r="Z3" s="652"/>
      <c r="AA3" s="652"/>
      <c r="AB3" s="652"/>
      <c r="AC3" s="652"/>
      <c r="AD3" s="653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4" t="s">
        <v>990</v>
      </c>
      <c r="Y5" s="654"/>
      <c r="Z5" s="654"/>
      <c r="AA5" s="654" t="s">
        <v>988</v>
      </c>
      <c r="AB5" s="654"/>
      <c r="AC5" s="654" t="s">
        <v>989</v>
      </c>
      <c r="AD5" s="655"/>
    </row>
    <row r="6" spans="3:30">
      <c r="C6" s="238"/>
      <c r="W6" s="241">
        <v>1</v>
      </c>
      <c r="X6" s="654" t="s">
        <v>993</v>
      </c>
      <c r="Y6" s="654"/>
      <c r="Z6" s="654"/>
      <c r="AA6" s="654"/>
      <c r="AB6" s="654"/>
      <c r="AC6" s="654"/>
      <c r="AD6" s="655"/>
    </row>
    <row r="7" spans="3:30">
      <c r="C7" s="238"/>
      <c r="E7" s="496" t="s">
        <v>1622</v>
      </c>
      <c r="W7" s="241">
        <v>2</v>
      </c>
      <c r="X7" s="654" t="s">
        <v>994</v>
      </c>
      <c r="Y7" s="654"/>
      <c r="Z7" s="654"/>
      <c r="AA7" s="654"/>
      <c r="AB7" s="654"/>
      <c r="AC7" s="654"/>
      <c r="AD7" s="655"/>
    </row>
    <row r="8" spans="3:30">
      <c r="C8" s="238"/>
      <c r="W8" s="241">
        <v>3</v>
      </c>
      <c r="X8" s="654" t="s">
        <v>995</v>
      </c>
      <c r="Y8" s="654"/>
      <c r="Z8" s="654"/>
      <c r="AA8" s="654"/>
      <c r="AB8" s="654"/>
      <c r="AC8" s="654"/>
      <c r="AD8" s="655"/>
    </row>
    <row r="9" spans="3:30">
      <c r="C9" s="238"/>
      <c r="W9" s="241">
        <v>4</v>
      </c>
      <c r="X9" s="654" t="s">
        <v>996</v>
      </c>
      <c r="Y9" s="654"/>
      <c r="Z9" s="654"/>
      <c r="AA9" s="654"/>
      <c r="AB9" s="654"/>
      <c r="AC9" s="654"/>
      <c r="AD9" s="655"/>
    </row>
    <row r="10" spans="3:30">
      <c r="C10" s="238"/>
      <c r="W10" s="241">
        <v>5</v>
      </c>
      <c r="X10" s="654" t="s">
        <v>997</v>
      </c>
      <c r="Y10" s="654"/>
      <c r="Z10" s="654"/>
      <c r="AA10" s="654"/>
      <c r="AB10" s="654"/>
      <c r="AC10" s="654"/>
      <c r="AD10" s="655"/>
    </row>
    <row r="11" spans="3:30">
      <c r="C11" s="238"/>
      <c r="W11" s="241">
        <v>6</v>
      </c>
      <c r="X11" s="654" t="s">
        <v>998</v>
      </c>
      <c r="Y11" s="654"/>
      <c r="Z11" s="654"/>
      <c r="AA11" s="654"/>
      <c r="AB11" s="654"/>
      <c r="AC11" s="654"/>
      <c r="AD11" s="655"/>
    </row>
    <row r="12" spans="3:30">
      <c r="C12" s="238"/>
      <c r="W12" s="241">
        <v>7</v>
      </c>
      <c r="X12" s="654" t="s">
        <v>999</v>
      </c>
      <c r="Y12" s="654"/>
      <c r="Z12" s="654"/>
      <c r="AA12" s="654"/>
      <c r="AB12" s="654"/>
      <c r="AC12" s="654"/>
      <c r="AD12" s="655"/>
    </row>
    <row r="13" spans="3:30" ht="12.75" customHeight="1">
      <c r="C13" s="238"/>
      <c r="W13" s="241">
        <v>8</v>
      </c>
      <c r="X13" s="654" t="s">
        <v>1000</v>
      </c>
      <c r="Y13" s="654"/>
      <c r="Z13" s="654"/>
      <c r="AA13" s="654"/>
      <c r="AB13" s="654"/>
      <c r="AC13" s="654"/>
      <c r="AD13" s="655"/>
    </row>
    <row r="14" spans="3:30">
      <c r="C14" s="238"/>
      <c r="W14" s="241">
        <v>9</v>
      </c>
      <c r="X14" s="654" t="s">
        <v>1001</v>
      </c>
      <c r="Y14" s="654"/>
      <c r="Z14" s="654"/>
      <c r="AA14" s="654"/>
      <c r="AB14" s="654"/>
      <c r="AC14" s="654"/>
      <c r="AD14" s="655"/>
    </row>
    <row r="15" spans="3:30">
      <c r="C15" s="238"/>
      <c r="W15" s="241">
        <v>10</v>
      </c>
      <c r="X15" s="654" t="s">
        <v>1010</v>
      </c>
      <c r="Y15" s="654"/>
      <c r="Z15" s="654"/>
      <c r="AA15" s="654"/>
      <c r="AB15" s="654"/>
      <c r="AC15" s="654"/>
      <c r="AD15" s="655"/>
    </row>
    <row r="16" spans="3:30">
      <c r="C16" s="238"/>
      <c r="W16" s="241">
        <v>11</v>
      </c>
      <c r="X16" s="654" t="s">
        <v>1458</v>
      </c>
      <c r="Y16" s="654"/>
      <c r="Z16" s="654"/>
      <c r="AA16" s="654"/>
      <c r="AB16" s="654"/>
      <c r="AC16" s="654"/>
      <c r="AD16" s="655"/>
    </row>
    <row r="17" spans="3:30">
      <c r="C17" s="238"/>
      <c r="S17" s="242"/>
      <c r="W17" s="241">
        <v>12</v>
      </c>
      <c r="X17" s="654" t="s">
        <v>1011</v>
      </c>
      <c r="Y17" s="654"/>
      <c r="Z17" s="654"/>
      <c r="AA17" s="654"/>
      <c r="AB17" s="654"/>
      <c r="AC17" s="654"/>
      <c r="AD17" s="655"/>
    </row>
    <row r="18" spans="3:30">
      <c r="C18" s="243"/>
      <c r="D18" s="244"/>
      <c r="E18" s="244"/>
      <c r="W18" s="241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238"/>
      <c r="W19" s="245"/>
      <c r="X19" s="671"/>
      <c r="Y19" s="671"/>
      <c r="Z19" s="671"/>
      <c r="AA19" s="671"/>
      <c r="AB19" s="671"/>
      <c r="AC19" s="671"/>
      <c r="AD19" s="672"/>
    </row>
    <row r="20" spans="3:30">
      <c r="C20" s="238"/>
      <c r="W20" s="656" t="s">
        <v>992</v>
      </c>
      <c r="X20" s="657"/>
      <c r="Y20" s="657"/>
      <c r="Z20" s="657"/>
      <c r="AA20" s="657"/>
      <c r="AB20" s="657"/>
      <c r="AC20" s="657"/>
      <c r="AD20" s="658"/>
    </row>
    <row r="21" spans="3:30">
      <c r="C21" s="238"/>
      <c r="W21" s="659" t="s">
        <v>985</v>
      </c>
      <c r="X21" s="660"/>
      <c r="Y21" s="660"/>
      <c r="Z21" s="661"/>
      <c r="AA21" s="662" t="s">
        <v>986</v>
      </c>
      <c r="AB21" s="663"/>
      <c r="AC21" s="663"/>
      <c r="AD21" s="664"/>
    </row>
    <row r="22" spans="3:30">
      <c r="C22" s="238"/>
      <c r="W22" s="665" t="s">
        <v>1616</v>
      </c>
      <c r="X22" s="666"/>
      <c r="Y22" s="499">
        <v>3</v>
      </c>
      <c r="Z22" s="507" t="s">
        <v>1058</v>
      </c>
      <c r="AA22" s="667"/>
      <c r="AB22" s="668"/>
      <c r="AC22" s="248"/>
      <c r="AD22" s="249"/>
    </row>
    <row r="23" spans="3:30">
      <c r="C23" s="238"/>
      <c r="W23" s="665" t="s">
        <v>1617</v>
      </c>
      <c r="X23" s="666"/>
      <c r="Y23" s="499">
        <v>4</v>
      </c>
      <c r="Z23" s="507" t="s">
        <v>1058</v>
      </c>
      <c r="AA23" s="669"/>
      <c r="AB23" s="670"/>
      <c r="AC23" s="248"/>
      <c r="AD23" s="249"/>
    </row>
    <row r="24" spans="3:30">
      <c r="C24" s="238"/>
      <c r="W24" s="675" t="s">
        <v>1618</v>
      </c>
      <c r="X24" s="676"/>
      <c r="Y24" s="246">
        <v>1</v>
      </c>
      <c r="Z24" s="247" t="s">
        <v>1058</v>
      </c>
      <c r="AA24" s="677"/>
      <c r="AB24" s="678"/>
      <c r="AC24" s="248"/>
      <c r="AD24" s="249"/>
    </row>
    <row r="25" spans="3:30">
      <c r="C25" s="238"/>
      <c r="W25" s="675"/>
      <c r="X25" s="676"/>
      <c r="Y25" s="246"/>
      <c r="Z25" s="247"/>
      <c r="AA25" s="669"/>
      <c r="AB25" s="670"/>
      <c r="AC25" s="248"/>
      <c r="AD25" s="249"/>
    </row>
    <row r="26" spans="3:30">
      <c r="C26" s="238"/>
      <c r="W26" s="486"/>
      <c r="X26" s="487"/>
      <c r="Y26" s="246"/>
      <c r="Z26" s="247"/>
      <c r="AA26" s="669"/>
      <c r="AB26" s="670"/>
      <c r="AC26" s="248"/>
      <c r="AD26" s="249"/>
    </row>
    <row r="27" spans="3:30">
      <c r="C27" s="238"/>
      <c r="W27" s="486"/>
      <c r="X27" s="487"/>
      <c r="Y27" s="246"/>
      <c r="Z27" s="247"/>
      <c r="AA27" s="673"/>
      <c r="AB27" s="674"/>
      <c r="AC27" s="248"/>
      <c r="AD27" s="249"/>
    </row>
    <row r="28" spans="3:30">
      <c r="C28" s="238"/>
      <c r="W28" s="486"/>
      <c r="X28" s="487"/>
      <c r="Y28" s="246"/>
      <c r="Z28" s="247"/>
      <c r="AA28" s="673"/>
      <c r="AB28" s="674"/>
      <c r="AC28" s="248"/>
      <c r="AD28" s="249"/>
    </row>
    <row r="29" spans="3:30">
      <c r="C29" s="238"/>
      <c r="W29" s="486"/>
      <c r="X29" s="487"/>
      <c r="Y29" s="246"/>
      <c r="Z29" s="247"/>
      <c r="AA29" s="673"/>
      <c r="AB29" s="674"/>
      <c r="AC29" s="248"/>
      <c r="AD29" s="249"/>
    </row>
    <row r="30" spans="3:30" ht="11.25" customHeight="1">
      <c r="C30" s="238"/>
      <c r="W30" s="488"/>
      <c r="X30" s="489"/>
      <c r="Y30" s="246"/>
      <c r="Z30" s="247"/>
      <c r="AA30" s="673"/>
      <c r="AB30" s="674"/>
      <c r="AC30" s="248"/>
      <c r="AD30" s="249"/>
    </row>
    <row r="31" spans="3:30">
      <c r="C31" s="238"/>
      <c r="U31" s="250"/>
      <c r="W31" s="486"/>
      <c r="X31" s="487"/>
      <c r="Y31" s="246"/>
      <c r="Z31" s="247"/>
      <c r="AA31" s="673"/>
      <c r="AB31" s="674"/>
      <c r="AC31" s="248"/>
      <c r="AD31" s="249"/>
    </row>
    <row r="32" spans="3:30">
      <c r="C32" s="238"/>
      <c r="U32" s="250"/>
      <c r="W32" s="486"/>
      <c r="X32" s="487"/>
      <c r="Y32" s="246"/>
      <c r="Z32" s="247"/>
      <c r="AA32" s="673"/>
      <c r="AB32" s="674"/>
      <c r="AC32" s="248"/>
      <c r="AD32" s="249"/>
    </row>
    <row r="33" spans="3:30">
      <c r="C33" s="238"/>
      <c r="W33" s="486"/>
      <c r="X33" s="487"/>
      <c r="Y33" s="246"/>
      <c r="Z33" s="247"/>
      <c r="AA33" s="673"/>
      <c r="AB33" s="674"/>
      <c r="AC33" s="248"/>
      <c r="AD33" s="249"/>
    </row>
    <row r="34" spans="3:30">
      <c r="C34" s="238"/>
      <c r="W34" s="486"/>
      <c r="X34" s="487"/>
      <c r="Y34" s="246"/>
      <c r="Z34" s="247"/>
      <c r="AA34" s="673"/>
      <c r="AB34" s="674"/>
      <c r="AC34" s="248"/>
      <c r="AD34" s="249"/>
    </row>
    <row r="35" spans="3:30">
      <c r="C35" s="238"/>
      <c r="W35" s="675"/>
      <c r="X35" s="688"/>
      <c r="Y35" s="246"/>
      <c r="Z35" s="247"/>
      <c r="AA35" s="673"/>
      <c r="AB35" s="674"/>
      <c r="AC35" s="248"/>
      <c r="AD35" s="249"/>
    </row>
    <row r="36" spans="3:30">
      <c r="C36" s="238"/>
      <c r="W36" s="679"/>
      <c r="X36" s="680"/>
      <c r="Y36" s="246"/>
      <c r="Z36" s="251"/>
      <c r="AA36" s="681"/>
      <c r="AB36" s="674"/>
      <c r="AC36" s="248"/>
      <c r="AD36" s="249"/>
    </row>
    <row r="37" spans="3:30" ht="12.75" customHeight="1">
      <c r="C37" s="238"/>
      <c r="W37" s="682"/>
      <c r="X37" s="683"/>
      <c r="Y37" s="246"/>
      <c r="Z37" s="251"/>
      <c r="AA37" s="684"/>
      <c r="AB37" s="685"/>
      <c r="AC37" s="252"/>
      <c r="AD37" s="253"/>
    </row>
    <row r="38" spans="3:30" ht="12.75" customHeight="1">
      <c r="C38" s="238"/>
      <c r="W38" s="682"/>
      <c r="X38" s="683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2"/>
      <c r="X39" s="683"/>
      <c r="Y39" s="254"/>
      <c r="Z39" s="257"/>
      <c r="AA39" s="686"/>
      <c r="AB39" s="687"/>
      <c r="AC39" s="252"/>
      <c r="AD39" s="253"/>
    </row>
    <row r="40" spans="3:30" ht="12" customHeight="1">
      <c r="C40" s="238"/>
      <c r="W40" s="692"/>
      <c r="X40" s="693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4"/>
      <c r="X41" s="695"/>
      <c r="Y41" s="260"/>
      <c r="Z41" s="261"/>
      <c r="AA41" s="686"/>
      <c r="AB41" s="687"/>
      <c r="AC41" s="252"/>
      <c r="AD41" s="253"/>
    </row>
    <row r="42" spans="3:30" ht="12" customHeight="1">
      <c r="C42" s="238"/>
      <c r="W42" s="696" t="s">
        <v>1459</v>
      </c>
      <c r="X42" s="697"/>
      <c r="Y42" s="697"/>
      <c r="Z42" s="697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9" t="s">
        <v>11</v>
      </c>
      <c r="X44" s="690"/>
      <c r="Y44" s="654"/>
      <c r="Z44" s="654"/>
      <c r="AA44" s="654"/>
      <c r="AB44" s="654"/>
      <c r="AC44" s="654"/>
      <c r="AD44" s="65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9" t="s">
        <v>984</v>
      </c>
      <c r="X45" s="690"/>
      <c r="Y45" s="654">
        <v>1</v>
      </c>
      <c r="Z45" s="654"/>
      <c r="AA45" s="654"/>
      <c r="AB45" s="654" t="s">
        <v>12</v>
      </c>
      <c r="AC45" s="65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9" t="s">
        <v>15</v>
      </c>
      <c r="X46" s="690"/>
      <c r="Y46" s="691"/>
      <c r="Z46" s="691"/>
      <c r="AA46" s="691"/>
      <c r="AB46" s="654" t="s">
        <v>16</v>
      </c>
      <c r="AC46" s="65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2" t="s">
        <v>17</v>
      </c>
      <c r="X47" s="702"/>
      <c r="Y47" s="702"/>
      <c r="Z47" s="702"/>
      <c r="AA47" s="702"/>
      <c r="AB47" s="702"/>
      <c r="AC47" s="702"/>
      <c r="AD47" s="703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4" t="str">
        <f>RAB!G6</f>
        <v>DPU-POMPA AIR LOIRENG</v>
      </c>
      <c r="X48" s="704"/>
      <c r="Y48" s="704"/>
      <c r="Z48" s="704"/>
      <c r="AA48" s="704"/>
      <c r="AB48" s="704"/>
      <c r="AC48" s="704"/>
      <c r="AD48" s="705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4"/>
      <c r="X49" s="704"/>
      <c r="Y49" s="704"/>
      <c r="Z49" s="704"/>
      <c r="AA49" s="704"/>
      <c r="AB49" s="704"/>
      <c r="AC49" s="704"/>
      <c r="AD49" s="705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4"/>
      <c r="X50" s="704"/>
      <c r="Y50" s="704"/>
      <c r="Z50" s="704"/>
      <c r="AA50" s="704"/>
      <c r="AB50" s="704"/>
      <c r="AC50" s="704"/>
      <c r="AD50" s="705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6"/>
      <c r="X51" s="706"/>
      <c r="Y51" s="706"/>
      <c r="Z51" s="706"/>
      <c r="AA51" s="706"/>
      <c r="AB51" s="706"/>
      <c r="AC51" s="706"/>
      <c r="AD51" s="707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9" t="s">
        <v>18</v>
      </c>
      <c r="X52" s="690"/>
      <c r="Y52" s="654" t="s">
        <v>1612</v>
      </c>
      <c r="Z52" s="654"/>
      <c r="AA52" s="654"/>
      <c r="AB52" s="654"/>
      <c r="AC52" s="654"/>
      <c r="AD52" s="65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9" t="s">
        <v>19</v>
      </c>
      <c r="X53" s="690"/>
      <c r="Y53" s="654" t="s">
        <v>1613</v>
      </c>
      <c r="Z53" s="654"/>
      <c r="AA53" s="654"/>
      <c r="AB53" s="654"/>
      <c r="AC53" s="654"/>
      <c r="AD53" s="65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9" t="s">
        <v>20</v>
      </c>
      <c r="X54" s="690"/>
      <c r="Y54" s="698" t="s">
        <v>1614</v>
      </c>
      <c r="Z54" s="698"/>
      <c r="AA54" s="698"/>
      <c r="AB54" s="654"/>
      <c r="AC54" s="654"/>
      <c r="AD54" s="65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9" t="s">
        <v>21</v>
      </c>
      <c r="X55" s="700"/>
      <c r="Y55" s="698" t="s">
        <v>1636</v>
      </c>
      <c r="Z55" s="698"/>
      <c r="AA55" s="698"/>
      <c r="AB55" s="698"/>
      <c r="AC55" s="698"/>
      <c r="AD55" s="701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25" zoomScale="55" zoomScaleNormal="55" zoomScaleSheetLayoutView="55" workbookViewId="0">
      <selection activeCell="V21" sqref="V21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8" t="s">
        <v>1531</v>
      </c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10"/>
      <c r="AD4" s="217"/>
      <c r="AE4" s="216"/>
      <c r="AF4" s="216"/>
    </row>
    <row r="5" spans="2:32" ht="13.5" customHeight="1">
      <c r="B5" s="215"/>
      <c r="C5" s="215"/>
      <c r="D5" s="711"/>
      <c r="E5" s="712"/>
      <c r="F5" s="712"/>
      <c r="G5" s="712"/>
      <c r="H5" s="712"/>
      <c r="I5" s="712"/>
      <c r="J5" s="712"/>
      <c r="K5" s="712"/>
      <c r="L5" s="712"/>
      <c r="M5" s="712"/>
      <c r="N5" s="712"/>
      <c r="O5" s="712"/>
      <c r="P5" s="712"/>
      <c r="Q5" s="712"/>
      <c r="R5" s="712"/>
      <c r="S5" s="712"/>
      <c r="T5" s="712"/>
      <c r="U5" s="712"/>
      <c r="V5" s="712"/>
      <c r="W5" s="712"/>
      <c r="X5" s="712"/>
      <c r="Y5" s="712"/>
      <c r="Z5" s="712"/>
      <c r="AA5" s="712"/>
      <c r="AB5" s="712"/>
      <c r="AC5" s="713"/>
      <c r="AD5" s="217"/>
      <c r="AE5" s="216"/>
      <c r="AF5" s="216"/>
    </row>
    <row r="6" spans="2:32" ht="12.75" customHeight="1">
      <c r="B6" s="215"/>
      <c r="C6" s="215"/>
      <c r="D6" s="711"/>
      <c r="E6" s="712"/>
      <c r="F6" s="712"/>
      <c r="G6" s="712"/>
      <c r="H6" s="712"/>
      <c r="I6" s="712"/>
      <c r="J6" s="712"/>
      <c r="K6" s="712"/>
      <c r="L6" s="712"/>
      <c r="M6" s="712"/>
      <c r="N6" s="712"/>
      <c r="O6" s="712"/>
      <c r="P6" s="712"/>
      <c r="Q6" s="712"/>
      <c r="R6" s="712"/>
      <c r="S6" s="712"/>
      <c r="T6" s="712"/>
      <c r="U6" s="712"/>
      <c r="V6" s="712"/>
      <c r="W6" s="712"/>
      <c r="X6" s="712"/>
      <c r="Y6" s="712"/>
      <c r="Z6" s="712"/>
      <c r="AA6" s="712"/>
      <c r="AB6" s="712"/>
      <c r="AC6" s="713"/>
      <c r="AE6" s="216"/>
      <c r="AF6" s="216"/>
    </row>
    <row r="7" spans="2:32" ht="12.75" customHeight="1" thickBot="1">
      <c r="B7" s="215"/>
      <c r="C7" s="215"/>
      <c r="D7" s="714"/>
      <c r="E7" s="715"/>
      <c r="F7" s="715"/>
      <c r="G7" s="715"/>
      <c r="H7" s="715"/>
      <c r="I7" s="715"/>
      <c r="J7" s="715"/>
      <c r="K7" s="715"/>
      <c r="L7" s="715"/>
      <c r="M7" s="715"/>
      <c r="N7" s="715"/>
      <c r="O7" s="715"/>
      <c r="P7" s="715"/>
      <c r="Q7" s="715"/>
      <c r="R7" s="715"/>
      <c r="S7" s="715"/>
      <c r="T7" s="715"/>
      <c r="U7" s="715"/>
      <c r="V7" s="715"/>
      <c r="W7" s="715"/>
      <c r="X7" s="715"/>
      <c r="Y7" s="715"/>
      <c r="Z7" s="715"/>
      <c r="AA7" s="715"/>
      <c r="AB7" s="715"/>
      <c r="AC7" s="71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11" t="s">
        <v>1623</v>
      </c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hyperlinks>
    <hyperlink ref="E9" r:id="rId1" xr:uid="{11565CDF-BD6E-468C-92FA-C9A19F9453F6}"/>
  </hyperlinks>
  <pageMargins left="0.7" right="0.7" top="0.75" bottom="0.75" header="0.3" footer="0.3"/>
  <pageSetup paperSize="9" scale="54" orientation="landscape" horizontalDpi="1200" verticalDpi="1200" r:id="rId2"/>
  <colBreaks count="1" manualBreakCount="1">
    <brk id="32" max="1048575" man="1"/>
  </colBreak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M42" sqref="M42"/>
    </sheetView>
  </sheetViews>
  <sheetFormatPr defaultColWidth="9.140625" defaultRowHeight="12.75"/>
  <cols>
    <col min="1" max="1" width="1.7109375" style="430" customWidth="1"/>
    <col min="2" max="2" width="10.7109375" style="430" customWidth="1"/>
    <col min="3" max="3" width="2.5703125" style="430" customWidth="1"/>
    <col min="4" max="20" width="9.140625" style="430"/>
    <col min="21" max="21" width="14.5703125" style="430" customWidth="1"/>
    <col min="22" max="22" width="3.140625" style="430" customWidth="1"/>
    <col min="23" max="26" width="9.140625" style="430"/>
    <col min="27" max="27" width="2.85546875" style="430" customWidth="1"/>
    <col min="28" max="30" width="4.7109375" style="430" customWidth="1"/>
    <col min="31" max="31" width="1.7109375" style="430" customWidth="1"/>
    <col min="32" max="16384" width="9.140625" style="430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2" t="s">
        <v>1530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182"/>
      <c r="X3" s="441"/>
      <c r="Y3" s="441"/>
      <c r="Z3" s="441"/>
      <c r="AA3" s="441"/>
      <c r="AB3" s="441"/>
      <c r="AC3" s="431"/>
    </row>
    <row r="4" spans="1:29" ht="18.75" customHeight="1">
      <c r="A4" s="181"/>
      <c r="C4" s="712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182"/>
      <c r="X4" s="441"/>
      <c r="Y4" s="441"/>
      <c r="Z4" s="441"/>
      <c r="AA4" s="441"/>
      <c r="AB4" s="441"/>
      <c r="AC4" s="431"/>
    </row>
    <row r="5" spans="1:29" ht="12.75" customHeight="1">
      <c r="A5" s="181"/>
      <c r="C5" s="432"/>
      <c r="W5" s="182"/>
    </row>
    <row r="6" spans="1:29" ht="12.75" customHeight="1">
      <c r="A6" s="181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W6" s="182"/>
      <c r="Y6" s="433"/>
      <c r="Z6" s="433"/>
      <c r="AA6" s="433"/>
      <c r="AB6" s="434"/>
      <c r="AC6" s="434"/>
    </row>
    <row r="7" spans="1:29" ht="18" customHeight="1">
      <c r="A7" s="181"/>
      <c r="C7" s="717"/>
      <c r="D7" s="717"/>
      <c r="E7" s="717"/>
      <c r="F7" s="717"/>
      <c r="G7" s="717"/>
      <c r="H7" s="717"/>
      <c r="I7" s="717"/>
      <c r="J7" s="717"/>
      <c r="K7" s="717"/>
      <c r="L7" s="717"/>
      <c r="M7" s="717"/>
      <c r="W7" s="182"/>
      <c r="Y7" s="433"/>
      <c r="Z7" s="433"/>
      <c r="AA7" s="433"/>
      <c r="AB7" s="434"/>
      <c r="AC7" s="434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5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6"/>
      <c r="S54" s="436"/>
      <c r="T54" s="436"/>
      <c r="U54" s="437"/>
      <c r="V54" s="437"/>
      <c r="W54" s="183"/>
      <c r="X54" s="437"/>
      <c r="Y54" s="437"/>
      <c r="Z54" s="437"/>
      <c r="AA54" s="437"/>
      <c r="AB54" s="437"/>
      <c r="AC54" s="437"/>
      <c r="AD54" s="437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2"/>
      <c r="S55" s="443"/>
      <c r="T55" s="443"/>
      <c r="U55" s="186"/>
      <c r="V55" s="187"/>
      <c r="W55" s="188"/>
      <c r="X55" s="437"/>
      <c r="Y55" s="437"/>
      <c r="Z55" s="437"/>
      <c r="AA55" s="438"/>
      <c r="AB55" s="438"/>
      <c r="AC55" s="438"/>
      <c r="AD55" s="438"/>
    </row>
    <row r="56" spans="1:30">
      <c r="U56" s="437"/>
      <c r="V56" s="438"/>
      <c r="W56" s="437"/>
      <c r="X56" s="437"/>
      <c r="Y56" s="437"/>
      <c r="Z56" s="437"/>
      <c r="AA56" s="438"/>
      <c r="AB56" s="437"/>
      <c r="AC56" s="437"/>
      <c r="AD56" s="437"/>
    </row>
    <row r="57" spans="1:30">
      <c r="U57" s="437"/>
      <c r="V57" s="438"/>
      <c r="W57" s="437"/>
      <c r="X57" s="437"/>
      <c r="Y57" s="437"/>
      <c r="Z57" s="437"/>
      <c r="AA57" s="437"/>
      <c r="AB57" s="437"/>
      <c r="AC57" s="437"/>
      <c r="AD57" s="437"/>
    </row>
    <row r="58" spans="1:30">
      <c r="U58" s="437"/>
      <c r="V58" s="438"/>
      <c r="W58" s="437"/>
      <c r="X58" s="437"/>
      <c r="Y58" s="437"/>
      <c r="Z58" s="437"/>
      <c r="AA58" s="437"/>
      <c r="AB58" s="437"/>
      <c r="AC58" s="437"/>
      <c r="AD58" s="437"/>
    </row>
    <row r="59" spans="1:30">
      <c r="U59" s="437"/>
      <c r="V59" s="438"/>
      <c r="W59" s="437"/>
      <c r="X59" s="437"/>
      <c r="Y59" s="437"/>
      <c r="Z59" s="437"/>
      <c r="AA59" s="437"/>
      <c r="AB59" s="437"/>
      <c r="AC59" s="437"/>
      <c r="AD59" s="437"/>
    </row>
    <row r="60" spans="1:30">
      <c r="U60" s="437"/>
      <c r="V60" s="438"/>
      <c r="W60" s="437"/>
      <c r="X60" s="437"/>
      <c r="Y60" s="437"/>
      <c r="Z60" s="437"/>
      <c r="AA60" s="438"/>
      <c r="AB60" s="437"/>
      <c r="AC60" s="437"/>
      <c r="AD60" s="437"/>
    </row>
    <row r="61" spans="1:30">
      <c r="U61" s="437"/>
      <c r="V61" s="438"/>
      <c r="W61" s="437"/>
      <c r="X61" s="437"/>
      <c r="Y61" s="437"/>
      <c r="Z61" s="437"/>
      <c r="AA61" s="437"/>
      <c r="AB61" s="437"/>
      <c r="AC61" s="437"/>
      <c r="AD61" s="437"/>
    </row>
    <row r="62" spans="1:30">
      <c r="U62" s="437"/>
      <c r="V62" s="438"/>
      <c r="W62" s="437"/>
      <c r="X62" s="437"/>
      <c r="Y62" s="437"/>
      <c r="Z62" s="437"/>
      <c r="AA62" s="437"/>
      <c r="AB62" s="437"/>
      <c r="AC62" s="437"/>
      <c r="AD62" s="437"/>
    </row>
    <row r="63" spans="1:30">
      <c r="U63" s="437"/>
      <c r="V63" s="438"/>
      <c r="W63" s="437"/>
      <c r="X63" s="437"/>
      <c r="Y63" s="437"/>
      <c r="Z63" s="437"/>
      <c r="AA63" s="437"/>
      <c r="AB63" s="437"/>
      <c r="AC63" s="437"/>
      <c r="AD63" s="437"/>
    </row>
    <row r="64" spans="1:30">
      <c r="U64" s="437"/>
      <c r="V64" s="438"/>
      <c r="W64" s="437"/>
      <c r="X64" s="437"/>
      <c r="Y64" s="437"/>
      <c r="Z64" s="437"/>
      <c r="AA64" s="437"/>
      <c r="AB64" s="437"/>
      <c r="AC64" s="437"/>
      <c r="AD64" s="437"/>
    </row>
    <row r="65" spans="5:30">
      <c r="U65" s="437"/>
      <c r="V65" s="438"/>
      <c r="W65" s="437"/>
      <c r="X65" s="437"/>
      <c r="Y65" s="437"/>
      <c r="Z65" s="437"/>
      <c r="AA65" s="437"/>
      <c r="AB65" s="437"/>
      <c r="AC65" s="437"/>
      <c r="AD65" s="437"/>
    </row>
    <row r="66" spans="5:30" ht="6" customHeight="1"/>
    <row r="73" spans="5:30">
      <c r="M73" s="439"/>
    </row>
    <row r="74" spans="5:30" ht="15" customHeight="1">
      <c r="E74" s="440"/>
      <c r="M74" s="439"/>
    </row>
    <row r="75" spans="5:30" ht="15" customHeight="1">
      <c r="E75" s="440"/>
      <c r="M75" s="439"/>
    </row>
    <row r="76" spans="5:30" ht="15" customHeight="1">
      <c r="E76" s="440"/>
      <c r="M76" s="439"/>
    </row>
    <row r="77" spans="5:30" ht="15" customHeight="1">
      <c r="E77" s="440"/>
      <c r="M77" s="439"/>
    </row>
    <row r="78" spans="5:30" ht="15" customHeight="1">
      <c r="E78" s="440"/>
      <c r="M78" s="439"/>
    </row>
    <row r="79" spans="5:30" ht="15" customHeight="1">
      <c r="E79" s="440"/>
      <c r="M79" s="439"/>
    </row>
    <row r="80" spans="5:30" ht="15" customHeight="1">
      <c r="E80" s="440"/>
      <c r="M80" s="439"/>
    </row>
    <row r="81" spans="5:13" ht="15" customHeight="1">
      <c r="E81" s="440"/>
      <c r="M81" s="439"/>
    </row>
    <row r="82" spans="5:13" ht="15" customHeight="1">
      <c r="E82" s="440"/>
      <c r="M82" s="439"/>
    </row>
    <row r="83" spans="5:13" ht="15" customHeight="1">
      <c r="E83" s="440"/>
      <c r="M83" s="439"/>
    </row>
    <row r="84" spans="5:13" ht="15" customHeight="1">
      <c r="E84" s="440"/>
      <c r="M84" s="439"/>
    </row>
    <row r="85" spans="5:13" ht="15" customHeight="1">
      <c r="E85" s="440"/>
      <c r="M85" s="439"/>
    </row>
    <row r="86" spans="5:13" ht="15" customHeight="1">
      <c r="E86" s="440"/>
      <c r="M86" s="439"/>
    </row>
    <row r="87" spans="5:13" ht="15" customHeight="1">
      <c r="E87" s="440"/>
      <c r="M87" s="439"/>
    </row>
    <row r="88" spans="5:13" ht="15" customHeight="1">
      <c r="E88" s="440"/>
      <c r="M88" s="439"/>
    </row>
    <row r="89" spans="5:13" ht="15" customHeight="1">
      <c r="E89" s="440"/>
      <c r="M89" s="439"/>
    </row>
    <row r="90" spans="5:13" ht="15" customHeight="1">
      <c r="E90" s="440"/>
      <c r="M90" s="439"/>
    </row>
    <row r="91" spans="5:13" ht="15" customHeight="1">
      <c r="E91" s="440"/>
      <c r="M91" s="439"/>
    </row>
    <row r="92" spans="5:13" ht="15" customHeight="1">
      <c r="E92" s="440"/>
      <c r="M92" s="439"/>
    </row>
    <row r="93" spans="5:13" ht="15" customHeight="1">
      <c r="E93" s="440"/>
      <c r="M93" s="439"/>
    </row>
    <row r="94" spans="5:13" ht="15" customHeight="1">
      <c r="E94" s="440"/>
      <c r="M94" s="439"/>
    </row>
    <row r="95" spans="5:13" ht="15" customHeight="1">
      <c r="E95" s="440"/>
      <c r="M95" s="439"/>
    </row>
    <row r="96" spans="5:13" ht="15" customHeight="1">
      <c r="E96" s="440"/>
    </row>
    <row r="97" spans="5:5" ht="15" customHeight="1">
      <c r="E97" s="440"/>
    </row>
    <row r="98" spans="5:5" ht="15" customHeight="1">
      <c r="E98" s="440"/>
    </row>
    <row r="99" spans="5:5" ht="15" customHeight="1">
      <c r="E99" s="440"/>
    </row>
    <row r="100" spans="5:5" ht="15" customHeight="1">
      <c r="E100" s="440"/>
    </row>
    <row r="101" spans="5:5" ht="15" customHeight="1">
      <c r="E101" s="440"/>
    </row>
    <row r="102" spans="5:5" ht="15" customHeight="1">
      <c r="E102" s="440"/>
    </row>
    <row r="103" spans="5:5" ht="15" customHeight="1">
      <c r="E103" s="440"/>
    </row>
    <row r="104" spans="5:5" ht="15" customHeight="1">
      <c r="E104" s="440"/>
    </row>
    <row r="105" spans="5:5" ht="15" customHeight="1">
      <c r="E105" s="440"/>
    </row>
    <row r="106" spans="5:5" ht="15" customHeight="1">
      <c r="E106" s="440"/>
    </row>
    <row r="107" spans="5:5" ht="15" customHeight="1">
      <c r="E107" s="440"/>
    </row>
    <row r="108" spans="5:5" ht="15" customHeight="1">
      <c r="E108" s="440"/>
    </row>
    <row r="109" spans="5:5" ht="15" customHeight="1">
      <c r="E109" s="440"/>
    </row>
    <row r="110" spans="5:5" ht="15" customHeight="1">
      <c r="E110" s="440"/>
    </row>
    <row r="111" spans="5:5" ht="15" customHeight="1">
      <c r="E111" s="440"/>
    </row>
    <row r="112" spans="5:5" ht="15" customHeight="1">
      <c r="E112" s="440"/>
    </row>
    <row r="113" spans="5:5" ht="15" customHeight="1">
      <c r="E113" s="440"/>
    </row>
    <row r="114" spans="5:5" ht="15" customHeight="1">
      <c r="E114" s="440"/>
    </row>
    <row r="115" spans="5:5" ht="15" customHeight="1">
      <c r="E115" s="440"/>
    </row>
    <row r="116" spans="5:5" ht="15" customHeight="1">
      <c r="E116" s="440"/>
    </row>
    <row r="117" spans="5:5" ht="15" customHeight="1">
      <c r="E117" s="440"/>
    </row>
    <row r="118" spans="5:5" ht="15" customHeight="1">
      <c r="E118" s="440"/>
    </row>
    <row r="119" spans="5:5" ht="15" customHeight="1">
      <c r="E119" s="440"/>
    </row>
    <row r="120" spans="5:5">
      <c r="E120" s="440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2">
        <v>1</v>
      </c>
    </row>
    <row r="2" spans="1:11" ht="48" customHeight="1">
      <c r="A2" s="462">
        <v>3</v>
      </c>
    </row>
    <row r="4" spans="1:11" ht="48" customHeight="1">
      <c r="C4" s="462">
        <v>1</v>
      </c>
    </row>
    <row r="5" spans="1:11" ht="48" customHeight="1">
      <c r="C5" s="462">
        <v>3</v>
      </c>
    </row>
    <row r="7" spans="1:11" ht="48" customHeight="1">
      <c r="E7" s="462">
        <v>1</v>
      </c>
    </row>
    <row r="8" spans="1:11" ht="48" customHeight="1">
      <c r="E8" s="462">
        <v>3</v>
      </c>
    </row>
    <row r="10" spans="1:11" ht="48" customHeight="1">
      <c r="G10" s="462">
        <v>3</v>
      </c>
    </row>
    <row r="11" spans="1:11" ht="48" customHeight="1">
      <c r="G11" s="462">
        <v>1</v>
      </c>
    </row>
    <row r="13" spans="1:11" ht="48" customHeight="1">
      <c r="I13" s="462">
        <v>3</v>
      </c>
    </row>
    <row r="14" spans="1:11" ht="48" customHeight="1">
      <c r="I14" s="462">
        <v>1</v>
      </c>
    </row>
    <row r="16" spans="1:11" ht="48" customHeight="1">
      <c r="K16" s="462">
        <v>3</v>
      </c>
    </row>
    <row r="17" spans="11:21" ht="48" customHeight="1">
      <c r="K17" s="462">
        <v>1</v>
      </c>
    </row>
    <row r="19" spans="11:21" ht="48" customHeight="1">
      <c r="M19" s="462">
        <v>3</v>
      </c>
    </row>
    <row r="20" spans="11:21" ht="48" customHeight="1">
      <c r="M20" s="462">
        <v>1</v>
      </c>
    </row>
    <row r="22" spans="11:21" ht="48" customHeight="1">
      <c r="O22" s="462">
        <v>3</v>
      </c>
    </row>
    <row r="23" spans="11:21" ht="48" customHeight="1">
      <c r="O23" s="462">
        <v>1</v>
      </c>
    </row>
    <row r="25" spans="11:21" ht="57" customHeight="1">
      <c r="Q25" s="462">
        <v>3</v>
      </c>
    </row>
    <row r="26" spans="11:21" ht="57" customHeight="1">
      <c r="Q26" s="462">
        <v>1</v>
      </c>
    </row>
    <row r="28" spans="11:21" ht="57" customHeight="1">
      <c r="S28" s="462">
        <v>3</v>
      </c>
    </row>
    <row r="29" spans="11:21" ht="57" customHeight="1">
      <c r="S29" s="462">
        <v>1</v>
      </c>
    </row>
    <row r="31" spans="11:21" ht="57" customHeight="1">
      <c r="U31" s="462">
        <v>3</v>
      </c>
    </row>
    <row r="32" spans="11:21" ht="57" customHeight="1">
      <c r="U32" s="46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2023-06-21T14:11:56Z</cp:lastPrinted>
  <dcterms:created xsi:type="dcterms:W3CDTF">2011-02-06T11:57:38Z</dcterms:created>
  <dcterms:modified xsi:type="dcterms:W3CDTF">2023-09-14T08:17:34Z</dcterms:modified>
</cp:coreProperties>
</file>