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9. 14-09-2023\13 Sept\13 Sept\"/>
    </mc:Choice>
  </mc:AlternateContent>
  <xr:revisionPtr revIDLastSave="0" documentId="13_ncr:1_{2FE49B74-FD63-4C29-9FC6-5DC42270F525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H73" i="11"/>
  <c r="K73" i="11" s="1"/>
  <c r="I73" i="11"/>
  <c r="J73" i="11"/>
  <c r="H74" i="11"/>
  <c r="I74" i="11"/>
  <c r="J74" i="11"/>
  <c r="K74" i="11" l="1"/>
  <c r="F63" i="11" l="1"/>
  <c r="F57" i="11"/>
  <c r="F44" i="11"/>
  <c r="F41" i="11"/>
  <c r="F40" i="11"/>
  <c r="F39" i="11"/>
  <c r="F38" i="11"/>
  <c r="F37" i="11"/>
  <c r="D36" i="11"/>
  <c r="D37" i="11"/>
  <c r="D38" i="11"/>
  <c r="D39" i="11"/>
  <c r="D40" i="11"/>
  <c r="D41" i="11"/>
  <c r="H36" i="11" l="1"/>
  <c r="E36" i="11"/>
  <c r="G36" i="11"/>
  <c r="I36" i="11"/>
  <c r="J36" i="11"/>
  <c r="J37" i="11"/>
  <c r="E37" i="11"/>
  <c r="G37" i="11"/>
  <c r="J38" i="11"/>
  <c r="E38" i="11"/>
  <c r="G38" i="11"/>
  <c r="I38" i="11" s="1"/>
  <c r="H39" i="11"/>
  <c r="E39" i="11"/>
  <c r="G39" i="11"/>
  <c r="H40" i="11"/>
  <c r="E40" i="11"/>
  <c r="G40" i="11"/>
  <c r="I40" i="11" s="1"/>
  <c r="E41" i="11"/>
  <c r="G41" i="11"/>
  <c r="J41" i="11" s="1"/>
  <c r="D42" i="11"/>
  <c r="J42" i="11" s="1"/>
  <c r="E42" i="11"/>
  <c r="G42" i="11"/>
  <c r="D43" i="11"/>
  <c r="H43" i="11" s="1"/>
  <c r="E43" i="11"/>
  <c r="G43" i="11"/>
  <c r="F18" i="11"/>
  <c r="Y29" i="64"/>
  <c r="Y28" i="64"/>
  <c r="C6" i="62"/>
  <c r="D76" i="11"/>
  <c r="E76" i="11"/>
  <c r="G76" i="11"/>
  <c r="D77" i="11"/>
  <c r="E77" i="11"/>
  <c r="G77" i="11"/>
  <c r="F34" i="11"/>
  <c r="F33" i="11"/>
  <c r="F32" i="11"/>
  <c r="F31" i="11"/>
  <c r="F30" i="11"/>
  <c r="F27" i="11"/>
  <c r="F26" i="11"/>
  <c r="F25" i="11"/>
  <c r="F24" i="11"/>
  <c r="F23" i="11"/>
  <c r="D20" i="11"/>
  <c r="H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G17" i="11"/>
  <c r="G18" i="11"/>
  <c r="G19" i="11"/>
  <c r="D17" i="11"/>
  <c r="H17" i="11" s="1"/>
  <c r="E17" i="11"/>
  <c r="D18" i="11"/>
  <c r="E18" i="11"/>
  <c r="F92" i="11"/>
  <c r="F91" i="11"/>
  <c r="F90" i="11"/>
  <c r="F89" i="11"/>
  <c r="F88" i="11"/>
  <c r="F87" i="11"/>
  <c r="F86" i="11"/>
  <c r="F45" i="11"/>
  <c r="K12" i="60"/>
  <c r="G68" i="11"/>
  <c r="G69" i="11"/>
  <c r="G70" i="11"/>
  <c r="G71" i="11"/>
  <c r="D68" i="11"/>
  <c r="H68" i="11" s="1"/>
  <c r="E68" i="11"/>
  <c r="D69" i="11"/>
  <c r="H69" i="11" s="1"/>
  <c r="E69" i="11"/>
  <c r="D70" i="11"/>
  <c r="J70" i="11" s="1"/>
  <c r="E70" i="11"/>
  <c r="H76" i="11" l="1"/>
  <c r="I76" i="11"/>
  <c r="J76" i="11"/>
  <c r="H77" i="11"/>
  <c r="I77" i="11"/>
  <c r="J77" i="11"/>
  <c r="I42" i="11"/>
  <c r="K36" i="11"/>
  <c r="H42" i="11"/>
  <c r="I41" i="11"/>
  <c r="J40" i="11"/>
  <c r="K40" i="11" s="1"/>
  <c r="H38" i="11"/>
  <c r="K38" i="11" s="1"/>
  <c r="I37" i="11"/>
  <c r="I43" i="11"/>
  <c r="I39" i="11"/>
  <c r="J43" i="11"/>
  <c r="H41" i="11"/>
  <c r="J39" i="11"/>
  <c r="H37" i="11"/>
  <c r="J31" i="11"/>
  <c r="J35" i="11"/>
  <c r="I29" i="11"/>
  <c r="J28" i="11"/>
  <c r="J27" i="11"/>
  <c r="I35" i="11"/>
  <c r="K35" i="11" s="1"/>
  <c r="J32" i="11"/>
  <c r="I33" i="11"/>
  <c r="I25" i="11"/>
  <c r="J24" i="11"/>
  <c r="J23" i="11"/>
  <c r="I22" i="11"/>
  <c r="I21" i="11"/>
  <c r="J20" i="11"/>
  <c r="I26" i="11"/>
  <c r="I23" i="11"/>
  <c r="I32" i="11"/>
  <c r="I28" i="11"/>
  <c r="I24" i="11"/>
  <c r="I20" i="11"/>
  <c r="I34" i="11"/>
  <c r="J33" i="11"/>
  <c r="I31" i="11"/>
  <c r="I30" i="11"/>
  <c r="J29" i="11"/>
  <c r="I27" i="11"/>
  <c r="J25" i="11"/>
  <c r="J21" i="11"/>
  <c r="J34" i="11"/>
  <c r="J30" i="11"/>
  <c r="J26" i="11"/>
  <c r="J22" i="11"/>
  <c r="J18" i="11"/>
  <c r="J17" i="11"/>
  <c r="H18" i="11"/>
  <c r="I17" i="11"/>
  <c r="I18" i="11"/>
  <c r="J69" i="11"/>
  <c r="I70" i="11"/>
  <c r="H70" i="11"/>
  <c r="I69" i="11"/>
  <c r="J68" i="11"/>
  <c r="I68" i="11"/>
  <c r="K77" i="11" l="1"/>
  <c r="K76" i="11"/>
  <c r="K42" i="11"/>
  <c r="K41" i="11"/>
  <c r="K37" i="11"/>
  <c r="K39" i="11"/>
  <c r="K43" i="11"/>
  <c r="K27" i="11"/>
  <c r="K25" i="11"/>
  <c r="K31" i="11"/>
  <c r="K29" i="11"/>
  <c r="K21" i="11"/>
  <c r="K20" i="11"/>
  <c r="K30" i="11"/>
  <c r="K33" i="11"/>
  <c r="K28" i="11"/>
  <c r="K22" i="11"/>
  <c r="K32" i="11"/>
  <c r="K24" i="11"/>
  <c r="K34" i="11"/>
  <c r="K23" i="11"/>
  <c r="K26" i="11"/>
  <c r="K17" i="11"/>
  <c r="K18" i="11"/>
  <c r="K69" i="11"/>
  <c r="K68" i="11"/>
  <c r="K70" i="11"/>
  <c r="K13" i="60" l="1"/>
  <c r="F72" i="11"/>
  <c r="G6" i="11" l="1"/>
  <c r="F67" i="11"/>
  <c r="F66" i="11"/>
  <c r="F65" i="11"/>
  <c r="F64" i="11"/>
  <c r="F61" i="11"/>
  <c r="F60" i="11"/>
  <c r="F59" i="11"/>
  <c r="F58" i="11"/>
  <c r="F55" i="11"/>
  <c r="F54" i="11"/>
  <c r="F53" i="11"/>
  <c r="F52" i="11"/>
  <c r="F51" i="11"/>
  <c r="F50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3" i="11"/>
  <c r="G64" i="11"/>
  <c r="G65" i="11"/>
  <c r="G66" i="11"/>
  <c r="G67" i="11"/>
  <c r="D46" i="11"/>
  <c r="H46" i="11" s="1"/>
  <c r="E46" i="11"/>
  <c r="D47" i="11"/>
  <c r="J47" i="11" s="1"/>
  <c r="E47" i="11"/>
  <c r="D48" i="11"/>
  <c r="I48" i="11" s="1"/>
  <c r="E48" i="11"/>
  <c r="D49" i="11"/>
  <c r="H49" i="11" s="1"/>
  <c r="E49" i="11"/>
  <c r="D50" i="11"/>
  <c r="H50" i="11" s="1"/>
  <c r="E50" i="11"/>
  <c r="D51" i="11"/>
  <c r="J51" i="11" s="1"/>
  <c r="E51" i="11"/>
  <c r="D52" i="11"/>
  <c r="E52" i="11"/>
  <c r="D53" i="11"/>
  <c r="H53" i="11" s="1"/>
  <c r="E53" i="11"/>
  <c r="D54" i="11"/>
  <c r="H54" i="11" s="1"/>
  <c r="E54" i="11"/>
  <c r="D55" i="11"/>
  <c r="E55" i="11"/>
  <c r="D56" i="11"/>
  <c r="I56" i="11" s="1"/>
  <c r="E56" i="11"/>
  <c r="D57" i="11"/>
  <c r="H57" i="11" s="1"/>
  <c r="E57" i="11"/>
  <c r="D58" i="11"/>
  <c r="H58" i="11" s="1"/>
  <c r="E58" i="11"/>
  <c r="D59" i="11"/>
  <c r="J59" i="11" s="1"/>
  <c r="E59" i="11"/>
  <c r="D60" i="11"/>
  <c r="E60" i="11"/>
  <c r="D61" i="11"/>
  <c r="H61" i="11" s="1"/>
  <c r="E61" i="11"/>
  <c r="D63" i="11"/>
  <c r="H63" i="11" s="1"/>
  <c r="E63" i="11"/>
  <c r="D64" i="11"/>
  <c r="J64" i="11" s="1"/>
  <c r="E64" i="11"/>
  <c r="D65" i="11"/>
  <c r="E65" i="11"/>
  <c r="D66" i="11"/>
  <c r="H66" i="11" s="1"/>
  <c r="E66" i="11"/>
  <c r="D67" i="11"/>
  <c r="H67" i="11" s="1"/>
  <c r="E67" i="11"/>
  <c r="F99" i="11"/>
  <c r="F98" i="11"/>
  <c r="F97" i="11"/>
  <c r="F96" i="11"/>
  <c r="F95" i="11"/>
  <c r="F83" i="11"/>
  <c r="F81" i="11"/>
  <c r="F80" i="11"/>
  <c r="F79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4" i="11"/>
  <c r="G95" i="11"/>
  <c r="G96" i="11"/>
  <c r="G97" i="11"/>
  <c r="G98" i="11"/>
  <c r="G99" i="11"/>
  <c r="G100" i="11"/>
  <c r="G101" i="11"/>
  <c r="G102" i="11"/>
  <c r="D78" i="11"/>
  <c r="E78" i="11"/>
  <c r="D79" i="11"/>
  <c r="E79" i="11"/>
  <c r="D80" i="11"/>
  <c r="J80" i="11" s="1"/>
  <c r="E80" i="11"/>
  <c r="D81" i="11"/>
  <c r="E81" i="11"/>
  <c r="D82" i="11"/>
  <c r="E82" i="11"/>
  <c r="D83" i="11"/>
  <c r="H83" i="11" s="1"/>
  <c r="E83" i="11"/>
  <c r="D84" i="11"/>
  <c r="I84" i="11" s="1"/>
  <c r="E84" i="11"/>
  <c r="D85" i="11"/>
  <c r="H85" i="11" s="1"/>
  <c r="E85" i="11"/>
  <c r="D86" i="11"/>
  <c r="H86" i="11" s="1"/>
  <c r="E86" i="11"/>
  <c r="D87" i="11"/>
  <c r="J87" i="11" s="1"/>
  <c r="E87" i="11"/>
  <c r="D88" i="11"/>
  <c r="E88" i="11"/>
  <c r="D89" i="11"/>
  <c r="H89" i="11" s="1"/>
  <c r="E89" i="11"/>
  <c r="D90" i="11"/>
  <c r="H90" i="11" s="1"/>
  <c r="E90" i="11"/>
  <c r="D91" i="11"/>
  <c r="J91" i="11" s="1"/>
  <c r="E91" i="11"/>
  <c r="D92" i="11"/>
  <c r="E92" i="11"/>
  <c r="D94" i="11"/>
  <c r="H94" i="11" s="1"/>
  <c r="E94" i="11"/>
  <c r="D95" i="11"/>
  <c r="H95" i="11" s="1"/>
  <c r="E95" i="11"/>
  <c r="D96" i="11"/>
  <c r="J96" i="11" s="1"/>
  <c r="E96" i="11"/>
  <c r="D97" i="11"/>
  <c r="E97" i="11"/>
  <c r="D98" i="11"/>
  <c r="H98" i="11" s="1"/>
  <c r="E98" i="11"/>
  <c r="D99" i="11"/>
  <c r="H99" i="11" s="1"/>
  <c r="E99" i="11"/>
  <c r="D100" i="11"/>
  <c r="J100" i="11" s="1"/>
  <c r="E100" i="11"/>
  <c r="D71" i="11"/>
  <c r="E71" i="11"/>
  <c r="D72" i="11"/>
  <c r="E72" i="11"/>
  <c r="G72" i="11"/>
  <c r="D75" i="11"/>
  <c r="E75" i="11"/>
  <c r="G75" i="11"/>
  <c r="D101" i="11"/>
  <c r="I101" i="11" s="1"/>
  <c r="E101" i="11"/>
  <c r="D102" i="11"/>
  <c r="H102" i="11" s="1"/>
  <c r="E102" i="11"/>
  <c r="D103" i="11"/>
  <c r="I103" i="11" s="1"/>
  <c r="E103" i="11"/>
  <c r="G103" i="11"/>
  <c r="D44" i="11"/>
  <c r="J44" i="11" s="1"/>
  <c r="E44" i="11"/>
  <c r="G44" i="11"/>
  <c r="D45" i="11"/>
  <c r="E45" i="11"/>
  <c r="G45" i="11"/>
  <c r="D16" i="11"/>
  <c r="H16" i="11" s="1"/>
  <c r="E16" i="11"/>
  <c r="G16" i="11"/>
  <c r="D19" i="11"/>
  <c r="E19" i="11"/>
  <c r="H78" i="11" l="1"/>
  <c r="I78" i="11"/>
  <c r="J78" i="11"/>
  <c r="H75" i="11"/>
  <c r="I75" i="11"/>
  <c r="J75" i="11"/>
  <c r="J55" i="11"/>
  <c r="H19" i="11"/>
  <c r="I19" i="11"/>
  <c r="J19" i="11"/>
  <c r="I71" i="11"/>
  <c r="J71" i="11"/>
  <c r="H71" i="11"/>
  <c r="I60" i="11"/>
  <c r="I65" i="11"/>
  <c r="I52" i="11"/>
  <c r="I64" i="11"/>
  <c r="J61" i="11"/>
  <c r="H59" i="11"/>
  <c r="I47" i="11"/>
  <c r="H64" i="11"/>
  <c r="K64" i="11" s="1"/>
  <c r="I51" i="11"/>
  <c r="J49" i="11"/>
  <c r="H47" i="11"/>
  <c r="K47" i="11" s="1"/>
  <c r="I55" i="11"/>
  <c r="J53" i="11"/>
  <c r="H51" i="11"/>
  <c r="I59" i="11"/>
  <c r="J57" i="11"/>
  <c r="H55" i="11"/>
  <c r="J67" i="11"/>
  <c r="H65" i="11"/>
  <c r="J63" i="11"/>
  <c r="H60" i="11"/>
  <c r="J58" i="11"/>
  <c r="H56" i="11"/>
  <c r="J54" i="11"/>
  <c r="H52" i="11"/>
  <c r="J50" i="11"/>
  <c r="H48" i="11"/>
  <c r="J46" i="11"/>
  <c r="I97" i="11"/>
  <c r="I92" i="11"/>
  <c r="I88" i="11"/>
  <c r="I67" i="11"/>
  <c r="J66" i="11"/>
  <c r="I63" i="11"/>
  <c r="I58" i="11"/>
  <c r="I54" i="11"/>
  <c r="I50" i="11"/>
  <c r="I46" i="11"/>
  <c r="I66" i="11"/>
  <c r="J65" i="11"/>
  <c r="I61" i="11"/>
  <c r="K61" i="11" s="1"/>
  <c r="J60" i="11"/>
  <c r="I57" i="11"/>
  <c r="J56" i="11"/>
  <c r="I53" i="11"/>
  <c r="K53" i="11" s="1"/>
  <c r="J52" i="11"/>
  <c r="I49" i="11"/>
  <c r="J48" i="11"/>
  <c r="H79" i="11"/>
  <c r="H82" i="11"/>
  <c r="I81" i="11"/>
  <c r="J83" i="11"/>
  <c r="J99" i="11"/>
  <c r="I91" i="11"/>
  <c r="H84" i="11"/>
  <c r="I96" i="11"/>
  <c r="H88" i="11"/>
  <c r="J86" i="11"/>
  <c r="I80" i="11"/>
  <c r="I100" i="11"/>
  <c r="H92" i="11"/>
  <c r="J90" i="11"/>
  <c r="H97" i="11"/>
  <c r="J95" i="11"/>
  <c r="I87" i="11"/>
  <c r="H81" i="11"/>
  <c r="J79" i="11"/>
  <c r="H101" i="11"/>
  <c r="J102" i="11"/>
  <c r="H100" i="11"/>
  <c r="I99" i="11"/>
  <c r="J98" i="11"/>
  <c r="H96" i="11"/>
  <c r="I95" i="11"/>
  <c r="J94" i="11"/>
  <c r="H91" i="11"/>
  <c r="I90" i="11"/>
  <c r="J89" i="11"/>
  <c r="H87" i="11"/>
  <c r="I86" i="11"/>
  <c r="J85" i="11"/>
  <c r="I83" i="11"/>
  <c r="J82" i="11"/>
  <c r="H80" i="11"/>
  <c r="I79" i="11"/>
  <c r="I102" i="11"/>
  <c r="J101" i="11"/>
  <c r="I98" i="11"/>
  <c r="J97" i="11"/>
  <c r="I94" i="11"/>
  <c r="J92" i="11"/>
  <c r="I89" i="11"/>
  <c r="J88" i="11"/>
  <c r="I85" i="11"/>
  <c r="J84" i="11"/>
  <c r="I82" i="11"/>
  <c r="J81" i="11"/>
  <c r="J103" i="11"/>
  <c r="H72" i="11"/>
  <c r="I72" i="11"/>
  <c r="J72" i="11"/>
  <c r="H103" i="11"/>
  <c r="I44" i="11"/>
  <c r="J45" i="11"/>
  <c r="H44" i="11"/>
  <c r="I45" i="11"/>
  <c r="H45" i="11"/>
  <c r="J16" i="11"/>
  <c r="I16" i="11"/>
  <c r="K78" i="11" l="1"/>
  <c r="K75" i="11"/>
  <c r="K19" i="11"/>
  <c r="K71" i="11"/>
  <c r="K50" i="11"/>
  <c r="K84" i="11"/>
  <c r="K98" i="11"/>
  <c r="K51" i="11"/>
  <c r="K55" i="11"/>
  <c r="K58" i="11"/>
  <c r="K59" i="11"/>
  <c r="K57" i="11"/>
  <c r="K66" i="11"/>
  <c r="K67" i="11"/>
  <c r="K46" i="11"/>
  <c r="K95" i="11"/>
  <c r="K100" i="11"/>
  <c r="K63" i="11"/>
  <c r="K88" i="11"/>
  <c r="K96" i="11"/>
  <c r="K49" i="11"/>
  <c r="K54" i="11"/>
  <c r="K52" i="11"/>
  <c r="K48" i="11"/>
  <c r="K56" i="11"/>
  <c r="K65" i="11"/>
  <c r="K60" i="11"/>
  <c r="K82" i="11"/>
  <c r="K83" i="11"/>
  <c r="K94" i="11"/>
  <c r="K92" i="11"/>
  <c r="K87" i="11"/>
  <c r="K99" i="11"/>
  <c r="K85" i="11"/>
  <c r="K102" i="11"/>
  <c r="K81" i="11"/>
  <c r="K90" i="11"/>
  <c r="K89" i="11"/>
  <c r="K86" i="11"/>
  <c r="K91" i="11"/>
  <c r="K103" i="11"/>
  <c r="K79" i="11"/>
  <c r="K97" i="11"/>
  <c r="K80" i="11"/>
  <c r="K101" i="11"/>
  <c r="K72" i="11"/>
  <c r="K44" i="11"/>
  <c r="K45" i="11"/>
  <c r="K16" i="11"/>
  <c r="D21" i="59" l="1"/>
  <c r="K6" i="60"/>
  <c r="D15" i="11" l="1"/>
  <c r="H15" i="11" s="1"/>
  <c r="E15" i="11"/>
  <c r="G15" i="11"/>
  <c r="J15" i="11" l="1"/>
  <c r="I15" i="11"/>
  <c r="K15" i="11" l="1"/>
  <c r="D14" i="11" l="1"/>
  <c r="J14" i="11" s="1"/>
  <c r="J104" i="11" s="1"/>
  <c r="E14" i="11"/>
  <c r="G14" i="11"/>
  <c r="K19" i="60"/>
  <c r="D19" i="60"/>
  <c r="H14" i="11" l="1"/>
  <c r="H104" i="11" s="1"/>
  <c r="I14" i="11"/>
  <c r="I104" i="11" s="1"/>
  <c r="K104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0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0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4" i="11"/>
  <c r="D105" i="11"/>
  <c r="H105" i="11" s="1"/>
  <c r="E10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0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2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5" i="11"/>
  <c r="I10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89" i="29"/>
  <c r="E299" i="29"/>
  <c r="E268" i="29"/>
  <c r="E273" i="29"/>
  <c r="E236" i="29"/>
  <c r="F308" i="29"/>
  <c r="E264" i="29"/>
  <c r="E261" i="29"/>
  <c r="F270" i="29"/>
  <c r="E276" i="29"/>
  <c r="F256" i="29"/>
  <c r="E251" i="29"/>
  <c r="F250" i="29"/>
  <c r="F298" i="29"/>
  <c r="F271" i="29"/>
  <c r="F27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05" i="11"/>
  <c r="K107" i="11" s="1"/>
  <c r="E227" i="29" l="1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7" i="11"/>
  <c r="H108" i="11" s="1"/>
  <c r="I107" i="11"/>
  <c r="I10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09" i="11"/>
  <c r="I10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08" i="1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07" i="11"/>
  <c r="J10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09" i="11"/>
  <c r="B11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784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<sst xmlns="http://schemas.openxmlformats.org/spreadsheetml/2006/main" count="4779" uniqueCount="1644">
  <si>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</si>
  <si>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</si>
  <si>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</si>
  <si>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</si>
  <si>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</si>
  <si>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</si>
  <si>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</si>
  <si>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</si>
  <si>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</si>
  <si>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</si>
  <si>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</si>
  <si>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</si>
  <si>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</si>
  <si>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</si>
  <si>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</si>
  <si>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</si>
  <si>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</si>
  <si>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</si>
  <si>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</si>
  <si>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</si>
  <si>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</si>
  <si>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</si>
  <si>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</si>
  <si>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</si>
  <si>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</si>
  <si>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</si>
  <si>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</si>
  <si>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</si>
  <si>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</si>
  <si>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</si>
  <si>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</si>
  <si>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</si>
  <si>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</si>
  <si>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</si>
  <si>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</si>
  <si>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</si>
  <si>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</si>
  <si>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</si>
  <si>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</si>
  <si>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</si>
  <si>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</si>
  <si>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</si>
  <si>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</si>
  <si>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</si>
  <si>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</si>
  <si>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</si>
  <si>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</si>
  <si>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</si>
  <si>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</si>
  <si>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</si>
  <si>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</si>
  <si>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</si>
  <si>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</si>
  <si>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</si>
  <si>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</si>
  <si>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</si>
  <si>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</si>
  <si>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</si>
  <si>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</si>
  <si>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</si>
  <si>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</si>
  <si>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</si>
  <si>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</si>
  <si>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</si>
  <si>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</si>
  <si>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</si>
  <si>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</si>
  <si>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</si>
  <si>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</si>
  <si>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</si>
  <si>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</si>
  <si>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</si>
  <si>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</si>
  <si>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</si>
  <si>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</si>
  <si>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</si>
  <si>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</si>
  <si>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</si>
  <si>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</si>
  <si>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</si>
  <si>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</si>
  <si>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</si>
  <si>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</si>
  <si>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</si>
  <si>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</si>
  <si>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</si>
  <si>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</si>
  <si>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</si>
  <si>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</si>
  <si>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</si>
  <si>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</si>
  <si>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</si>
  <si>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</si>
  <si>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</si>
  <si>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</si>
  <si>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</si>
  <si>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</si>
  <si>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</si>
  <si>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</si>
  <si>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</si>
  <si>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</si>
  <si>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</si>
  <si>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</si>
  <si>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</si>
  <si>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</si>
  <si>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</si>
  <si>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</si>
  <si>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</si>
  <si>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</si>
  <si>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</si>
  <si>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</si>
  <si>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</si>
  <si>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</si>
  <si>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</si>
  <si>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</si>
  <si>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</si>
  <si>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</si>
  <si>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</si>
  <si>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</si>
  <si>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</si>
  <si>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</si>
  <si>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</si>
  <si>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</si>
  <si>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</si>
  <si>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</si>
  <si>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</si>
  <si>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</si>
  <si>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</si>
  <si>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</si>
  <si>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</si>
  <si>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</si>
  <si>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</si>
  <si>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</si>
  <si>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</si>
  <si>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</si>
  <si>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</si>
  <si>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</si>
  <si>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</si>
  <si>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</si>
  <si>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</si>
  <si>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</si>
  <si>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</si>
  <si>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</si>
  <si>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</si>
  <si>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</si>
  <si>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</si>
  <si>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</si>
  <si>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</si>
  <si>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</si>
  <si>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</si>
  <si>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</si>
  <si>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</si>
  <si>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</si>
  <si>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</si>
  <si>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</si>
  <si>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</si>
  <si>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</si>
  <si>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</si>
  <si>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</si>
  <si>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</si>
  <si>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</si>
  <si>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</si>
  <si>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</si>
  <si>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</si>
  <si>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</si>
  <si>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</si>
  <si>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</si>
  <si>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</si>
  <si>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</si>
  <si>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</si>
  <si>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</si>
  <si>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</si>
  <si>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</si>
  <si>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</si>
  <si>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</si>
  <si>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</si>
  <si>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</si>
  <si>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</si>
  <si>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</si>
  <si>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</si>
  <si>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</si>
  <si>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</si>
  <si>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</si>
  <si>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</si>
  <si>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</si>
  <si>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</si>
  <si>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</si>
  <si>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</si>
  <si>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</si>
  <si>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</si>
  <si>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</si>
  <si>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</si>
  <si>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</si>
  <si>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</si>
  <si>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</si>
  <si>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</si>
  <si>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</si>
  <si>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</si>
  <si>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</si>
  <si>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</si>
  <si>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</si>
  <si>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</si>
  <si>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</si>
  <si>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</si>
  <si>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</si>
  <si>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</si>
  <si>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</si>
  <si>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</si>
  <si>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</si>
  <si>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</si>
  <si>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</si>
  <si>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</si>
  <si>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</si>
  <si>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</si>
  <si>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</si>
  <si>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</si>
  <si>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</si>
  <si>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</si>
  <si>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</si>
  <si>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</si>
  <si>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</si>
  <si>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</si>
  <si>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</si>
  <si>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</si>
  <si>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</si>
  <si>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</si>
  <si>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</si>
  <si>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</si>
  <si>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</si>
  <si>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</si>
  <si>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</si>
  <si>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</si>
  <si>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</si>
  <si>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</si>
  <si>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</si>
  <si>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</si>
  <si>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</si>
  <si>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</si>
  <si>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</si>
  <si>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</si>
  <si>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</si>
  <si>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</si>
  <si>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</si>
  <si>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</si>
  <si>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</si>
  <si>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</si>
  <si>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</si>
  <si>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</si>
  <si>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</si>
  <si>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</si>
  <si>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</si>
  <si>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</si>
  <si>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</si>
  <si>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</si>
  <si>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</si>
  <si>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</si>
  <si>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</si>
  <si>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</si>
  <si>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</si>
  <si>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</si>
  <si>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</si>
  <si>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</si>
  <si>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</si>
  <si>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</si>
  <si>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</si>
  <si>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</si>
  <si>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</si>
  <si>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</si>
  <si>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</si>
  <si>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</si>
  <si>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</si>
  <si>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</si>
  <si>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</si>
  <si>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</si>
  <si>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</si>
  <si>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</si>
  <si>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</si>
  <si>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</si>
  <si>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</si>
  <si>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</si>
  <si>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</si>
  <si>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</si>
  <si>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</si>
  <si>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</si>
  <si>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</si>
  <si>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</si>
  <si>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</si>
  <si>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</si>
  <si>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</si>
  <si>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</si>
  <si>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</si>
  <si>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</si>
  <si>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</si>
  <si>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</si>
  <si>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</si>
  <si>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</si>
  <si>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</si>
  <si>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</si>
  <si>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</si>
  <si>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</si>
  <si>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</si>
  <si>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</si>
  <si>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</si>
  <si>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</si>
  <si>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</si>
  <si>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</si>
  <si>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</si>
  <si>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</si>
  <si>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</si>
  <si>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</si>
  <si>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</si>
  <si>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</si>
  <si>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</si>
  <si>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</si>
  <si>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</si>
  <si>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</si>
  <si>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</si>
  <si>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</si>
  <si>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</si>
  <si>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</si>
  <si>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</si>
  <si>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</si>
  <si>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</si>
  <si>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</si>
  <si>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</si>
  <si>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</si>
  <si>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</si>
  <si>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</si>
  <si>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</si>
  <si>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</si>
  <si>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</si>
  <si>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</si>
  <si>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</si>
  <si>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</si>
  <si>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</si>
  <si>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</si>
  <si>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</si>
  <si>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</si>
  <si>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</si>
  <si>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</si>
  <si>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</si>
  <si>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</si>
  <si>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</si>
  <si>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</si>
  <si>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</si>
  <si>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</si>
  <si>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</si>
  <si>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</si>
  <si>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</si>
  <si>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</si>
  <si>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</si>
  <si>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</si>
  <si>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</si>
  <si>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</si>
  <si>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</si>
  <si>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</si>
  <si>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</si>
  <si>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</si>
  <si>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</si>
  <si>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</si>
  <si>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</si>
  <si>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</si>
  <si>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</si>
  <si>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</si>
  <si>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</si>
  <si>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</si>
  <si>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</si>
  <si>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</si>
  <si>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</si>
  <si>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</si>
  <si>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</si>
  <si>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</si>
  <si>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</si>
  <si>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</si>
  <si>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</si>
  <si>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</si>
  <si>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</si>
  <si>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</si>
  <si>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</si>
  <si>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</si>
  <si>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</si>
  <si>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</si>
  <si>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</si>
  <si>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</si>
  <si>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</si>
  <si>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</si>
  <si>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</si>
  <si>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</si>
  <si>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</si>
  <si>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</si>
  <si>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</si>
  <si>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</si>
  <si>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</si>
  <si>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</si>
  <si>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</si>
  <si>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</si>
  <si>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</si>
  <si>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</si>
  <si>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</si>
  <si>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</si>
  <si>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</si>
  <si>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</si>
  <si>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</si>
  <si>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</si>
  <si>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</si>
  <si>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</si>
  <si>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</si>
  <si>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</si>
  <si>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</si>
  <si>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</si>
  <si>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</si>
  <si>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</si>
  <si>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</si>
  <si>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</si>
  <si>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</si>
  <si>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</si>
  <si>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</si>
  <si>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</si>
  <si>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</si>
  <si>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</si>
  <si>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</si>
  <si>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</si>
  <si>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</si>
  <si>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</si>
  <si>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</si>
  <si>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</si>
  <si>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</si>
  <si>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</si>
  <si>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</si>
  <si>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</si>
  <si>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</si>
  <si>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</si>
  <si>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</si>
  <si>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</si>
  <si>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</si>
  <si>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</si>
  <si>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</si>
  <si>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</si>
  <si>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</si>
  <si>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</si>
  <si>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</si>
  <si>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</si>
  <si>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</si>
  <si>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</si>
  <si>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</si>
  <si>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</si>
  <si>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</si>
  <si>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</si>
  <si>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</si>
  <si>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</si>
  <si>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</si>
  <si>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</si>
  <si>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</si>
  <si>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</si>
  <si>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</si>
  <si>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</si>
  <si>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</si>
  <si>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</si>
  <si>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</si>
  <si>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</si>
  <si>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</si>
  <si>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</si>
  <si>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</si>
  <si>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</si>
  <si>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</si>
  <si>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</si>
  <si>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</si>
  <si>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</si>
  <si>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</si>
  <si>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</si>
  <si>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</si>
  <si>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</si>
  <si>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</si>
  <si>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</si>
  <si>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</si>
  <si>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</si>
  <si>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</si>
  <si>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</si>
  <si>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</si>
  <si>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</si>
  <si>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</si>
  <si>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</si>
  <si>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</si>
  <si>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</si>
  <si>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</si>
  <si>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</si>
  <si>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</si>
  <si>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</si>
  <si>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</si>
  <si>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</si>
  <si>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</si>
  <si>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</si>
  <si>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</si>
  <si>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</si>
  <si>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</si>
  <si>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</si>
  <si>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</si>
  <si>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</si>
  <si>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</si>
  <si>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</si>
  <si>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</si>
  <si>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</si>
  <si>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</si>
  <si>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</si>
  <si>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</si>
  <si>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</si>
  <si>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</si>
  <si>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</si>
  <si>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</si>
  <si>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</si>
  <si>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</si>
  <si>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</si>
  <si>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</si>
  <si>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</si>
  <si>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</si>
  <si>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</si>
  <si>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</si>
  <si>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</si>
  <si>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</si>
  <si>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</si>
  <si>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</si>
  <si>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</si>
  <si>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</si>
  <si>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</si>
  <si>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</si>
  <si>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</si>
  <si>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</si>
  <si>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</si>
  <si>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</si>
  <si>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</si>
  <si>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</si>
  <si>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</si>
  <si>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</si>
  <si>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</si>
  <si>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</si>
  <si>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</si>
  <si>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</si>
  <si>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</si>
  <si>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</si>
  <si>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</si>
  <si>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</si>
  <si>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</si>
  <si>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</si>
  <si>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</si>
  <si>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</si>
  <si>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</si>
  <si>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</si>
  <si>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</si>
  <si>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</si>
  <si>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</si>
  <si>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</si>
  <si>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</si>
  <si>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</si>
  <si>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</si>
  <si>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</si>
  <si>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</si>
  <si>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</si>
  <si>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</si>
  <si>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</si>
  <si>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</si>
  <si>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</si>
  <si>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</si>
  <si>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</si>
  <si>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</si>
  <si>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</si>
  <si>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</si>
  <si>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</si>
  <si>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</si>
  <si>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</si>
  <si>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</si>
  <si>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</si>
  <si>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</si>
  <si>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</si>
  <si>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</si>
  <si>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</si>
  <si>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</si>
  <si>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</si>
  <si>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</si>
  <si>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</si>
  <si>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</si>
  <si>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</si>
  <si>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</si>
  <si>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</si>
  <si>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</si>
  <si>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</si>
  <si>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</si>
  <si>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</si>
  <si>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</si>
  <si>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</si>
  <si>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</si>
  <si>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</si>
  <si>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</si>
  <si>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</si>
  <si>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</si>
  <si>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</si>
  <si>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</si>
  <si>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</si>
  <si>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</si>
  <si>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</si>
  <si>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</si>
  <si>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</si>
  <si>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</si>
  <si>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</si>
  <si>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</si>
  <si>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</si>
  <si>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</si>
  <si>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</si>
  <si>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</si>
  <si>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</si>
  <si>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</si>
  <si>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</si>
  <si>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</si>
  <si>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</si>
  <si>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</si>
  <si>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</si>
  <si>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</si>
  <si>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</si>
  <si>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</si>
  <si>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</si>
  <si>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</si>
  <si>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</si>
  <si>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</si>
  <si>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</si>
  <si>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</si>
  <si>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</si>
  <si>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</si>
  <si>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</si>
  <si>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</si>
  <si>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</si>
  <si>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</si>
  <si>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</si>
  <si>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</si>
  <si>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</si>
  <si>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</si>
  <si>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</si>
  <si>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</si>
  <si>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</si>
  <si>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</si>
  <si>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</si>
  <si>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</si>
  <si>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</si>
  <si>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</si>
  <si>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</si>
  <si>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</si>
  <si>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</si>
  <si>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</si>
  <si>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</si>
  <si>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</si>
  <si>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</si>
  <si>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</si>
  <si>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</si>
  <si>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</si>
  <si>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</si>
  <si>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</si>
  <si>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</si>
  <si>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</si>
  <si>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</si>
  <si>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</si>
  <si>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</si>
  <si>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</si>
  <si>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</si>
  <si>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</si>
  <si>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</si>
  <si>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</si>
  <si>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</si>
  <si>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</si>
  <si>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</si>
  <si>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</si>
  <si>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</si>
  <si>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</si>
  <si>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</si>
  <si>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</si>
  <si>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</si>
  <si>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</si>
  <si>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</si>
  <si>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</si>
  <si>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</si>
  <si>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</si>
  <si>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</si>
  <si>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</si>
  <si>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</si>
  <si>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</si>
  <si>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</si>
  <si>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</si>
  <si>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</si>
  <si>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</si>
  <si>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</si>
  <si>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</si>
  <si>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</si>
  <si>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</si>
  <si>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</si>
  <si>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</si>
  <si>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</si>
  <si>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</si>
  <si>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</si>
  <si>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</si>
  <si>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</si>
  <si>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</si>
  <si>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</si>
  <si>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</si>
  <si>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</si>
  <si>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</si>
  <si>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</si>
  <si>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</si>
  <si>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</si>
  <si>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</si>
  <si>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</si>
  <si>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</si>
  <si>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</si>
  <si>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</si>
  <si>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</si>
  <si>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</si>
  <si>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</si>
  <si>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</si>
  <si>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</si>
  <si>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</si>
  <si>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</si>
  <si>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</si>
  <si>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</si>
  <si>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</si>
  <si>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</si>
  <si>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</si>
  <si>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</si>
  <si>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</si>
  <si>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</si>
  <si>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</si>
  <si>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</si>
  <si>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</si>
  <si>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</si>
  <si>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</si>
  <si>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</si>
  <si>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</si>
  <si>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</si>
  <si>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</si>
  <si>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</si>
  <si>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</si>
  <si>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</si>
  <si>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</si>
  <si>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</si>
  <si>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</si>
  <si>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</si>
  <si>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</si>
  <si>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</si>
  <si>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</si>
  <si>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</si>
  <si>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</si>
  <si>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</si>
  <si>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</si>
  <si>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</si>
  <si>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</si>
  <si>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</si>
  <si>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</si>
  <si>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</si>
  <si>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</si>
  <si>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</si>
  <si>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</si>
  <si>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</si>
  <si>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</si>
  <si>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</si>
  <si>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</si>
  <si>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</si>
  <si>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</si>
  <si>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</si>
  <si>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</si>
  <si>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</si>
  <si>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</si>
  <si>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</si>
  <si>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</si>
  <si>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</si>
  <si>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</si>
  <si>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</si>
  <si>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</si>
  <si>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</si>
  <si>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</si>
  <si>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</si>
  <si>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</si>
  <si>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</si>
  <si>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</si>
  <si>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</si>
  <si>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</si>
  <si>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</si>
  <si>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</si>
  <si>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</si>
  <si>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</si>
  <si>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</si>
  <si>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</si>
  <si>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</si>
  <si>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</si>
  <si>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</si>
  <si>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</si>
  <si>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</si>
  <si>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</si>
  <si>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</si>
  <si>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</si>
  <si>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</si>
  <si>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</si>
  <si>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</si>
  <si>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</si>
  <si>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</si>
  <si>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</si>
  <si>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</si>
  <si>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</si>
  <si>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</si>
  <si>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</si>
  <si>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</si>
  <si>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</si>
  <si>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</si>
  <si>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</si>
  <si>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</si>
  <si>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</si>
  <si>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</si>
  <si>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</si>
  <si>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</si>
  <si>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</si>
  <si>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</si>
  <si>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</si>
  <si>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</si>
  <si>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</si>
  <si>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</si>
  <si>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</si>
  <si>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</si>
  <si>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</si>
  <si>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</si>
  <si>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</si>
  <si>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</si>
  <si>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</si>
  <si>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</si>
  <si>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</si>
  <si>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</si>
  <si>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</si>
  <si>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</si>
  <si>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</si>
  <si>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</si>
  <si>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</si>
  <si>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</si>
  <si>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</si>
  <si>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</si>
  <si>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</si>
  <si>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</si>
  <si>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</si>
  <si>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</si>
  <si>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</si>
  <si>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</si>
  <si>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</si>
  <si>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</si>
  <si>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</si>
  <si>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</si>
  <si>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</si>
  <si>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</si>
  <si>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</si>
  <si>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</si>
  <si>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</si>
  <si>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</si>
  <si>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</si>
  <si>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</si>
  <si>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</si>
  <si>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</si>
  <si>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</si>
  <si>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</si>
  <si>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</si>
  <si>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</si>
  <si>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</si>
  <si>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</si>
  <si>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</si>
  <si>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</si>
  <si>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</si>
  <si>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</si>
  <si>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</si>
  <si>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</si>
  <si>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</si>
  <si>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</si>
  <si>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</si>
  <si>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</si>
  <si>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</si>
  <si>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</si>
  <si>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</si>
  <si>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</si>
  <si>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</si>
  <si>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</si>
  <si>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</si>
  <si>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</si>
  <si>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</si>
  <si>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</si>
  <si>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</si>
  <si>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</si>
  <si>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</si>
  <si>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</si>
  <si>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</si>
  <si>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</si>
  <si>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</si>
  <si>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</si>
  <si>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</si>
  <si>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</si>
  <si>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</si>
  <si>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</si>
  <si>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</si>
  <si>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</si>
  <si>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</si>
  <si>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</si>
  <si>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</si>
  <si>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</si>
  <si>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</si>
  <si>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</si>
  <si>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</si>
  <si>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</si>
  <si>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</si>
  <si>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</si>
  <si>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</si>
  <si>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</si>
  <si>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</si>
  <si>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</si>
  <si>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</si>
  <si>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</si>
  <si>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</si>
  <si>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</si>
  <si>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</si>
  <si>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</si>
  <si>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</si>
  <si>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</si>
  <si>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</si>
  <si>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</si>
  <si>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</si>
  <si>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</si>
  <si>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</si>
  <si>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</si>
  <si>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</si>
  <si>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</si>
  <si>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</si>
  <si>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</si>
  <si>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</si>
  <si>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</si>
  <si>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</si>
  <si>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</si>
  <si>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</si>
  <si>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</si>
  <si>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</si>
  <si>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</si>
  <si>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</si>
  <si>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</si>
  <si>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</si>
  <si>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</si>
  <si>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</si>
  <si>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</si>
  <si>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</si>
  <si>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</si>
  <si>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</si>
  <si>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</si>
  <si>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</si>
  <si>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</si>
  <si>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</si>
  <si>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</si>
  <si>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</si>
  <si>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</si>
  <si>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</si>
  <si>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</si>
  <si>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</si>
  <si>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</si>
  <si>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</si>
  <si>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</si>
  <si>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</si>
  <si>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</si>
  <si>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</si>
  <si>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</si>
  <si>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</si>
  <si>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</si>
  <si>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</si>
  <si>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</si>
  <si>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</si>
  <si>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</si>
  <si>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</si>
  <si>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</si>
  <si>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</si>
  <si>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</si>
  <si>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</si>
  <si>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</si>
  <si>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</si>
  <si>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</si>
  <si>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</si>
  <si>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</si>
  <si>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</si>
  <si>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</si>
  <si>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</si>
  <si>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</si>
  <si>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</si>
  <si>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</si>
  <si>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</si>
  <si>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</si>
  <si>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</si>
  <si>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</si>
  <si>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</si>
  <si>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</si>
  <si>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</si>
  <si>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</si>
  <si>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</si>
  <si>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</si>
  <si>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</si>
  <si>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</si>
  <si>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</si>
  <si>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</si>
  <si>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</si>
  <si>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</si>
  <si>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</si>
  <si>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</si>
  <si>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</si>
  <si>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</si>
  <si>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</si>
  <si>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</si>
  <si>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</si>
  <si>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</si>
  <si>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</si>
  <si>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</si>
  <si>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</si>
  <si>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</si>
  <si>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</si>
  <si>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</si>
  <si>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</si>
  <si>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</si>
  <si>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</si>
  <si>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</si>
  <si>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</si>
  <si>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</si>
  <si>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</si>
  <si>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</si>
  <si>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</si>
  <si>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</si>
  <si>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</si>
  <si>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</si>
  <si>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</si>
  <si>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</si>
  <si>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</si>
  <si>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</si>
  <si>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</si>
  <si>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</si>
  <si>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</si>
  <si>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</si>
  <si>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</si>
  <si>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</si>
  <si>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</si>
  <si>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</si>
  <si>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</si>
  <si>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</si>
  <si>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</si>
  <si>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</si>
  <si>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</si>
  <si>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</si>
  <si>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</si>
  <si>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</si>
  <si>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</si>
  <si>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</si>
  <si>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</si>
  <si>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</si>
  <si>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</si>
  <si>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</si>
  <si>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</si>
  <si>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</si>
  <si>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</si>
  <si>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</si>
  <si>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</si>
  <si>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</si>
  <si>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</si>
  <si>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</si>
  <si>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</si>
  <si>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</si>
  <si>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</si>
  <si>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</si>
  <si>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</si>
  <si>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</si>
  <si>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</si>
  <si>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</si>
  <si>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</si>
  <si>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</si>
  <si>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</si>
  <si>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</si>
  <si>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</si>
  <si>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</si>
  <si>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</si>
  <si>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</si>
  <si>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</si>
  <si>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</si>
  <si>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</si>
  <si>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</si>
  <si>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</si>
  <si>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</si>
  <si>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</si>
  <si>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</si>
  <si>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</si>
  <si>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</si>
  <si>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</si>
  <si>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</si>
  <si>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</si>
  <si>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</si>
  <si>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</si>
  <si>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</si>
  <si>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</si>
  <si>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</si>
  <si>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</si>
  <si>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</si>
  <si>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</si>
  <si>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</si>
  <si>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</si>
  <si>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</si>
  <si>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</si>
  <si>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</si>
  <si>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</si>
  <si>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</si>
  <si>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</si>
  <si>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</si>
  <si>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</si>
  <si>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</si>
  <si>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</si>
  <si>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</si>
  <si>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</si>
  <si>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</si>
  <si>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</si>
  <si>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</si>
  <si>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</si>
  <si>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</si>
  <si>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</si>
  <si>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</si>
  <si>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</si>
  <si>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</si>
  <si>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</si>
  <si>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</si>
  <si>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</si>
  <si>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</si>
  <si>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</si>
  <si>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</si>
  <si>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</si>
  <si>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</si>
  <si>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</si>
  <si>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</si>
  <si>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</si>
  <si>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</si>
  <si>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</si>
  <si>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</si>
  <si>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</si>
  <si>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</si>
  <si>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</si>
  <si>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</si>
  <si>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</si>
  <si>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</si>
  <si>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</si>
  <si>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</si>
  <si>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</si>
  <si>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</si>
  <si>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</si>
  <si>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</si>
  <si>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</si>
  <si>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</si>
  <si>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</si>
  <si>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</si>
  <si>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</si>
  <si>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</si>
  <si>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</si>
  <si>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</si>
  <si>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</si>
  <si>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</si>
  <si>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</si>
  <si>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</si>
  <si>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</si>
  <si>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</si>
  <si>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</si>
  <si>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</si>
  <si>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</si>
  <si>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</si>
  <si>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</si>
  <si>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</si>
  <si>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</si>
  <si>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</si>
  <si>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</si>
  <si>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</si>
  <si>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</si>
  <si>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</si>
  <si>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</si>
  <si>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</si>
  <si>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</si>
  <si>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</si>
  <si>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</si>
  <si>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</si>
  <si>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</si>
  <si>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</si>
  <si>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</si>
  <si>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</si>
  <si>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</si>
  <si>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</si>
  <si>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</si>
  <si>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</si>
  <si>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</si>
  <si>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</si>
  <si>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</si>
  <si>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</si>
  <si>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</si>
  <si>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</si>
  <si>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</si>
  <si>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</si>
  <si>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</si>
  <si>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</si>
  <si>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</si>
  <si>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</si>
  <si>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</si>
  <si>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</si>
  <si>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</si>
  <si>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</si>
  <si>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</si>
  <si>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</si>
  <si>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</si>
  <si>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</si>
  <si>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</si>
  <si>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</si>
  <si>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</si>
  <si>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</si>
  <si>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</si>
  <si>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</si>
  <si>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</si>
  <si>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</si>
  <si>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</si>
  <si>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</si>
  <si>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</si>
  <si>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</si>
  <si>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</si>
  <si>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</si>
  <si>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</si>
  <si>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</si>
  <si>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</si>
  <si>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</si>
  <si>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</si>
  <si>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</si>
  <si>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</si>
  <si>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</si>
  <si>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</si>
  <si>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</si>
  <si>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</si>
  <si>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</si>
  <si>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</si>
  <si>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</si>
  <si>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</si>
  <si>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</si>
  <si>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</si>
  <si>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</si>
  <si>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</si>
  <si>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</si>
  <si>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</si>
  <si>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</si>
  <si>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</si>
  <si>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</si>
  <si>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</si>
  <si>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</si>
  <si>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</si>
  <si>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</si>
  <si>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</si>
  <si>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</si>
  <si>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</si>
  <si>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</si>
  <si>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</si>
  <si>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</si>
  <si>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</si>
  <si>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</si>
  <si>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</si>
  <si>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</si>
  <si>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</si>
  <si>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</si>
  <si>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</si>
  <si>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</si>
  <si>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</si>
  <si>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</si>
  <si>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</si>
  <si>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</si>
  <si>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</si>
  <si>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</si>
  <si>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</si>
  <si>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</si>
  <si>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</si>
  <si>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</si>
  <si>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</si>
  <si>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</si>
  <si>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</si>
  <si>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</si>
  <si>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</si>
  <si>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</si>
  <si>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</si>
  <si>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</si>
  <si>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</si>
  <si>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</si>
  <si>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</si>
  <si>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</si>
  <si>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</si>
  <si>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</si>
  <si>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</si>
  <si>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</si>
  <si>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</si>
  <si>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</si>
  <si>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</si>
  <si>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</si>
  <si>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</si>
  <si>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</si>
  <si>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</si>
  <si>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</si>
  <si>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</si>
  <si>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</si>
  <si>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</si>
  <si>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</si>
  <si>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</si>
  <si>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</si>
  <si>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</si>
  <si>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</si>
  <si>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</si>
  <si>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</si>
  <si>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</si>
  <si>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</si>
  <si>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</si>
  <si>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</si>
  <si>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</si>
  <si>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</si>
  <si>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</si>
  <si>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</si>
  <si>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</si>
  <si>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</si>
  <si>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</si>
  <si>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</si>
  <si>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</si>
  <si>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</si>
  <si>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</si>
  <si>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</si>
  <si>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</si>
  <si>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</si>
  <si>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</si>
  <si>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</si>
  <si>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</si>
  <si>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</si>
  <si>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</si>
  <si>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</si>
  <si>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</si>
  <si>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</si>
  <si>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</si>
  <si>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</si>
  <si>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</si>
  <si>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</si>
  <si>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</si>
  <si>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</si>
  <si>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</si>
  <si>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</si>
  <si>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</si>
  <si>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</si>
  <si>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</si>
  <si>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</si>
  <si>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</si>
  <si>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</si>
  <si>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</si>
  <si>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</si>
  <si>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</si>
  <si>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</si>
  <si>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</si>
  <si>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</si>
  <si>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</si>
  <si>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</si>
  <si>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</si>
  <si>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</si>
  <si>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</si>
  <si>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</si>
  <si>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</si>
  <si>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</si>
  <si>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</si>
  <si>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</si>
  <si>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</si>
  <si>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</si>
  <si>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</si>
  <si>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</si>
  <si>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</si>
  <si>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</si>
  <si>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</si>
  <si>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</si>
  <si>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</si>
  <si>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</si>
  <si>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</si>
  <si>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</si>
  <si>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</si>
  <si>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</si>
  <si>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</si>
  <si>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</si>
  <si>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</si>
  <si>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</si>
  <si>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</si>
  <si>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</si>
  <si>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</si>
  <si>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</si>
  <si>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</si>
  <si>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</si>
  <si>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</si>
  <si>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</si>
  <si>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</si>
  <si>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</si>
  <si>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</si>
  <si>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</si>
  <si>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</si>
  <si>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</si>
  <si>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</si>
  <si>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</si>
  <si>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</si>
  <si>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</si>
  <si>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</si>
  <si>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</si>
  <si>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</si>
  <si>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</si>
  <si>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</si>
  <si>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</si>
  <si>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</si>
  <si>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</si>
  <si>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</si>
  <si>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</si>
  <si>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</si>
  <si>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</si>
  <si>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</si>
  <si>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</si>
  <si>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</si>
  <si>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</si>
  <si>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</si>
  <si>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</si>
  <si>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</si>
  <si>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</si>
  <si>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</si>
  <si>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</si>
  <si>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</si>
  <si>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</si>
  <si>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</si>
  <si>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</si>
  <si>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</si>
  <si>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</si>
  <si>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</si>
  <si>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</si>
  <si>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</si>
  <si>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</si>
  <si>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</si>
  <si>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</si>
  <si>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</si>
  <si>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</si>
  <si>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</si>
  <si>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</si>
  <si>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</si>
  <si>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</si>
  <si>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</si>
  <si>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</si>
  <si>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</si>
  <si>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</si>
  <si>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</si>
  <si>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</si>
  <si>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</si>
  <si>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</si>
  <si>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</si>
  <si>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</si>
  <si>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</si>
  <si>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</si>
  <si>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</si>
  <si>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</si>
  <si>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</si>
  <si>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</si>
  <si>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</si>
  <si>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</si>
  <si>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</si>
  <si>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</si>
  <si>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</si>
  <si>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</si>
  <si>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</si>
  <si>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</si>
  <si>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</si>
  <si>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</si>
  <si>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</si>
  <si>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</si>
  <si>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</si>
  <si>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</si>
  <si>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</si>
  <si>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</si>
  <si>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</si>
  <si>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</si>
  <si>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</si>
  <si>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</si>
  <si>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</si>
  <si>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</si>
  <si>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</si>
  <si>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</si>
  <si>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</si>
  <si>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</si>
  <si>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</si>
  <si>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</si>
  <si>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</si>
  <si>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</si>
  <si>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</si>
  <si>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</si>
  <si>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</si>
  <si>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</si>
  <si>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</si>
  <si>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</si>
  <si>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</si>
  <si>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</si>
  <si>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</si>
  <si>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</si>
  <si>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</si>
  <si>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</si>
  <si>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</si>
  <si>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</si>
  <si>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</si>
  <si>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</si>
  <si>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</si>
  <si>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</si>
  <si>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</si>
  <si>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</si>
  <si>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</si>
  <si>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</si>
  <si>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</si>
  <si>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</si>
  <si>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</si>
  <si>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</si>
  <si>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</si>
  <si>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</si>
  <si>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</si>
  <si>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</si>
  <si>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</si>
  <si>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</si>
  <si>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</si>
  <si>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</si>
  <si>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</si>
  <si>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</si>
  <si>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</si>
  <si>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</si>
  <si>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</si>
  <si>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</si>
  <si>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</si>
  <si>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</si>
  <si>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</si>
  <si>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</si>
  <si>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</si>
  <si>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</si>
  <si>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</si>
  <si>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</si>
  <si>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</si>
  <si>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</si>
  <si>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</si>
  <si>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</si>
  <si>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</si>
  <si>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</si>
  <si>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</si>
  <si>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</si>
  <si>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</si>
  <si>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</si>
  <si>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</si>
  <si>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</si>
  <si>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</si>
  <si>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</si>
  <si>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</si>
  <si>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</si>
  <si>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</si>
  <si>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</si>
  <si>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</si>
  <si>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</si>
  <si>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</si>
  <si>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</si>
  <si>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</si>
  <si>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</si>
  <si>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</si>
  <si>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</si>
  <si>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</si>
  <si>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</si>
  <si>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</si>
  <si>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</si>
  <si>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</si>
  <si>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</si>
  <si>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</si>
  <si>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</si>
  <si>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</si>
  <si>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</si>
  <si>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</si>
  <si>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</si>
  <si>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</si>
  <si>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</si>
  <si>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</si>
  <si>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</si>
  <si>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</si>
  <si>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</si>
  <si>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</si>
  <si>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</si>
  <si>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</si>
  <si>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</si>
  <si>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</si>
  <si>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</si>
  <si>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</si>
  <si>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</si>
  <si>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</si>
  <si>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</si>
  <si>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</si>
  <si>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</si>
  <si>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</si>
  <si>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</si>
  <si>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</si>
  <si>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</si>
  <si>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</si>
  <si>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</si>
  <si>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</si>
  <si>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</si>
  <si>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</si>
  <si>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</si>
  <si>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</si>
  <si>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</si>
  <si>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</si>
  <si>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</si>
  <si>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</si>
  <si>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</si>
  <si>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</si>
  <si>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</si>
  <si>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</si>
  <si>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</si>
  <si>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</si>
  <si>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</si>
  <si>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</si>
  <si>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</si>
  <si>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</si>
  <si>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</si>
  <si>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</si>
  <si>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CONDUKTOR</t>
  </si>
  <si>
    <t>CM2-11</t>
  </si>
  <si>
    <t>SCHOOR</t>
  </si>
  <si>
    <t>CE1-3</t>
  </si>
  <si>
    <t>F1-3</t>
  </si>
  <si>
    <t>CM2-12A</t>
  </si>
  <si>
    <t>PEMBANGUNAN JARINGAN TR</t>
  </si>
  <si>
    <t>Pemasangan APP 3 Fasa Di Bangunan</t>
  </si>
  <si>
    <t>CJ5-T</t>
  </si>
  <si>
    <t>CJ6-T</t>
  </si>
  <si>
    <t>KOORDINAT : -6.858227, 110.787909</t>
  </si>
  <si>
    <t>K3-169/19/56/68/4</t>
  </si>
  <si>
    <t>KDS 16</t>
  </si>
  <si>
    <t>1 C12-200</t>
  </si>
  <si>
    <t>CJ7-T</t>
  </si>
  <si>
    <t>TRF 100 KVA</t>
  </si>
  <si>
    <t>TRF 50 KVA</t>
  </si>
  <si>
    <t>Uptaring Trafo 3 Fasa 100 KVA 2 Tiang (G313)</t>
  </si>
  <si>
    <t>Upah Pasang Trafo 3ph (50/100/160/200 kVA) - hanya pasang trafo tanpa set konstruksi</t>
  </si>
  <si>
    <t>Upah Bongkar Trafo 3ph (50/100/160/200 kVA) - hanya pasang trafo tanpa set konstruksi</t>
  </si>
  <si>
    <t>Daya 53.000 VA</t>
  </si>
  <si>
    <t>DS WILALUNG KEC. GAJAH</t>
  </si>
  <si>
    <t>B2</t>
  </si>
  <si>
    <t>LAS SUTIYOSO</t>
  </si>
  <si>
    <t>Mbag. REN</t>
  </si>
  <si>
    <t>Demak, 15 Agustus 2023</t>
  </si>
  <si>
    <t>MANAGER ULP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</si>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</sst>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</cellStyleXfs>
  <cellXfs count="72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0" xfId="1614" applyNumberFormat="1" applyFont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76" fillId="33" borderId="0" xfId="2678" applyFill="1"/>
    <xf numFmtId="0" fontId="4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156" fillId="48" borderId="21" xfId="1652" applyFont="1" applyFill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3" fillId="0" borderId="20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21" fillId="0" borderId="21" xfId="1451" applyBorder="1" applyAlignment="1">
      <alignment horizontal="left" vertical="center" wrapText="1"/>
    </xf>
    <xf numFmtId="0" fontId="21" fillId="0" borderId="21" xfId="1451" applyBorder="1" applyAlignment="1">
      <alignment horizontal="center" wrapText="1"/>
    </xf>
    <xf numFmtId="0" fontId="21" fillId="0" borderId="21" xfId="1451" applyBorder="1" applyAlignment="1">
      <alignment horizontal="center" vertical="center" wrapText="1"/>
    </xf>
    <xf numFmtId="3" fontId="114" fillId="0" borderId="21" xfId="1451" applyNumberFormat="1" applyFont="1" applyBorder="1" applyAlignment="1">
      <alignment horizontal="center" vertical="center" wrapText="1"/>
    </xf>
    <xf numFmtId="0" fontId="21" fillId="0" borderId="21" xfId="1451" applyBorder="1" applyAlignment="1">
      <alignment horizontal="left" wrapText="1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0.98726896031425981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234633</xdr:colOff>
      <xdr:row>9</xdr:row>
      <xdr:rowOff>121225</xdr:rowOff>
    </xdr:from>
    <xdr:to>
      <xdr:col>8</xdr:col>
      <xdr:colOff>223544</xdr:colOff>
      <xdr:row>20</xdr:row>
      <xdr:rowOff>121226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7C6B6D-2C0F-F3F1-D567-B96F2E60F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451" y="1523998"/>
          <a:ext cx="2396138" cy="1714501"/>
        </a:xfrm>
        <a:prstGeom prst="rect">
          <a:avLst/>
        </a:prstGeom>
      </xdr:spPr>
    </xdr:pic>
    <xdr:clientData/>
  </xdr:twoCellAnchor>
  <xdr:twoCellAnchor>
    <xdr:from>
      <xdr:col>12</xdr:col>
      <xdr:colOff>57978</xdr:colOff>
      <xdr:row>10</xdr:row>
      <xdr:rowOff>74544</xdr:rowOff>
    </xdr:from>
    <xdr:to>
      <xdr:col>18</xdr:col>
      <xdr:colOff>62586</xdr:colOff>
      <xdr:row>15</xdr:row>
      <xdr:rowOff>71804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555D9D6D-68E2-4A12-A85C-40B6B58D2B1A}"/>
            </a:ext>
          </a:extLst>
        </xdr:cNvPr>
        <xdr:cNvCxnSpPr>
          <a:endCxn id="115" idx="0"/>
        </xdr:cNvCxnSpPr>
      </xdr:nvCxnSpPr>
      <xdr:spPr>
        <a:xfrm>
          <a:off x="4182717" y="1598544"/>
          <a:ext cx="2290608" cy="7592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4741</xdr:colOff>
      <xdr:row>36</xdr:row>
      <xdr:rowOff>109043</xdr:rowOff>
    </xdr:from>
    <xdr:to>
      <xdr:col>15</xdr:col>
      <xdr:colOff>59045</xdr:colOff>
      <xdr:row>45</xdr:row>
      <xdr:rowOff>99991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86DB722-BC83-47DA-9E49-3A41FB442D90}"/>
            </a:ext>
          </a:extLst>
        </xdr:cNvPr>
        <xdr:cNvCxnSpPr/>
      </xdr:nvCxnSpPr>
      <xdr:spPr>
        <a:xfrm flipH="1" flipV="1">
          <a:off x="1455472" y="5662851"/>
          <a:ext cx="3864304" cy="139039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65158" y="818854"/>
          <a:ext cx="1490307" cy="1800854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233545</xdr:colOff>
      <xdr:row>42</xdr:row>
      <xdr:rowOff>6216</xdr:rowOff>
    </xdr:from>
    <xdr:to>
      <xdr:col>14</xdr:col>
      <xdr:colOff>73478</xdr:colOff>
      <xdr:row>46</xdr:row>
      <xdr:rowOff>17351</xdr:rowOff>
    </xdr:to>
    <xdr:cxnSp macro="">
      <xdr:nvCxnSpPr>
        <xdr:cNvPr id="297" name="Straight Connector 296">
          <a:extLst>
            <a:ext uri="{FF2B5EF4-FFF2-40B4-BE49-F238E27FC236}">
              <a16:creationId xmlns:a16="http://schemas.microsoft.com/office/drawing/2014/main" id="{381CBE35-14FD-4BAD-8C1D-62B480DB0460}"/>
            </a:ext>
          </a:extLst>
        </xdr:cNvPr>
        <xdr:cNvCxnSpPr>
          <a:cxnSpLocks/>
          <a:stCxn id="142" idx="5"/>
          <a:endCxn id="32" idx="2"/>
        </xdr:cNvCxnSpPr>
      </xdr:nvCxnSpPr>
      <xdr:spPr>
        <a:xfrm>
          <a:off x="3215284" y="6342412"/>
          <a:ext cx="1744933" cy="60748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286866</xdr:colOff>
      <xdr:row>11</xdr:row>
      <xdr:rowOff>8448</xdr:rowOff>
    </xdr:from>
    <xdr:to>
      <xdr:col>13</xdr:col>
      <xdr:colOff>16384</xdr:colOff>
      <xdr:row>11</xdr:row>
      <xdr:rowOff>121724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4411605" y="1681535"/>
          <a:ext cx="110518" cy="1132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183492</xdr:colOff>
      <xdr:row>39</xdr:row>
      <xdr:rowOff>116321</xdr:rowOff>
    </xdr:from>
    <xdr:to>
      <xdr:col>9</xdr:col>
      <xdr:colOff>316555</xdr:colOff>
      <xdr:row>40</xdr:row>
      <xdr:rowOff>148768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3165231" y="6005256"/>
          <a:ext cx="133063" cy="181534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83272</xdr:colOff>
      <xdr:row>13</xdr:row>
      <xdr:rowOff>118061</xdr:rowOff>
    </xdr:from>
    <xdr:to>
      <xdr:col>12</xdr:col>
      <xdr:colOff>131638</xdr:colOff>
      <xdr:row>20</xdr:row>
      <xdr:rowOff>61674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 rot="1164964">
          <a:off x="3446011" y="2105887"/>
          <a:ext cx="810366" cy="9872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LAS SUTIYONO</a:t>
          </a:r>
        </a:p>
      </xdr:txBody>
    </xdr:sp>
    <xdr:clientData/>
  </xdr:twoCellAnchor>
  <xdr:twoCellAnchor>
    <xdr:from>
      <xdr:col>18</xdr:col>
      <xdr:colOff>201932</xdr:colOff>
      <xdr:row>18</xdr:row>
      <xdr:rowOff>135150</xdr:rowOff>
    </xdr:from>
    <xdr:to>
      <xdr:col>18</xdr:col>
      <xdr:colOff>305919</xdr:colOff>
      <xdr:row>19</xdr:row>
      <xdr:rowOff>99341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6612671" y="2868411"/>
          <a:ext cx="103987" cy="1132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128737</xdr:colOff>
      <xdr:row>46</xdr:row>
      <xdr:rowOff>72629</xdr:rowOff>
    </xdr:from>
    <xdr:to>
      <xdr:col>14</xdr:col>
      <xdr:colOff>165652</xdr:colOff>
      <xdr:row>47</xdr:row>
      <xdr:rowOff>124240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>
          <a:stCxn id="32" idx="4"/>
        </xdr:cNvCxnSpPr>
      </xdr:nvCxnSpPr>
      <xdr:spPr>
        <a:xfrm>
          <a:off x="5015476" y="7005172"/>
          <a:ext cx="36915" cy="200698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324874</xdr:colOff>
      <xdr:row>44</xdr:row>
      <xdr:rowOff>112302</xdr:rowOff>
    </xdr:from>
    <xdr:to>
      <xdr:col>12</xdr:col>
      <xdr:colOff>87923</xdr:colOff>
      <xdr:row>49</xdr:row>
      <xdr:rowOff>95251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43328382-2638-43EB-BCAC-B98C1BA1F35A}"/>
            </a:ext>
          </a:extLst>
        </xdr:cNvPr>
        <xdr:cNvSpPr txBox="1"/>
      </xdr:nvSpPr>
      <xdr:spPr>
        <a:xfrm>
          <a:off x="3680605" y="6911687"/>
          <a:ext cx="525049" cy="7596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/5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302079</xdr:colOff>
      <xdr:row>43</xdr:row>
      <xdr:rowOff>134605</xdr:rowOff>
    </xdr:from>
    <xdr:to>
      <xdr:col>15</xdr:col>
      <xdr:colOff>31597</xdr:colOff>
      <xdr:row>44</xdr:row>
      <xdr:rowOff>96074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7B9EEAE3-FAFD-4CDD-A938-40F6229CBDBB}"/>
            </a:ext>
          </a:extLst>
        </xdr:cNvPr>
        <xdr:cNvGrpSpPr/>
      </xdr:nvGrpSpPr>
      <xdr:grpSpPr>
        <a:xfrm>
          <a:off x="5188818" y="6619888"/>
          <a:ext cx="110518" cy="1105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D18D6BB3-574A-4220-8F77-D4A2C1A86A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C95F5D1-1459-4117-8C57-56215A86226B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BDABDB1-E53C-403E-81FA-6937CD3131D1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7327</xdr:colOff>
      <xdr:row>15</xdr:row>
      <xdr:rowOff>71804</xdr:rowOff>
    </xdr:from>
    <xdr:to>
      <xdr:col>18</xdr:col>
      <xdr:colOff>117845</xdr:colOff>
      <xdr:row>16</xdr:row>
      <xdr:rowOff>35993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6418066" y="2357804"/>
          <a:ext cx="110518" cy="1132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62586</xdr:colOff>
      <xdr:row>12</xdr:row>
      <xdr:rowOff>67029</xdr:rowOff>
    </xdr:from>
    <xdr:to>
      <xdr:col>19</xdr:col>
      <xdr:colOff>109237</xdr:colOff>
      <xdr:row>15</xdr:row>
      <xdr:rowOff>71804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C697E2E5-9C2E-4975-B680-A6A290F216EA}"/>
            </a:ext>
          </a:extLst>
        </xdr:cNvPr>
        <xdr:cNvCxnSpPr>
          <a:stCxn id="115" idx="0"/>
          <a:endCxn id="10" idx="3"/>
        </xdr:cNvCxnSpPr>
      </xdr:nvCxnSpPr>
      <xdr:spPr>
        <a:xfrm flipV="1">
          <a:off x="6473325" y="1889203"/>
          <a:ext cx="427651" cy="46860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75180</xdr:colOff>
      <xdr:row>39</xdr:row>
      <xdr:rowOff>121372</xdr:rowOff>
    </xdr:from>
    <xdr:to>
      <xdr:col>9</xdr:col>
      <xdr:colOff>221718</xdr:colOff>
      <xdr:row>40</xdr:row>
      <xdr:rowOff>121372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229B740-108E-4618-8B6F-DCBCC3C7BD1F}"/>
            </a:ext>
          </a:extLst>
        </xdr:cNvPr>
        <xdr:cNvSpPr/>
      </xdr:nvSpPr>
      <xdr:spPr>
        <a:xfrm>
          <a:off x="3056919" y="6010307"/>
          <a:ext cx="146538" cy="14908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139212</xdr:colOff>
      <xdr:row>41</xdr:row>
      <xdr:rowOff>58616</xdr:rowOff>
    </xdr:from>
    <xdr:to>
      <xdr:col>9</xdr:col>
      <xdr:colOff>249730</xdr:colOff>
      <xdr:row>42</xdr:row>
      <xdr:rowOff>22805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E2E525CE-9AF4-4E07-AC49-177B39843E86}"/>
            </a:ext>
          </a:extLst>
        </xdr:cNvPr>
        <xdr:cNvGrpSpPr/>
      </xdr:nvGrpSpPr>
      <xdr:grpSpPr>
        <a:xfrm>
          <a:off x="3120951" y="6245725"/>
          <a:ext cx="110518" cy="1132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2" name="Oval 141">
            <a:extLst>
              <a:ext uri="{FF2B5EF4-FFF2-40B4-BE49-F238E27FC236}">
                <a16:creationId xmlns:a16="http://schemas.microsoft.com/office/drawing/2014/main" id="{C2918EB0-A659-42E5-9B32-614658DC4F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65FE0AF6-2D62-47E5-9F2F-0336AC927E5F}"/>
              </a:ext>
            </a:extLst>
          </xdr:cNvPr>
          <xdr:cNvCxnSpPr>
            <a:stCxn id="142" idx="1"/>
            <a:endCxn id="1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97B9B20A-8812-4EF0-9AF0-67C955982B3D}"/>
              </a:ext>
            </a:extLst>
          </xdr:cNvPr>
          <xdr:cNvCxnSpPr>
            <a:stCxn id="142" idx="3"/>
            <a:endCxn id="1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141940</xdr:colOff>
      <xdr:row>13</xdr:row>
      <xdr:rowOff>44119</xdr:rowOff>
    </xdr:from>
    <xdr:to>
      <xdr:col>15</xdr:col>
      <xdr:colOff>252458</xdr:colOff>
      <xdr:row>14</xdr:row>
      <xdr:rowOff>8309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5409679" y="2031945"/>
          <a:ext cx="110518" cy="1132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220761</xdr:colOff>
      <xdr:row>11</xdr:row>
      <xdr:rowOff>146223</xdr:rowOff>
    </xdr:from>
    <xdr:to>
      <xdr:col>14</xdr:col>
      <xdr:colOff>230638</xdr:colOff>
      <xdr:row>13</xdr:row>
      <xdr:rowOff>75823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EDC5CD5-3C02-4EEA-9F41-D80916EC0010}"/>
            </a:ext>
          </a:extLst>
        </xdr:cNvPr>
        <xdr:cNvSpPr txBox="1"/>
      </xdr:nvSpPr>
      <xdr:spPr>
        <a:xfrm rot="1650037">
          <a:off x="4726500" y="1819310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14</xdr:col>
      <xdr:colOff>86013</xdr:colOff>
      <xdr:row>11</xdr:row>
      <xdr:rowOff>125512</xdr:rowOff>
    </xdr:from>
    <xdr:to>
      <xdr:col>15</xdr:col>
      <xdr:colOff>25167</xdr:colOff>
      <xdr:row>13</xdr:row>
      <xdr:rowOff>23254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71949657-F966-4D5A-8D46-81BF093FCDE3}"/>
            </a:ext>
          </a:extLst>
        </xdr:cNvPr>
        <xdr:cNvSpPr txBox="1"/>
      </xdr:nvSpPr>
      <xdr:spPr>
        <a:xfrm rot="1440666">
          <a:off x="4972752" y="1798599"/>
          <a:ext cx="320154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14</xdr:col>
      <xdr:colOff>317077</xdr:colOff>
      <xdr:row>10</xdr:row>
      <xdr:rowOff>148259</xdr:rowOff>
    </xdr:from>
    <xdr:to>
      <xdr:col>20</xdr:col>
      <xdr:colOff>212863</xdr:colOff>
      <xdr:row>49</xdr:row>
      <xdr:rowOff>142657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F4E8F47-B156-431C-B84A-7DC4AB21BCC1}"/>
            </a:ext>
          </a:extLst>
        </xdr:cNvPr>
        <xdr:cNvCxnSpPr/>
      </xdr:nvCxnSpPr>
      <xdr:spPr>
        <a:xfrm flipV="1">
          <a:off x="5203816" y="1672259"/>
          <a:ext cx="2181786" cy="586676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11</xdr:row>
      <xdr:rowOff>57150</xdr:rowOff>
    </xdr:from>
    <xdr:to>
      <xdr:col>19</xdr:col>
      <xdr:colOff>120979</xdr:colOff>
      <xdr:row>18</xdr:row>
      <xdr:rowOff>45900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966824C-A05A-4417-B2D9-8B446F613ABA}"/>
            </a:ext>
          </a:extLst>
        </xdr:cNvPr>
        <xdr:cNvCxnSpPr/>
      </xdr:nvCxnSpPr>
      <xdr:spPr>
        <a:xfrm flipH="1" flipV="1">
          <a:off x="3629025" y="1752600"/>
          <a:ext cx="3273754" cy="106507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93052</xdr:colOff>
      <xdr:row>11</xdr:row>
      <xdr:rowOff>119429</xdr:rowOff>
    </xdr:from>
    <xdr:to>
      <xdr:col>19</xdr:col>
      <xdr:colOff>203570</xdr:colOff>
      <xdr:row>12</xdr:row>
      <xdr:rowOff>83618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391B574-A617-48C5-95EE-8D0ADB2DD5D8}"/>
            </a:ext>
          </a:extLst>
        </xdr:cNvPr>
        <xdr:cNvGrpSpPr/>
      </xdr:nvGrpSpPr>
      <xdr:grpSpPr>
        <a:xfrm>
          <a:off x="6884791" y="1792516"/>
          <a:ext cx="110518" cy="1132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55D62CDC-5596-06A8-D0B5-C5E6BC56A22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3E5EA3F-A034-F696-1C52-24CD87DAA2D0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FE7DC254-8A40-3DAD-7773-B17020364308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344807</xdr:colOff>
      <xdr:row>23</xdr:row>
      <xdr:rowOff>49425</xdr:rowOff>
    </xdr:from>
    <xdr:to>
      <xdr:col>18</xdr:col>
      <xdr:colOff>67794</xdr:colOff>
      <xdr:row>24</xdr:row>
      <xdr:rowOff>13616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3959E67-542B-42FF-907D-48BCC71F25C3}"/>
            </a:ext>
          </a:extLst>
        </xdr:cNvPr>
        <xdr:cNvGrpSpPr/>
      </xdr:nvGrpSpPr>
      <xdr:grpSpPr>
        <a:xfrm>
          <a:off x="6374546" y="3528121"/>
          <a:ext cx="103987" cy="1132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73BA5959-6240-A412-91A5-9ADC0D208C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4F48E8F3-D903-5876-4E7A-634AA9295149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82ED76DB-8503-CD34-47C7-EE8E9830988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253221</xdr:colOff>
      <xdr:row>31</xdr:row>
      <xdr:rowOff>100713</xdr:rowOff>
    </xdr:from>
    <xdr:to>
      <xdr:col>16</xdr:col>
      <xdr:colOff>357208</xdr:colOff>
      <xdr:row>32</xdr:row>
      <xdr:rowOff>64905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E7A8C04-9B0A-4A5C-B61E-8CA3D76F7157}"/>
            </a:ext>
          </a:extLst>
        </xdr:cNvPr>
        <xdr:cNvGrpSpPr/>
      </xdr:nvGrpSpPr>
      <xdr:grpSpPr>
        <a:xfrm>
          <a:off x="5901960" y="4763822"/>
          <a:ext cx="103987" cy="1132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5552F05A-778F-686E-E206-CAA1A3D49ED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D80033D-25D0-EE64-B2B3-5E40821EE0A7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C159BDA4-DCC6-F9CF-C698-4D0C4D1E2576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253221</xdr:colOff>
      <xdr:row>31</xdr:row>
      <xdr:rowOff>100713</xdr:rowOff>
    </xdr:from>
    <xdr:to>
      <xdr:col>16</xdr:col>
      <xdr:colOff>357208</xdr:colOff>
      <xdr:row>32</xdr:row>
      <xdr:rowOff>64904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728B2FB7-C77E-4D79-8115-7154EDB83AC7}"/>
            </a:ext>
          </a:extLst>
        </xdr:cNvPr>
        <xdr:cNvGrpSpPr/>
      </xdr:nvGrpSpPr>
      <xdr:grpSpPr>
        <a:xfrm>
          <a:off x="5901960" y="4763822"/>
          <a:ext cx="103987" cy="1132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1F0D2068-4DE0-ED54-62F0-EBBAAE0D4B2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478750A6-1997-3D9C-167D-72CFBE628E6A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7BB5D211-41C1-1823-61C8-7D624789EE9A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237101</xdr:colOff>
      <xdr:row>38</xdr:row>
      <xdr:rowOff>25979</xdr:rowOff>
    </xdr:from>
    <xdr:to>
      <xdr:col>15</xdr:col>
      <xdr:colOff>341088</xdr:colOff>
      <xdr:row>38</xdr:row>
      <xdr:rowOff>144035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13D48EE-A2ED-4D61-9979-FDBCB6CECCE9}"/>
            </a:ext>
          </a:extLst>
        </xdr:cNvPr>
        <xdr:cNvGrpSpPr/>
      </xdr:nvGrpSpPr>
      <xdr:grpSpPr>
        <a:xfrm>
          <a:off x="5504840" y="5765827"/>
          <a:ext cx="103987" cy="1180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AC5712D4-7C5A-C017-0327-405641BC0CE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F0EFB11A-DC62-BFE7-99C3-308817EBD38F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FE76B562-110E-3430-7EEF-373E3173C22D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73478</xdr:colOff>
      <xdr:row>45</xdr:row>
      <xdr:rowOff>111159</xdr:rowOff>
    </xdr:from>
    <xdr:to>
      <xdr:col>14</xdr:col>
      <xdr:colOff>183996</xdr:colOff>
      <xdr:row>46</xdr:row>
      <xdr:rowOff>72629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E4C07E99-EC8D-4671-B3ED-F73827EEADF4}"/>
            </a:ext>
          </a:extLst>
        </xdr:cNvPr>
        <xdr:cNvGrpSpPr/>
      </xdr:nvGrpSpPr>
      <xdr:grpSpPr>
        <a:xfrm>
          <a:off x="4960217" y="6894616"/>
          <a:ext cx="110518" cy="1105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7CEDD24A-D3C1-E39B-F26B-194C7FE1FB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BBBFE027-4153-E1B4-EEC8-D940F5D2E167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F2CE3B0A-5862-7932-0B19-8301ADE36C0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343109</xdr:colOff>
      <xdr:row>43</xdr:row>
      <xdr:rowOff>102367</xdr:rowOff>
    </xdr:from>
    <xdr:to>
      <xdr:col>12</xdr:col>
      <xdr:colOff>72627</xdr:colOff>
      <xdr:row>44</xdr:row>
      <xdr:rowOff>63836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341FC750-64FB-4DF1-A6E9-E56687930ACC}"/>
            </a:ext>
          </a:extLst>
        </xdr:cNvPr>
        <xdr:cNvGrpSpPr/>
      </xdr:nvGrpSpPr>
      <xdr:grpSpPr>
        <a:xfrm>
          <a:off x="4086848" y="6587650"/>
          <a:ext cx="110518" cy="1105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" name="Oval 35">
            <a:extLst>
              <a:ext uri="{FF2B5EF4-FFF2-40B4-BE49-F238E27FC236}">
                <a16:creationId xmlns:a16="http://schemas.microsoft.com/office/drawing/2014/main" id="{0BE24F84-083B-D052-2324-0B7E309BC2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7861783-9FD8-7CE0-716D-678DA435A18B}"/>
              </a:ext>
            </a:extLst>
          </xdr:cNvPr>
          <xdr:cNvCxnSpPr>
            <a:stCxn id="36" idx="1"/>
            <a:endCxn id="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1D694A5C-E037-6DA1-44B4-7CA3639C6B85}"/>
              </a:ext>
            </a:extLst>
          </xdr:cNvPr>
          <xdr:cNvCxnSpPr>
            <a:stCxn id="36" idx="3"/>
            <a:endCxn id="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5862</xdr:colOff>
      <xdr:row>41</xdr:row>
      <xdr:rowOff>13189</xdr:rowOff>
    </xdr:from>
    <xdr:to>
      <xdr:col>9</xdr:col>
      <xdr:colOff>116380</xdr:colOff>
      <xdr:row>41</xdr:row>
      <xdr:rowOff>131244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118441E6-F1E8-4F77-AE20-C78A9BA2D1AD}"/>
            </a:ext>
          </a:extLst>
        </xdr:cNvPr>
        <xdr:cNvGrpSpPr/>
      </xdr:nvGrpSpPr>
      <xdr:grpSpPr>
        <a:xfrm>
          <a:off x="2987601" y="6200298"/>
          <a:ext cx="110518" cy="1180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93DBCD22-A791-1A37-FFA8-92B1CEC3FDD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16A65F37-C6C1-6720-BD86-1DFBA0B159A8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7CC25490-FB5D-C521-64E2-AEE53DF8FA1B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346564</xdr:colOff>
      <xdr:row>24</xdr:row>
      <xdr:rowOff>82062</xdr:rowOff>
    </xdr:from>
    <xdr:to>
      <xdr:col>17</xdr:col>
      <xdr:colOff>191318</xdr:colOff>
      <xdr:row>31</xdr:row>
      <xdr:rowOff>85466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3F4944A7-480C-4B1B-9487-83B1CB178575}"/>
            </a:ext>
          </a:extLst>
        </xdr:cNvPr>
        <xdr:cNvCxnSpPr/>
      </xdr:nvCxnSpPr>
      <xdr:spPr>
        <a:xfrm flipH="1" flipV="1">
          <a:off x="2940295" y="3796812"/>
          <a:ext cx="3273754" cy="107313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167811</xdr:colOff>
      <xdr:row>44</xdr:row>
      <xdr:rowOff>79883</xdr:rowOff>
    </xdr:from>
    <xdr:to>
      <xdr:col>14</xdr:col>
      <xdr:colOff>318264</xdr:colOff>
      <xdr:row>45</xdr:row>
      <xdr:rowOff>127350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FE3BB6F6-1764-433E-A480-195D683B06C3}"/>
            </a:ext>
          </a:extLst>
        </xdr:cNvPr>
        <xdr:cNvCxnSpPr>
          <a:cxnSpLocks/>
          <a:stCxn id="32" idx="7"/>
          <a:endCxn id="102" idx="3"/>
        </xdr:cNvCxnSpPr>
      </xdr:nvCxnSpPr>
      <xdr:spPr>
        <a:xfrm flipV="1">
          <a:off x="5054550" y="6714253"/>
          <a:ext cx="150453" cy="19655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15412</xdr:colOff>
      <xdr:row>19</xdr:row>
      <xdr:rowOff>82752</xdr:rowOff>
    </xdr:from>
    <xdr:to>
      <xdr:col>18</xdr:col>
      <xdr:colOff>217161</xdr:colOff>
      <xdr:row>44</xdr:row>
      <xdr:rowOff>1709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6DEFC2B5-48C5-47F6-8247-EE102A343DF0}"/>
            </a:ext>
          </a:extLst>
        </xdr:cNvPr>
        <xdr:cNvCxnSpPr>
          <a:cxnSpLocks/>
          <a:stCxn id="102" idx="7"/>
          <a:endCxn id="320" idx="3"/>
        </xdr:cNvCxnSpPr>
      </xdr:nvCxnSpPr>
      <xdr:spPr>
        <a:xfrm flipV="1">
          <a:off x="5283151" y="2965100"/>
          <a:ext cx="1344749" cy="367097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187385</xdr:colOff>
      <xdr:row>9</xdr:row>
      <xdr:rowOff>49696</xdr:rowOff>
    </xdr:from>
    <xdr:to>
      <xdr:col>19</xdr:col>
      <xdr:colOff>339587</xdr:colOff>
      <xdr:row>11</xdr:row>
      <xdr:rowOff>136018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14E248E3-7E2A-4DF4-A821-F78E8038A132}"/>
            </a:ext>
          </a:extLst>
        </xdr:cNvPr>
        <xdr:cNvCxnSpPr>
          <a:stCxn id="10" idx="7"/>
        </xdr:cNvCxnSpPr>
      </xdr:nvCxnSpPr>
      <xdr:spPr>
        <a:xfrm flipV="1">
          <a:off x="6979124" y="1424609"/>
          <a:ext cx="152202" cy="38449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62586</xdr:colOff>
      <xdr:row>16</xdr:row>
      <xdr:rowOff>35993</xdr:rowOff>
    </xdr:from>
    <xdr:to>
      <xdr:col>18</xdr:col>
      <xdr:colOff>217161</xdr:colOff>
      <xdr:row>19</xdr:row>
      <xdr:rowOff>2652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95DA9F0-A6BA-48A7-9E03-CCA4F2BFC002}"/>
            </a:ext>
          </a:extLst>
        </xdr:cNvPr>
        <xdr:cNvCxnSpPr>
          <a:cxnSpLocks/>
          <a:stCxn id="115" idx="4"/>
          <a:endCxn id="320" idx="1"/>
        </xdr:cNvCxnSpPr>
      </xdr:nvCxnSpPr>
      <xdr:spPr>
        <a:xfrm>
          <a:off x="6473325" y="2471080"/>
          <a:ext cx="154575" cy="41392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199</xdr:colOff>
      <xdr:row>11</xdr:row>
      <xdr:rowOff>105135</xdr:rowOff>
    </xdr:from>
    <xdr:to>
      <xdr:col>18</xdr:col>
      <xdr:colOff>23512</xdr:colOff>
      <xdr:row>16</xdr:row>
      <xdr:rowOff>19404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631A1663-EFB4-44CB-9789-62CF884C3901}"/>
            </a:ext>
          </a:extLst>
        </xdr:cNvPr>
        <xdr:cNvCxnSpPr>
          <a:cxnSpLocks/>
          <a:stCxn id="306" idx="5"/>
          <a:endCxn id="115" idx="3"/>
        </xdr:cNvCxnSpPr>
      </xdr:nvCxnSpPr>
      <xdr:spPr>
        <a:xfrm>
          <a:off x="4505938" y="1778222"/>
          <a:ext cx="1928313" cy="67626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132523</xdr:colOff>
      <xdr:row>14</xdr:row>
      <xdr:rowOff>57978</xdr:rowOff>
    </xdr:from>
    <xdr:to>
      <xdr:col>17</xdr:col>
      <xdr:colOff>142400</xdr:colOff>
      <xdr:row>16</xdr:row>
      <xdr:rowOff>4143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B7BAE17-9E07-49D3-A2E4-198A233C14E1}"/>
            </a:ext>
          </a:extLst>
        </xdr:cNvPr>
        <xdr:cNvSpPr txBox="1"/>
      </xdr:nvSpPr>
      <xdr:spPr>
        <a:xfrm rot="1650037">
          <a:off x="5781262" y="2194891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18</xdr:col>
      <xdr:colOff>31857</xdr:colOff>
      <xdr:row>16</xdr:row>
      <xdr:rowOff>108949</xdr:rowOff>
    </xdr:from>
    <xdr:to>
      <xdr:col>18</xdr:col>
      <xdr:colOff>276196</xdr:colOff>
      <xdr:row>19</xdr:row>
      <xdr:rowOff>52565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533C7CCE-F022-4C54-A2BD-11048533748D}"/>
            </a:ext>
          </a:extLst>
        </xdr:cNvPr>
        <xdr:cNvSpPr txBox="1"/>
      </xdr:nvSpPr>
      <xdr:spPr>
        <a:xfrm rot="4305581">
          <a:off x="6369327" y="2617305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17</xdr:col>
      <xdr:colOff>371443</xdr:colOff>
      <xdr:row>20</xdr:row>
      <xdr:rowOff>26122</xdr:rowOff>
    </xdr:from>
    <xdr:to>
      <xdr:col>18</xdr:col>
      <xdr:colOff>234782</xdr:colOff>
      <xdr:row>22</xdr:row>
      <xdr:rowOff>118825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3170D18-FF2D-41A0-B30B-BADE281BA8B3}"/>
            </a:ext>
          </a:extLst>
        </xdr:cNvPr>
        <xdr:cNvSpPr txBox="1"/>
      </xdr:nvSpPr>
      <xdr:spPr>
        <a:xfrm rot="17104727">
          <a:off x="6327913" y="3130826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17</xdr:col>
      <xdr:colOff>49696</xdr:colOff>
      <xdr:row>25</xdr:row>
      <xdr:rowOff>115956</xdr:rowOff>
    </xdr:from>
    <xdr:to>
      <xdr:col>17</xdr:col>
      <xdr:colOff>294035</xdr:colOff>
      <xdr:row>28</xdr:row>
      <xdr:rowOff>59573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D4BA2C7-8C9E-4B5E-806C-8805E1E4CC53}"/>
            </a:ext>
          </a:extLst>
        </xdr:cNvPr>
        <xdr:cNvSpPr txBox="1"/>
      </xdr:nvSpPr>
      <xdr:spPr>
        <a:xfrm rot="17104727">
          <a:off x="6006166" y="3966095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15</xdr:col>
      <xdr:colOff>372718</xdr:colOff>
      <xdr:row>34</xdr:row>
      <xdr:rowOff>41412</xdr:rowOff>
    </xdr:from>
    <xdr:to>
      <xdr:col>16</xdr:col>
      <xdr:colOff>236057</xdr:colOff>
      <xdr:row>36</xdr:row>
      <xdr:rowOff>134116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58A85DF-0013-4EC3-BA8E-B2D95123E377}"/>
            </a:ext>
          </a:extLst>
        </xdr:cNvPr>
        <xdr:cNvSpPr txBox="1"/>
      </xdr:nvSpPr>
      <xdr:spPr>
        <a:xfrm rot="17104727">
          <a:off x="5567188" y="5225051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15</xdr:col>
      <xdr:colOff>16565</xdr:colOff>
      <xdr:row>40</xdr:row>
      <xdr:rowOff>82826</xdr:rowOff>
    </xdr:from>
    <xdr:to>
      <xdr:col>15</xdr:col>
      <xdr:colOff>260904</xdr:colOff>
      <xdr:row>43</xdr:row>
      <xdr:rowOff>26442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B2C9BD60-4017-48D5-9AB9-580547191882}"/>
            </a:ext>
          </a:extLst>
        </xdr:cNvPr>
        <xdr:cNvSpPr txBox="1"/>
      </xdr:nvSpPr>
      <xdr:spPr>
        <a:xfrm rot="17104727">
          <a:off x="5211035" y="6194117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12</xdr:col>
      <xdr:colOff>224905</xdr:colOff>
      <xdr:row>44</xdr:row>
      <xdr:rowOff>64985</xdr:rowOff>
    </xdr:from>
    <xdr:to>
      <xdr:col>13</xdr:col>
      <xdr:colOff>234782</xdr:colOff>
      <xdr:row>46</xdr:row>
      <xdr:rowOff>11151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F60FEC82-0D13-45F0-B2ED-F2506243AE27}"/>
            </a:ext>
          </a:extLst>
        </xdr:cNvPr>
        <xdr:cNvSpPr txBox="1"/>
      </xdr:nvSpPr>
      <xdr:spPr>
        <a:xfrm rot="1576974">
          <a:off x="4349644" y="6699355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108947</xdr:colOff>
      <xdr:row>42</xdr:row>
      <xdr:rowOff>48422</xdr:rowOff>
    </xdr:from>
    <xdr:to>
      <xdr:col>11</xdr:col>
      <xdr:colOff>118824</xdr:colOff>
      <xdr:row>43</xdr:row>
      <xdr:rowOff>143674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93A94BB-6F57-43CA-80C8-19257BE151D6}"/>
            </a:ext>
          </a:extLst>
        </xdr:cNvPr>
        <xdr:cNvSpPr txBox="1"/>
      </xdr:nvSpPr>
      <xdr:spPr>
        <a:xfrm rot="1586346">
          <a:off x="3471686" y="6384618"/>
          <a:ext cx="390877" cy="244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16</xdr:col>
      <xdr:colOff>306456</xdr:colOff>
      <xdr:row>13</xdr:row>
      <xdr:rowOff>115957</xdr:rowOff>
    </xdr:from>
    <xdr:to>
      <xdr:col>17</xdr:col>
      <xdr:colOff>245610</xdr:colOff>
      <xdr:row>15</xdr:row>
      <xdr:rowOff>30264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4F70E78-D227-4385-9BA8-B91DC0961892}"/>
            </a:ext>
          </a:extLst>
        </xdr:cNvPr>
        <xdr:cNvSpPr txBox="1"/>
      </xdr:nvSpPr>
      <xdr:spPr>
        <a:xfrm rot="1440666">
          <a:off x="5955195" y="2103783"/>
          <a:ext cx="320154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18</xdr:col>
      <xdr:colOff>99392</xdr:colOff>
      <xdr:row>13</xdr:row>
      <xdr:rowOff>41413</xdr:rowOff>
    </xdr:from>
    <xdr:to>
      <xdr:col>19</xdr:col>
      <xdr:colOff>38546</xdr:colOff>
      <xdr:row>14</xdr:row>
      <xdr:rowOff>104807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3CC7C12B-297C-4017-920E-D1C436F18719}"/>
            </a:ext>
          </a:extLst>
        </xdr:cNvPr>
        <xdr:cNvSpPr txBox="1"/>
      </xdr:nvSpPr>
      <xdr:spPr>
        <a:xfrm rot="18917614">
          <a:off x="6510131" y="2029239"/>
          <a:ext cx="320154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19</xdr:col>
      <xdr:colOff>178075</xdr:colOff>
      <xdr:row>9</xdr:row>
      <xdr:rowOff>20708</xdr:rowOff>
    </xdr:from>
    <xdr:to>
      <xdr:col>20</xdr:col>
      <xdr:colOff>9556</xdr:colOff>
      <xdr:row>11</xdr:row>
      <xdr:rowOff>42688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69D1158-003A-4DBC-A16D-7D9AE38A1FCC}"/>
            </a:ext>
          </a:extLst>
        </xdr:cNvPr>
        <xdr:cNvSpPr txBox="1"/>
      </xdr:nvSpPr>
      <xdr:spPr>
        <a:xfrm rot="17930701">
          <a:off x="6915978" y="1449457"/>
          <a:ext cx="320154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7</xdr:col>
      <xdr:colOff>235323</xdr:colOff>
      <xdr:row>42</xdr:row>
      <xdr:rowOff>145675</xdr:rowOff>
    </xdr:from>
    <xdr:to>
      <xdr:col>9</xdr:col>
      <xdr:colOff>283689</xdr:colOff>
      <xdr:row>49</xdr:row>
      <xdr:rowOff>89288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2D1EE3E-948E-484F-B432-7B2C6C455D16}"/>
            </a:ext>
          </a:extLst>
        </xdr:cNvPr>
        <xdr:cNvSpPr txBox="1"/>
      </xdr:nvSpPr>
      <xdr:spPr>
        <a:xfrm>
          <a:off x="2454088" y="6723528"/>
          <a:ext cx="810366" cy="104178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LAS SUTIYONO</a:t>
          </a:r>
        </a:p>
      </xdr:txBody>
    </xdr:sp>
    <xdr:clientData/>
  </xdr:twoCellAnchor>
  <xdr:twoCellAnchor>
    <xdr:from>
      <xdr:col>12</xdr:col>
      <xdr:colOff>351692</xdr:colOff>
      <xdr:row>46</xdr:row>
      <xdr:rowOff>139211</xdr:rowOff>
    </xdr:from>
    <xdr:to>
      <xdr:col>14</xdr:col>
      <xdr:colOff>161192</xdr:colOff>
      <xdr:row>52</xdr:row>
      <xdr:rowOff>109903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5BD10FB-F994-4A13-ABF0-4BB1DDE2E54D}"/>
            </a:ext>
          </a:extLst>
        </xdr:cNvPr>
        <xdr:cNvSpPr txBox="1"/>
      </xdr:nvSpPr>
      <xdr:spPr>
        <a:xfrm>
          <a:off x="4469423" y="7246326"/>
          <a:ext cx="571500" cy="99646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/6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15</xdr:col>
      <xdr:colOff>87924</xdr:colOff>
      <xdr:row>44</xdr:row>
      <xdr:rowOff>36634</xdr:rowOff>
    </xdr:from>
    <xdr:to>
      <xdr:col>16</xdr:col>
      <xdr:colOff>231973</xdr:colOff>
      <xdr:row>49</xdr:row>
      <xdr:rowOff>19583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93E591-B819-47BC-B8B8-A751C7D45CC8}"/>
            </a:ext>
          </a:extLst>
        </xdr:cNvPr>
        <xdr:cNvSpPr txBox="1"/>
      </xdr:nvSpPr>
      <xdr:spPr>
        <a:xfrm>
          <a:off x="5348655" y="6836019"/>
          <a:ext cx="525049" cy="7596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/7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65942</xdr:colOff>
      <xdr:row>38</xdr:row>
      <xdr:rowOff>58615</xdr:rowOff>
    </xdr:from>
    <xdr:to>
      <xdr:col>17</xdr:col>
      <xdr:colOff>209991</xdr:colOff>
      <xdr:row>43</xdr:row>
      <xdr:rowOff>48890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3872DF-7459-41DD-99CC-840BCADF2FA3}"/>
            </a:ext>
          </a:extLst>
        </xdr:cNvPr>
        <xdr:cNvSpPr txBox="1"/>
      </xdr:nvSpPr>
      <xdr:spPr>
        <a:xfrm>
          <a:off x="5707673" y="5934807"/>
          <a:ext cx="525049" cy="7596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/8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366347</xdr:colOff>
      <xdr:row>32</xdr:row>
      <xdr:rowOff>73269</xdr:rowOff>
    </xdr:from>
    <xdr:to>
      <xdr:col>18</xdr:col>
      <xdr:colOff>129396</xdr:colOff>
      <xdr:row>37</xdr:row>
      <xdr:rowOff>56217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FCAD2A5-93D4-473A-A384-3DD747157433}"/>
            </a:ext>
          </a:extLst>
        </xdr:cNvPr>
        <xdr:cNvSpPr txBox="1"/>
      </xdr:nvSpPr>
      <xdr:spPr>
        <a:xfrm>
          <a:off x="6008078" y="5011615"/>
          <a:ext cx="525049" cy="7596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/9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18</xdr:col>
      <xdr:colOff>14654</xdr:colOff>
      <xdr:row>24</xdr:row>
      <xdr:rowOff>43962</xdr:rowOff>
    </xdr:from>
    <xdr:to>
      <xdr:col>19</xdr:col>
      <xdr:colOff>158703</xdr:colOff>
      <xdr:row>29</xdr:row>
      <xdr:rowOff>34237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A16B8BA-7B8F-40F0-A969-D9BA8B5DCB63}"/>
            </a:ext>
          </a:extLst>
        </xdr:cNvPr>
        <xdr:cNvSpPr txBox="1"/>
      </xdr:nvSpPr>
      <xdr:spPr>
        <a:xfrm>
          <a:off x="6418385" y="3758712"/>
          <a:ext cx="525049" cy="7596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18</xdr:col>
      <xdr:colOff>217443</xdr:colOff>
      <xdr:row>18</xdr:row>
      <xdr:rowOff>87923</xdr:rowOff>
    </xdr:from>
    <xdr:to>
      <xdr:col>19</xdr:col>
      <xdr:colOff>65942</xdr:colOff>
      <xdr:row>19</xdr:row>
      <xdr:rowOff>42384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653FF1F2-4869-4485-A889-B5C4CFF8231E}"/>
            </a:ext>
          </a:extLst>
        </xdr:cNvPr>
        <xdr:cNvCxnSpPr>
          <a:stCxn id="64" idx="3"/>
        </xdr:cNvCxnSpPr>
      </xdr:nvCxnSpPr>
      <xdr:spPr>
        <a:xfrm flipV="1">
          <a:off x="6621174" y="2879481"/>
          <a:ext cx="229499" cy="108326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175846</xdr:colOff>
      <xdr:row>17</xdr:row>
      <xdr:rowOff>51288</xdr:rowOff>
    </xdr:from>
    <xdr:to>
      <xdr:col>20</xdr:col>
      <xdr:colOff>366346</xdr:colOff>
      <xdr:row>23</xdr:row>
      <xdr:rowOff>124557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78E7657-E65D-4284-8538-D0B9FE058A04}"/>
            </a:ext>
          </a:extLst>
        </xdr:cNvPr>
        <xdr:cNvSpPr txBox="1"/>
      </xdr:nvSpPr>
      <xdr:spPr>
        <a:xfrm>
          <a:off x="6960577" y="2688980"/>
          <a:ext cx="571500" cy="99646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56/68</a:t>
          </a:r>
        </a:p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/11</a:t>
          </a:r>
        </a:p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17</xdr:col>
      <xdr:colOff>87924</xdr:colOff>
      <xdr:row>9</xdr:row>
      <xdr:rowOff>80597</xdr:rowOff>
    </xdr:from>
    <xdr:to>
      <xdr:col>18</xdr:col>
      <xdr:colOff>278424</xdr:colOff>
      <xdr:row>13</xdr:row>
      <xdr:rowOff>58615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F0DB82B-4910-4238-8422-A0C44D5397A8}"/>
            </a:ext>
          </a:extLst>
        </xdr:cNvPr>
        <xdr:cNvSpPr txBox="1"/>
      </xdr:nvSpPr>
      <xdr:spPr>
        <a:xfrm>
          <a:off x="6110655" y="1480039"/>
          <a:ext cx="571500" cy="6008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15</xdr:col>
      <xdr:colOff>7327</xdr:colOff>
      <xdr:row>8</xdr:row>
      <xdr:rowOff>36635</xdr:rowOff>
    </xdr:from>
    <xdr:to>
      <xdr:col>16</xdr:col>
      <xdr:colOff>197827</xdr:colOff>
      <xdr:row>12</xdr:row>
      <xdr:rowOff>21981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67FBDF1-5383-496E-8050-E3F7449FA0C3}"/>
            </a:ext>
          </a:extLst>
        </xdr:cNvPr>
        <xdr:cNvSpPr txBox="1"/>
      </xdr:nvSpPr>
      <xdr:spPr>
        <a:xfrm>
          <a:off x="5268058" y="1282212"/>
          <a:ext cx="571500" cy="6008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197827</xdr:colOff>
      <xdr:row>6</xdr:row>
      <xdr:rowOff>65942</xdr:rowOff>
    </xdr:from>
    <xdr:to>
      <xdr:col>14</xdr:col>
      <xdr:colOff>7327</xdr:colOff>
      <xdr:row>10</xdr:row>
      <xdr:rowOff>51287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58C0ED13-34E8-4D00-851D-04C02C7F7161}"/>
            </a:ext>
          </a:extLst>
        </xdr:cNvPr>
        <xdr:cNvSpPr txBox="1"/>
      </xdr:nvSpPr>
      <xdr:spPr>
        <a:xfrm>
          <a:off x="4315558" y="1003788"/>
          <a:ext cx="571500" cy="6008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346363</xdr:colOff>
      <xdr:row>12</xdr:row>
      <xdr:rowOff>17318</xdr:rowOff>
    </xdr:from>
    <xdr:to>
      <xdr:col>26</xdr:col>
      <xdr:colOff>138546</xdr:colOff>
      <xdr:row>57</xdr:row>
      <xdr:rowOff>126128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748FD-60D4-4E15-B054-369B12CF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727" y="1853045"/>
          <a:ext cx="13092546" cy="712267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10</xdr:col>
      <xdr:colOff>588818</xdr:colOff>
      <xdr:row>38</xdr:row>
      <xdr:rowOff>17318</xdr:rowOff>
    </xdr:from>
    <xdr:to>
      <xdr:col>10</xdr:col>
      <xdr:colOff>597477</xdr:colOff>
      <xdr:row>41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 flipH="1">
          <a:off x="5334000" y="5905500"/>
          <a:ext cx="8659" cy="519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484909</xdr:colOff>
      <xdr:row>40</xdr:row>
      <xdr:rowOff>103909</xdr:rowOff>
    </xdr:from>
    <xdr:to>
      <xdr:col>11</xdr:col>
      <xdr:colOff>138545</xdr:colOff>
      <xdr:row>42</xdr:row>
      <xdr:rowOff>34636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5230091" y="6303818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595313</xdr:colOff>
      <xdr:row>8</xdr:row>
      <xdr:rowOff>47625</xdr:rowOff>
    </xdr:from>
    <xdr:to>
      <xdr:col>20</xdr:col>
      <xdr:colOff>238125</xdr:colOff>
      <xdr:row>52</xdr:row>
      <xdr:rowOff>40144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1380A0-6D95-BBDB-1285-6B40671A3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5438" y="1524000"/>
          <a:ext cx="10167937" cy="73267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3" t="s">
        <v>1134</v>
      </c>
      <c r="C4" s="533"/>
      <c r="D4" s="533"/>
      <c r="E4" s="533"/>
      <c r="F4" s="533"/>
      <c r="G4" s="533"/>
      <c r="H4" s="53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4" t="s">
        <v>0</v>
      </c>
      <c r="C7" s="534" t="s">
        <v>1</v>
      </c>
      <c r="D7" s="535" t="s">
        <v>42</v>
      </c>
      <c r="E7" s="535" t="s">
        <v>43</v>
      </c>
      <c r="F7" s="535" t="s">
        <v>1135</v>
      </c>
      <c r="G7" s="536" t="s">
        <v>41</v>
      </c>
      <c r="H7" s="532" t="s">
        <v>1042</v>
      </c>
      <c r="I7" s="532" t="s">
        <v>1137</v>
      </c>
      <c r="J7" s="532" t="s">
        <v>1026</v>
      </c>
      <c r="K7" s="526" t="s">
        <v>1024</v>
      </c>
      <c r="L7" s="527"/>
    </row>
    <row r="8" spans="1:12" ht="15" customHeight="1">
      <c r="B8" s="534"/>
      <c r="C8" s="534"/>
      <c r="D8" s="535"/>
      <c r="E8" s="535"/>
      <c r="F8" s="535"/>
      <c r="G8" s="536"/>
      <c r="H8" s="532"/>
      <c r="I8" s="532"/>
      <c r="J8" s="532"/>
      <c r="K8" s="528"/>
      <c r="L8" s="529"/>
    </row>
    <row r="9" spans="1:12" ht="15" customHeight="1">
      <c r="B9" s="534"/>
      <c r="C9" s="534"/>
      <c r="D9" s="535"/>
      <c r="E9" s="535"/>
      <c r="F9" s="535"/>
      <c r="G9" s="536"/>
      <c r="H9" s="532"/>
      <c r="I9" s="532"/>
      <c r="J9" s="532"/>
      <c r="K9" s="530"/>
      <c r="L9" s="53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3x70+1x70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525</v>
      </c>
      <c r="G15" s="41">
        <f ca="1">IF(ISERROR(OFFSET('HARGA SATUAN'!$I$6,MATCH(C15,'HARGA SATUAN'!$C$7:$C$1492,0),0)),"",OFFSET('HARGA SATUAN'!$I$6,MATCH(C15,'HARGA SATUAN'!$C$7:$C$1492,0),0))</f>
        <v>54500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SUMIFS(RAB!$F$14:$F$103,RAB!$C$14:$C$103,C714)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SUMIFS(RAB!$F$14:$F$103,RAB!$C$14:$C$103,C715)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SUMIFS(RAB!$F$14:$F$103,RAB!$C$14:$C$103,C716)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SUMIFS(RAB!$F$14:$F$103,RAB!$C$14:$C$103,C717)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SUMIFS(RAB!$F$14:$F$103,RAB!$C$14:$C$103,C718)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SUMIFS(RAB!$F$14:$F$103,RAB!$C$14:$C$103,C719)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SUMIFS(RAB!$F$14:$F$103,RAB!$C$14:$C$103,C720)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SUMIFS(RAB!$F$14:$F$103,RAB!$C$14:$C$103,C721)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SUMIFS(RAB!$F$14:$F$103,RAB!$C$14:$C$103,C722)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SUMIFS(RAB!$F$14:$F$103,RAB!$C$14:$C$103,C723)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SUMIFS(RAB!$F$14:$F$103,RAB!$C$14:$C$103,C724)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SUMIFS(RAB!$F$14:$F$103,RAB!$C$14:$C$103,C725)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SUMIFS(RAB!$F$14:$F$103,RAB!$C$14:$C$103,C726)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SUMIFS(RAB!$F$14:$F$103,RAB!$C$14:$C$103,C727)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SUMIFS(RAB!$F$14:$F$103,RAB!$C$14:$C$103,C728)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SUMIFS(RAB!$F$14:$F$103,RAB!$C$14:$C$103,C729)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SUMIFS(RAB!$F$14:$F$103,RAB!$C$14:$C$103,C730)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SUMIFS(RAB!$F$14:$F$103,RAB!$C$14:$C$103,C731)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SUMIFS(RAB!$F$14:$F$103,RAB!$C$14:$C$103,C732)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SUMIFS(RAB!$F$14:$F$103,RAB!$C$14:$C$103,C733)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SUMIFS(RAB!$F$14:$F$103,RAB!$C$14:$C$103,C734)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SUMIFS(RAB!$F$14:$F$103,RAB!$C$14:$C$103,C735)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SUMIFS(RAB!$F$14:$F$103,RAB!$C$14:$C$103,C736)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SUMIFS(RAB!$F$14:$F$103,RAB!$C$14:$C$103,C737)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SUMIFS(RAB!$F$14:$F$103,RAB!$C$14:$C$103,C738)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SUMIFS(RAB!$F$14:$F$103,RAB!$C$14:$C$103,C739)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SUMIFS(RAB!$F$14:$F$103,RAB!$C$14:$C$103,C740)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SUMIFS(RAB!$F$14:$F$103,RAB!$C$14:$C$103,C741)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SUMIFS(RAB!$F$14:$F$103,RAB!$C$14:$C$103,C742)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SUMIFS(RAB!$F$14:$F$103,RAB!$C$14:$C$103,C743)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SUMIFS(RAB!$F$14:$F$103,RAB!$C$14:$C$103,C744)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SUMIFS(RAB!$F$14:$F$103,RAB!$C$14:$C$103,C745)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SUMIFS(RAB!$F$14:$F$103,RAB!$C$14:$C$103,C746)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SUMIFS(RAB!$F$14:$F$103,RAB!$C$14:$C$103,C747)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SUMIFS(RAB!$F$14:$F$103,RAB!$C$14:$C$103,C748)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SUMIFS(RAB!$F$14:$F$103,RAB!$C$14:$C$103,C749)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SUMIFS(RAB!$F$14:$F$103,RAB!$C$14:$C$103,C750)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SUMIFS(RAB!$F$14:$F$103,RAB!$C$14:$C$103,C751)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SUMIFS(RAB!$F$14:$F$103,RAB!$C$14:$C$103,C752)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SUMIFS(RAB!$F$14:$F$103,RAB!$C$14:$C$103,C753)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SUMIFS(RAB!$F$14:$F$103,RAB!$C$14:$C$103,C754)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SUMIFS(RAB!$F$14:$F$103,RAB!$C$14:$C$103,C755)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SUMIFS(RAB!$F$14:$F$103,RAB!$C$14:$C$103,C756)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SUMIFS(RAB!$F$14:$F$103,RAB!$C$14:$C$103,C757)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SUMIFS(RAB!$F$14:$F$103,RAB!$C$14:$C$103,C758)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SUMIFS(RAB!$F$14:$F$103,RAB!$C$14:$C$103,C759)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SUMIFS(RAB!$F$14:$F$103,RAB!$C$14:$C$103,C760)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SUMIFS(RAB!$F$14:$F$103,RAB!$C$14:$C$103,C761)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SUMIFS(RAB!$F$14:$F$103,RAB!$C$14:$C$103,C762)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SUMIFS(RAB!$F$14:$F$103,RAB!$C$14:$C$103,C763)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SUMIFS(RAB!$F$14:$F$103,RAB!$C$14:$C$103,C764)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SUMIFS(RAB!$F$14:$F$103,RAB!$C$14:$C$103,C765)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SUMIFS(RAB!$F$14:$F$103,RAB!$C$14:$C$103,C766)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SUMIFS(RAB!$F$14:$F$103,RAB!$C$14:$C$103,C767)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SUMIFS(RAB!$F$14:$F$103,RAB!$C$14:$C$103,C768)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SUMIFS(RAB!$F$14:$F$103,RAB!$C$14:$C$103,C769)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SUMIFS(RAB!$F$14:$F$103,RAB!$C$14:$C$103,C770)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SUMIFS(RAB!$F$14:$F$103,RAB!$C$14:$C$103,C771)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SUMIFS(RAB!$F$14:$F$103,RAB!$C$14:$C$103,C772)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SUMIFS(RAB!$F$14:$F$103,RAB!$C$14:$C$103,C773)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SUMIFS(RAB!$F$14:$F$103,RAB!$C$14:$C$103,C774)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SUMIFS(RAB!$F$14:$F$103,RAB!$C$14:$C$103,C775)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SUMIFS(RAB!$F$14:$F$103,RAB!$C$14:$C$103,C776)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SUMIFS(RAB!$F$14:$F$103,RAB!$C$14:$C$103,C777)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SUMIFS(RAB!$F$14:$F$103,RAB!$C$14:$C$103,C778)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SUMIFS(RAB!$F$14:$F$103,RAB!$C$14:$C$103,C779)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SUMIFS(RAB!$F$14:$F$103,RAB!$C$14:$C$103,C780)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SUMIFS(RAB!$F$14:$F$103,RAB!$C$14:$C$103,C781)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SUMIFS(RAB!$F$14:$F$103,RAB!$C$14:$C$103,C782)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SUMIFS(RAB!$F$14:$F$103,RAB!$C$14:$C$103,C783)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SUMIFS(RAB!$F$14:$F$103,RAB!$C$14:$C$103,C784)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SUMIFS(RAB!$F$14:$F$103,RAB!$C$14:$C$103,C785)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SUMIFS(RAB!$F$14:$F$103,RAB!$C$14:$C$103,C786)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SUMIFS(RAB!$F$14:$F$103,RAB!$C$14:$C$103,C787)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SUMIFS(RAB!$F$14:$F$103,RAB!$C$14:$C$103,C788)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SUMIFS(RAB!$F$14:$F$103,RAB!$C$14:$C$103,C789)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SUMIFS(RAB!$F$14:$F$103,RAB!$C$14:$C$103,C790)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SUMIFS(RAB!$F$14:$F$103,RAB!$C$14:$C$103,C791)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SUMIFS(RAB!$F$14:$F$103,RAB!$C$14:$C$103,C792)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SUMIFS(RAB!$F$14:$F$103,RAB!$C$14:$C$103,C793)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SUMIFS(RAB!$F$14:$F$103,RAB!$C$14:$C$103,C794)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SUMIFS(RAB!$F$14:$F$103,RAB!$C$14:$C$103,C795)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SUMIFS(RAB!$F$14:$F$103,RAB!$C$14:$C$103,C796)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SUMIFS(RAB!$F$14:$F$103,RAB!$C$14:$C$103,C797)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SUMIFS(RAB!$F$14:$F$103,RAB!$C$14:$C$103,C798)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SUMIFS(RAB!$F$14:$F$103,RAB!$C$14:$C$103,C799)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SUMIFS(RAB!$F$14:$F$103,RAB!$C$14:$C$103,C800)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SUMIFS(RAB!$F$14:$F$103,RAB!$C$14:$C$103,C801)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SUMIFS(RAB!$F$14:$F$103,RAB!$C$14:$C$103,C802)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SUMIFS(RAB!$F$14:$F$103,RAB!$C$14:$C$103,C803)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SUMIFS(RAB!$F$14:$F$103,RAB!$C$14:$C$103,C804)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SUMIFS(RAB!$F$14:$F$103,RAB!$C$14:$C$103,C805)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SUMIFS(RAB!$F$14:$F$103,RAB!$C$14:$C$103,C806)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SUMIFS(RAB!$F$14:$F$103,RAB!$C$14:$C$103,C807)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SUMIFS(RAB!$F$14:$F$103,RAB!$C$14:$C$103,C808)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SUMIFS(RAB!$F$14:$F$103,RAB!$C$14:$C$103,C809)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SUMIFS(RAB!$F$14:$F$103,RAB!$C$14:$C$103,C810)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SUMIFS(RAB!$F$14:$F$103,RAB!$C$14:$C$103,C811)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SUMIFS(RAB!$F$14:$F$103,RAB!$C$14:$C$103,C812)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SUMIFS(RAB!$F$14:$F$103,RAB!$C$14:$C$103,C813)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SUMIFS(RAB!$F$14:$F$103,RAB!$C$14:$C$103,C814)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SUMIFS(RAB!$F$14:$F$103,RAB!$C$14:$C$103,C815)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SUMIFS(RAB!$F$14:$F$103,RAB!$C$14:$C$103,C816)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SUMIFS(RAB!$F$14:$F$103,RAB!$C$14:$C$103,C817)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SUMIFS(RAB!$F$14:$F$103,RAB!$C$14:$C$103,C818)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SUMIFS(RAB!$F$14:$F$103,RAB!$C$14:$C$103,C819)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SUMIFS(RAB!$F$14:$F$103,RAB!$C$14:$C$103,C820)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SUMIFS(RAB!$F$14:$F$103,RAB!$C$14:$C$103,C821)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SUMIFS(RAB!$F$14:$F$103,RAB!$C$14:$C$103,C822)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SUMIFS(RAB!$F$14:$F$103,RAB!$C$14:$C$103,C823)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SUMIFS(RAB!$F$14:$F$103,RAB!$C$14:$C$103,C824)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SUMIFS(RAB!$F$14:$F$103,RAB!$C$14:$C$103,C825)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SUMIFS(RAB!$F$14:$F$103,RAB!$C$14:$C$103,C826)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SUMIFS(RAB!$F$14:$F$103,RAB!$C$14:$C$103,C827)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SUMIFS(RAB!$F$14:$F$103,RAB!$C$14:$C$103,C828)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SUMIFS(RAB!$F$14:$F$103,RAB!$C$14:$C$103,C829)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SUMIFS(RAB!$F$14:$F$103,RAB!$C$14:$C$103,C830)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SUMIFS(RAB!$F$14:$F$103,RAB!$C$14:$C$103,C831)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SUMIFS(RAB!$F$14:$F$103,RAB!$C$14:$C$103,C832)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SUMIFS(RAB!$F$14:$F$103,RAB!$C$14:$C$103,C833)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SUMIFS(RAB!$F$14:$F$103,RAB!$C$14:$C$103,C834)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SUMIFS(RAB!$F$14:$F$103,RAB!$C$14:$C$103,C835)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SUMIFS(RAB!$F$14:$F$103,RAB!$C$14:$C$103,C836)</f>
        <v>525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SUMIFS(RAB!$F$14:$F$103,RAB!$C$14:$C$103,C837)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SUMIFS(RAB!$F$14:$F$103,RAB!$C$14:$C$103,C838)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SUMIFS(RAB!$F$14:$F$103,RAB!$C$14:$C$103,C839)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SUMIFS(RAB!$F$14:$F$103,RAB!$C$14:$C$103,C840)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SUMIFS(RAB!$F$14:$F$103,RAB!$C$14:$C$103,C841)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SUMIFS(RAB!$F$14:$F$103,RAB!$C$14:$C$103,C842)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SUMIFS(RAB!$F$14:$F$103,RAB!$C$14:$C$103,C843)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SUMIFS(RAB!$F$14:$F$103,RAB!$C$14:$C$103,C844)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SUMIFS(RAB!$F$14:$F$103,RAB!$C$14:$C$103,C845)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SUMIFS(RAB!$F$14:$F$103,RAB!$C$14:$C$103,C846)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SUMIFS(RAB!$F$14:$F$103,RAB!$C$14:$C$103,C847)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SUMIFS(RAB!$F$14:$F$103,RAB!$C$14:$C$103,C848)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SUMIFS(RAB!$F$14:$F$103,RAB!$C$14:$C$103,C849)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SUMIFS(RAB!$F$14:$F$103,RAB!$C$14:$C$103,C850)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SUMIFS(RAB!$F$14:$F$103,RAB!$C$14:$C$103,C851)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SUMIFS(RAB!$F$14:$F$103,RAB!$C$14:$C$103,C852)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SUMIFS(RAB!$F$14:$F$103,RAB!$C$14:$C$103,C853)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SUMIFS(RAB!$F$14:$F$103,RAB!$C$14:$C$103,C854)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SUMIFS(RAB!$F$14:$F$103,RAB!$C$14:$C$103,C855)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SUMIFS(RAB!$F$14:$F$103,RAB!$C$14:$C$103,C856)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SUMIFS(RAB!$F$14:$F$103,RAB!$C$14:$C$103,C857)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SUMIFS(RAB!$F$14:$F$103,RAB!$C$14:$C$103,C858)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SUMIFS(RAB!$F$14:$F$103,RAB!$C$14:$C$103,C859)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SUMIFS(RAB!$F$14:$F$103,RAB!$C$14:$C$103,C860)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SUMIFS(RAB!$F$14:$F$103,RAB!$C$14:$C$103,C861)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SUMIFS(RAB!$F$14:$F$103,RAB!$C$14:$C$103,C862)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SUMIFS(RAB!$F$14:$F$103,RAB!$C$14:$C$103,C863)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SUMIFS(RAB!$F$14:$F$103,RAB!$C$14:$C$103,C864)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SUMIFS(RAB!$F$14:$F$103,RAB!$C$14:$C$103,C865)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SUMIFS(RAB!$F$14:$F$103,RAB!$C$14:$C$103,C866)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SUMIFS(RAB!$F$14:$F$103,RAB!$C$14:$C$103,C867)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SUMIFS(RAB!$F$14:$F$103,RAB!$C$14:$C$103,C868)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SUMIFS(RAB!$F$14:$F$103,RAB!$C$14:$C$103,C869)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SUMIFS(RAB!$F$14:$F$103,RAB!$C$14:$C$103,C870)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SUMIFS(RAB!$F$14:$F$103,RAB!$C$14:$C$103,C871)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SUMIFS(RAB!$F$14:$F$103,RAB!$C$14:$C$103,C872)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SUMIFS(RAB!$F$14:$F$103,RAB!$C$14:$C$103,C873)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SUMIFS(RAB!$F$14:$F$103,RAB!$C$14:$C$103,C874)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SUMIFS(RAB!$F$14:$F$103,RAB!$C$14:$C$103,C875)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SUMIFS(RAB!$F$14:$F$103,RAB!$C$14:$C$103,C876)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SUMIFS(RAB!$F$14:$F$103,RAB!$C$14:$C$103,C877)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SUMIFS(RAB!$F$14:$F$103,RAB!$C$14:$C$103,C878)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SUMIFS(RAB!$F$14:$F$103,RAB!$C$14:$C$103,C879)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SUMIFS(RAB!$F$14:$F$103,RAB!$C$14:$C$103,C880)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SUMIFS(RAB!$F$14:$F$103,RAB!$C$14:$C$103,C881)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SUMIFS(RAB!$F$14:$F$103,RAB!$C$14:$C$103,C882)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SUMIFS(RAB!$F$14:$F$103,RAB!$C$14:$C$103,C883)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SUMIFS(RAB!$F$14:$F$103,RAB!$C$14:$C$103,C884)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SUMIFS(RAB!$F$14:$F$103,RAB!$C$14:$C$103,C885)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SUMIFS(RAB!$F$14:$F$103,RAB!$C$14:$C$103,C886)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SUMIFS(RAB!$F$14:$F$103,RAB!$C$14:$C$103,C887)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SUMIFS(RAB!$F$14:$F$103,RAB!$C$14:$C$103,C888)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SUMIFS(RAB!$F$14:$F$103,RAB!$C$14:$C$103,C889)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SUMIFS(RAB!$F$14:$F$103,RAB!$C$14:$C$103,C890)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SUMIFS(RAB!$F$14:$F$103,RAB!$C$14:$C$103,C891)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SUMIFS(RAB!$F$14:$F$103,RAB!$C$14:$C$103,C892)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SUMIFS(RAB!$F$14:$F$103,RAB!$C$14:$C$103,C893)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SUMIFS(RAB!$F$14:$F$103,RAB!$C$14:$C$103,C894)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SUMIFS(RAB!$F$14:$F$103,RAB!$C$14:$C$103,C895)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SUMIFS(RAB!$F$14:$F$103,RAB!$C$14:$C$103,C896)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SUMIFS(RAB!$F$14:$F$103,RAB!$C$14:$C$103,C897)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SUMIFS(RAB!$F$14:$F$103,RAB!$C$14:$C$103,C898)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SUMIFS(RAB!$F$14:$F$103,RAB!$C$14:$C$103,C899)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SUMIFS(RAB!$F$14:$F$103,RAB!$C$14:$C$103,C900)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SUMIFS(RAB!$F$14:$F$103,RAB!$C$14:$C$103,C901)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SUMIFS(RAB!$F$14:$F$103,RAB!$C$14:$C$103,C902)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SUMIFS(RAB!$F$14:$F$103,RAB!$C$14:$C$103,C903)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SUMIFS(RAB!$F$14:$F$103,RAB!$C$14:$C$103,C904)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SUMIFS(RAB!$F$14:$F$103,RAB!$C$14:$C$103,C905)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SUMIFS(RAB!$F$14:$F$103,RAB!$C$14:$C$103,C906)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SUMIFS(RAB!$F$14:$F$103,RAB!$C$14:$C$103,C907)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SUMIFS(RAB!$F$14:$F$103,RAB!$C$14:$C$103,C908)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SUMIFS(RAB!$F$14:$F$103,RAB!$C$14:$C$103,C909)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SUMIFS(RAB!$F$14:$F$103,RAB!$C$14:$C$103,C910)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SUMIFS(RAB!$F$14:$F$103,RAB!$C$14:$C$103,C911)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SUMIFS(RAB!$F$14:$F$103,RAB!$C$14:$C$103,C912)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SUMIFS(RAB!$F$14:$F$103,RAB!$C$14:$C$103,C913)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SUMIFS(RAB!$F$14:$F$103,RAB!$C$14:$C$103,C914)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SUMIFS(RAB!$F$14:$F$103,RAB!$C$14:$C$103,C915)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SUMIFS(RAB!$F$14:$F$103,RAB!$C$14:$C$103,C916)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SUMIFS(RAB!$F$14:$F$103,RAB!$C$14:$C$103,C917)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SUMIFS(RAB!$F$14:$F$103,RAB!$C$14:$C$103,C918)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SUMIFS(RAB!$F$14:$F$103,RAB!$C$14:$C$103,C919)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SUMIFS(RAB!$F$14:$F$103,RAB!$C$14:$C$103,C920)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SUMIFS(RAB!$F$14:$F$103,RAB!$C$14:$C$103,C921)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SUMIFS(RAB!$F$14:$F$103,RAB!$C$14:$C$103,C922)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SUMIFS(RAB!$F$14:$F$103,RAB!$C$14:$C$103,C923)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SUMIFS(RAB!$F$14:$F$103,RAB!$C$14:$C$103,C924)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SUMIFS(RAB!$F$14:$F$103,RAB!$C$14:$C$103,C925)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SUMIFS(RAB!$F$14:$F$103,RAB!$C$14:$C$103,C926)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SUMIFS(RAB!$F$14:$F$103,RAB!$C$14:$C$103,C927)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SUMIFS(RAB!$F$14:$F$103,RAB!$C$14:$C$103,C928)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SUMIFS(RAB!$F$14:$F$103,RAB!$C$14:$C$103,C929)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SUMIFS(RAB!$F$14:$F$103,RAB!$C$14:$C$103,C930)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SUMIFS(RAB!$F$14:$F$103,RAB!$C$14:$C$103,C931)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SUMIFS(RAB!$F$14:$F$103,RAB!$C$14:$C$103,C932)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SUMIFS(RAB!$F$14:$F$103,RAB!$C$14:$C$103,C933)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SUMIFS(RAB!$F$14:$F$103,RAB!$C$14:$C$103,C934)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SUMIFS(RAB!$F$14:$F$103,RAB!$C$14:$C$103,C935)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SUMIFS(RAB!$F$14:$F$103,RAB!$C$14:$C$103,C936)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SUMIFS(RAB!$F$14:$F$103,RAB!$C$14:$C$103,C937)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SUMIFS(RAB!$F$14:$F$103,RAB!$C$14:$C$103,C938)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SUMIFS(RAB!$F$14:$F$103,RAB!$C$14:$C$103,C939)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SUMIFS(RAB!$F$14:$F$103,RAB!$C$14:$C$103,C940)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SUMIFS(RAB!$F$14:$F$103,RAB!$C$14:$C$103,C941)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SUMIFS(RAB!$F$14:$F$103,RAB!$C$14:$C$103,C942)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SUMIFS(RAB!$F$14:$F$103,RAB!$C$14:$C$103,C943)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SUMIFS(RAB!$F$14:$F$103,RAB!$C$14:$C$103,C944)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SUMIFS(RAB!$F$14:$F$103,RAB!$C$14:$C$103,C945)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SUMIFS(RAB!$F$14:$F$103,RAB!$C$14:$C$103,C946)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SUMIFS(RAB!$F$14:$F$103,RAB!$C$14:$C$103,C947)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SUMIFS(RAB!$F$14:$F$103,RAB!$C$14:$C$103,C948)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SUMIFS(RAB!$F$14:$F$103,RAB!$C$14:$C$103,C949)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SUMIFS(RAB!$F$14:$F$103,RAB!$C$14:$C$103,C950)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SUMIFS(RAB!$F$14:$F$103,RAB!$C$14:$C$103,C951)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SUMIFS(RAB!$F$14:$F$103,RAB!$C$14:$C$103,C952)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SUMIFS(RAB!$F$14:$F$103,RAB!$C$14:$C$103,C953)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SUMIFS(RAB!$F$14:$F$103,RAB!$C$14:$C$103,C954)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SUMIFS(RAB!$F$14:$F$103,RAB!$C$14:$C$103,C955)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SUMIFS(RAB!$F$14:$F$103,RAB!$C$14:$C$103,C956)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SUMIFS(RAB!$F$14:$F$103,RAB!$C$14:$C$103,C957)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SUMIFS(RAB!$F$14:$F$103,RAB!$C$14:$C$103,C958)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SUMIFS(RAB!$F$14:$F$103,RAB!$C$14:$C$103,C959)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SUMIFS(RAB!$F$14:$F$103,RAB!$C$14:$C$103,C960)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SUMIFS(RAB!$F$14:$F$103,RAB!$C$14:$C$103,C961)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SUMIFS(RAB!$F$14:$F$103,RAB!$C$14:$C$103,C962)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SUMIFS(RAB!$F$14:$F$103,RAB!$C$14:$C$103,C963)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SUMIFS(RAB!$F$14:$F$103,RAB!$C$14:$C$103,C964)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SUMIFS(RAB!$F$14:$F$103,RAB!$C$14:$C$103,C965)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SUMIFS(RAB!$F$14:$F$103,RAB!$C$14:$C$103,C966)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SUMIFS(RAB!$F$14:$F$103,RAB!$C$14:$C$103,C967)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SUMIFS(RAB!$F$14:$F$103,RAB!$C$14:$C$103,C968)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SUMIFS(RAB!$F$14:$F$103,RAB!$C$14:$C$103,C969)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SUMIFS(RAB!$F$14:$F$103,RAB!$C$14:$C$103,C970)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SUMIFS(RAB!$F$14:$F$103,RAB!$C$14:$C$103,C971)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SUMIFS(RAB!$F$14:$F$103,RAB!$C$14:$C$103,C972)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SUMIFS(RAB!$F$14:$F$103,RAB!$C$14:$C$103,C973)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SUMIFS(RAB!$F$14:$F$103,RAB!$C$14:$C$103,C974)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SUMIFS(RAB!$F$14:$F$103,RAB!$C$14:$C$103,C975)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SUMIFS(RAB!$F$14:$F$103,RAB!$C$14:$C$103,C976)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SUMIFS(RAB!$F$14:$F$103,RAB!$C$14:$C$103,C977)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SUMIFS(RAB!$F$14:$F$103,RAB!$C$14:$C$103,C978)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SUMIFS(RAB!$F$14:$F$103,RAB!$C$14:$C$103,C979)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SUMIFS(RAB!$F$14:$F$103,RAB!$C$14:$C$103,C980)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SUMIFS(RAB!$F$14:$F$103,RAB!$C$14:$C$103,C981)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SUMIFS(RAB!$F$14:$F$103,RAB!$C$14:$C$103,C982)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SUMIFS(RAB!$F$14:$F$103,RAB!$C$14:$C$103,C983)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SUMIFS(RAB!$F$14:$F$103,RAB!$C$14:$C$103,C984)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SUMIFS(RAB!$F$14:$F$103,RAB!$C$14:$C$103,C985)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SUMIFS(RAB!$F$14:$F$103,RAB!$C$14:$C$103,C986)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SUMIFS(RAB!$F$14:$F$103,RAB!$C$14:$C$103,C987)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SUMIFS(RAB!$F$14:$F$103,RAB!$C$14:$C$103,C988)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SUMIFS(RAB!$F$14:$F$103,RAB!$C$14:$C$103,C989)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SUMIFS(RAB!$F$14:$F$103,RAB!$C$14:$C$103,C990)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SUMIFS(RAB!$F$14:$F$103,RAB!$C$14:$C$103,C991)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SUMIFS(RAB!$F$14:$F$103,RAB!$C$14:$C$103,C992)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SUMIFS(RAB!$F$14:$F$103,RAB!$C$14:$C$103,C993)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SUMIFS(RAB!$F$14:$F$103,RAB!$C$14:$C$103,C994)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SUMIFS(RAB!$F$14:$F$103,RAB!$C$14:$C$103,C995)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SUMIFS(RAB!$F$14:$F$103,RAB!$C$14:$C$103,C996)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SUMIFS(RAB!$F$14:$F$103,RAB!$C$14:$C$103,C997)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SUMIFS(RAB!$F$14:$F$103,RAB!$C$14:$C$103,C998)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SUMIFS(RAB!$F$14:$F$103,RAB!$C$14:$C$103,C999)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SUMIFS(RAB!$F$14:$F$103,RAB!$C$14:$C$103,C1000)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SUMIFS(RAB!$F$14:$F$103,RAB!$C$14:$C$103,C1001)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SUMIFS(RAB!$F$14:$F$103,RAB!$C$14:$C$103,C1002)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SUMIFS(RAB!$F$14:$F$103,RAB!$C$14:$C$103,C1003)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SUMIFS(RAB!$F$14:$F$103,RAB!$C$14:$C$103,C1004)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SUMIFS(RAB!$F$14:$F$103,RAB!$C$14:$C$103,C1005)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SUMIFS(RAB!$F$14:$F$103,RAB!$C$14:$C$103,C1006)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SUMIFS(RAB!$F$14:$F$103,RAB!$C$14:$C$103,C1007)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SUMIFS(RAB!$F$14:$F$103,RAB!$C$14:$C$103,C1008)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SUMIFS(RAB!$F$14:$F$103,RAB!$C$14:$C$103,C1009)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SUMIFS(RAB!$F$14:$F$103,RAB!$C$14:$C$103,C1010)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SUMIFS(RAB!$F$14:$F$103,RAB!$C$14:$C$103,C1011)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SUMIFS(RAB!$F$14:$F$103,RAB!$C$14:$C$103,C1012)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SUMIFS(RAB!$F$14:$F$103,RAB!$C$14:$C$103,C1013)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SUMIFS(RAB!$F$14:$F$103,RAB!$C$14:$C$103,C1014)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SUMIFS(RAB!$F$14:$F$103,RAB!$C$14:$C$103,C1015)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SUMIFS(RAB!$F$14:$F$103,RAB!$C$14:$C$103,C1016)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SUMIFS(RAB!$F$14:$F$103,RAB!$C$14:$C$103,C1017)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SUMIFS(RAB!$F$14:$F$103,RAB!$C$14:$C$103,C1018)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SUMIFS(RAB!$F$14:$F$103,RAB!$C$14:$C$103,C1019)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SUMIFS(RAB!$F$14:$F$103,RAB!$C$14:$C$103,C1020)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SUMIFS(RAB!$F$14:$F$103,RAB!$C$14:$C$103,C1021)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SUMIFS(RAB!$F$14:$F$103,RAB!$C$14:$C$103,C1022)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SUMIFS(RAB!$F$14:$F$103,RAB!$C$14:$C$103,C1023)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SUMIFS(RAB!$F$14:$F$103,RAB!$C$14:$C$103,C1024)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SUMIFS(RAB!$F$14:$F$103,RAB!$C$14:$C$103,C1025)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SUMIFS(RAB!$F$14:$F$103,RAB!$C$14:$C$103,C1026)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SUMIFS(RAB!$F$14:$F$103,RAB!$C$14:$C$103,C1027)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SUMIFS(RAB!$F$14:$F$103,RAB!$C$14:$C$103,C1028)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SUMIFS(RAB!$F$14:$F$103,RAB!$C$14:$C$103,C1029)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SUMIFS(RAB!$F$14:$F$103,RAB!$C$14:$C$103,C1030)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SUMIFS(RAB!$F$14:$F$103,RAB!$C$14:$C$103,C1031)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SUMIFS(RAB!$F$14:$F$103,RAB!$C$14:$C$103,C1032)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SUMIFS(RAB!$F$14:$F$103,RAB!$C$14:$C$103,C1033)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SUMIFS(RAB!$F$14:$F$103,RAB!$C$14:$C$103,C1034)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SUMIFS(RAB!$F$14:$F$103,RAB!$C$14:$C$103,C1035)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SUMIFS(RAB!$F$14:$F$103,RAB!$C$14:$C$103,C1036)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SUMIFS(RAB!$F$14:$F$103,RAB!$C$14:$C$103,C1037)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SUMIFS(RAB!$F$14:$F$103,RAB!$C$14:$C$103,C1038)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SUMIFS(RAB!$F$14:$F$103,RAB!$C$14:$C$103,C1039)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SUMIFS(RAB!$F$14:$F$103,RAB!$C$14:$C$103,C1040)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SUMIFS(RAB!$F$14:$F$103,RAB!$C$14:$C$103,C1041)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SUMIFS(RAB!$F$14:$F$103,RAB!$C$14:$C$103,C1042)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SUMIFS(RAB!$F$14:$F$103,RAB!$C$14:$C$103,C1043)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SUMIFS(RAB!$F$14:$F$103,RAB!$C$14:$C$103,C1044)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SUMIFS(RAB!$F$14:$F$103,RAB!$C$14:$C$103,C1045)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SUMIFS(RAB!$F$14:$F$103,RAB!$C$14:$C$103,C1046)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SUMIFS(RAB!$F$14:$F$103,RAB!$C$14:$C$103,C1047)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SUMIFS(RAB!$F$14:$F$103,RAB!$C$14:$C$103,C1048)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SUMIFS(RAB!$F$14:$F$103,RAB!$C$14:$C$103,C1049)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SUMIFS(RAB!$F$14:$F$103,RAB!$C$14:$C$103,C1050)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SUMIFS(RAB!$F$14:$F$103,RAB!$C$14:$C$103,C1051)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SUMIFS(RAB!$F$14:$F$103,RAB!$C$14:$C$103,C1052)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SUMIFS(RAB!$F$14:$F$103,RAB!$C$14:$C$103,C1053)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SUMIFS(RAB!$F$14:$F$103,RAB!$C$14:$C$103,C1054)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SUMIFS(RAB!$F$14:$F$103,RAB!$C$14:$C$103,C1055)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SUMIFS(RAB!$F$14:$F$103,RAB!$C$14:$C$103,C1056)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SUMIFS(RAB!$F$14:$F$103,RAB!$C$14:$C$103,C1057)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SUMIFS(RAB!$F$14:$F$103,RAB!$C$14:$C$103,C1058)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SUMIFS(RAB!$F$14:$F$103,RAB!$C$14:$C$103,C1059)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SUMIFS(RAB!$F$14:$F$103,RAB!$C$14:$C$103,C1060)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SUMIFS(RAB!$F$14:$F$103,RAB!$C$14:$C$103,C1061)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SUMIFS(RAB!$F$14:$F$103,RAB!$C$14:$C$103,C1062)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SUMIFS(RAB!$F$14:$F$103,RAB!$C$14:$C$103,C1063)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SUMIFS(RAB!$F$14:$F$103,RAB!$C$14:$C$103,C1064)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SUMIFS(RAB!$F$14:$F$103,RAB!$C$14:$C$103,C1065)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SUMIFS(RAB!$F$14:$F$103,RAB!$C$14:$C$103,C1066)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SUMIFS(RAB!$F$14:$F$103,RAB!$C$14:$C$103,C1067)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SUMIFS(RAB!$F$14:$F$103,RAB!$C$14:$C$103,C1068)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SUMIFS(RAB!$F$14:$F$103,RAB!$C$14:$C$103,C1069)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SUMIFS(RAB!$F$14:$F$103,RAB!$C$14:$C$103,C1070)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SUMIFS(RAB!$F$14:$F$103,RAB!$C$14:$C$103,C1071)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SUMIFS(RAB!$F$14:$F$103,RAB!$C$14:$C$103,C1072)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SUMIFS(RAB!$F$14:$F$103,RAB!$C$14:$C$103,C1073)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SUMIFS(RAB!$F$14:$F$103,RAB!$C$14:$C$103,C1074)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SUMIFS(RAB!$F$14:$F$103,RAB!$C$14:$C$103,C1075)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SUMIFS(RAB!$F$14:$F$103,RAB!$C$14:$C$103,C1076)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SUMIFS(RAB!$F$14:$F$103,RAB!$C$14:$C$103,C1077)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SUMIFS(RAB!$F$14:$F$103,RAB!$C$14:$C$103,C1078)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SUMIFS(RAB!$F$14:$F$103,RAB!$C$14:$C$103,C1079)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SUMIFS(RAB!$F$14:$F$103,RAB!$C$14:$C$103,C1080)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SUMIFS(RAB!$F$14:$F$103,RAB!$C$14:$C$103,C1081)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SUMIFS(RAB!$F$14:$F$103,RAB!$C$14:$C$103,C1082)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SUMIFS(RAB!$F$14:$F$103,RAB!$C$14:$C$103,C1083)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SUMIFS(RAB!$F$14:$F$103,RAB!$C$14:$C$103,C1084)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SUMIFS(RAB!$F$14:$F$103,RAB!$C$14:$C$103,C1085)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SUMIFS(RAB!$F$14:$F$103,RAB!$C$14:$C$103,C1086)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SUMIFS(RAB!$F$14:$F$103,RAB!$C$14:$C$103,C1087)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SUMIFS(RAB!$F$14:$F$103,RAB!$C$14:$C$103,C1088)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SUMIFS(RAB!$F$14:$F$103,RAB!$C$14:$C$103,C1089)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SUMIFS(RAB!$F$14:$F$103,RAB!$C$14:$C$103,C1090)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SUMIFS(RAB!$F$14:$F$103,RAB!$C$14:$C$103,C1091)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SUMIFS(RAB!$F$14:$F$103,RAB!$C$14:$C$103,C1092)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SUMIFS(RAB!$F$14:$F$103,RAB!$C$14:$C$103,C1093)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SUMIFS(RAB!$F$14:$F$103,RAB!$C$14:$C$103,C1094)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SUMIFS(RAB!$F$14:$F$103,RAB!$C$14:$C$103,C1095)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SUMIFS(RAB!$F$14:$F$103,RAB!$C$14:$C$103,C1096)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SUMIFS(RAB!$F$14:$F$103,RAB!$C$14:$C$103,C1097)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SUMIFS(RAB!$F$14:$F$103,RAB!$C$14:$C$103,C1098)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SUMIFS(RAB!$F$14:$F$103,RAB!$C$14:$C$103,C1099)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SUMIFS(RAB!$F$14:$F$103,RAB!$C$14:$C$103,C1100)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SUMIFS(RAB!$F$14:$F$103,RAB!$C$14:$C$103,C1101)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SUMIFS(RAB!$F$14:$F$103,RAB!$C$14:$C$103,C1102)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SUMIFS(RAB!$F$14:$F$103,RAB!$C$14:$C$103,C1103)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SUMIFS(RAB!$F$14:$F$103,RAB!$C$14:$C$103,C1104)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SUMIFS(RAB!$F$14:$F$103,RAB!$C$14:$C$103,C1105)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SUMIFS(RAB!$F$14:$F$103,RAB!$C$14:$C$103,C1106)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SUMIFS(RAB!$F$14:$F$103,RAB!$C$14:$C$103,C1107)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SUMIFS(RAB!$F$14:$F$103,RAB!$C$14:$C$103,C1108)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SUMIFS(RAB!$F$14:$F$103,RAB!$C$14:$C$103,C1109)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SUMIFS(RAB!$F$14:$F$103,RAB!$C$14:$C$103,C1110)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SUMIFS(RAB!$F$14:$F$103,RAB!$C$14:$C$103,C1111)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SUMIFS(RAB!$F$14:$F$103,RAB!$C$14:$C$103,C1112)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SUMIFS(RAB!$F$14:$F$103,RAB!$C$14:$C$103,C1113)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SUMIFS(RAB!$F$14:$F$103,RAB!$C$14:$C$103,C1114)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SUMIFS(RAB!$F$14:$F$103,RAB!$C$14:$C$103,C1115)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SUMIFS(RAB!$F$14:$F$103,RAB!$C$14:$C$103,C1116)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SUMIFS(RAB!$F$14:$F$103,RAB!$C$14:$C$103,C1117)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SUMIFS(RAB!$F$14:$F$103,RAB!$C$14:$C$103,C1118)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SUMIFS(RAB!$F$14:$F$103,RAB!$C$14:$C$103,C1119)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SUMIFS(RAB!$F$14:$F$103,RAB!$C$14:$C$103,C1120)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SUMIFS(RAB!$F$14:$F$103,RAB!$C$14:$C$103,C1121)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SUMIFS(RAB!$F$14:$F$103,RAB!$C$14:$C$103,C1122)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SUMIFS(RAB!$F$14:$F$103,RAB!$C$14:$C$103,C1123)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SUMIFS(RAB!$F$14:$F$103,RAB!$C$14:$C$103,C1124)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SUMIFS(RAB!$F$14:$F$103,RAB!$C$14:$C$103,C1125)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SUMIFS(RAB!$F$14:$F$103,RAB!$C$14:$C$103,C1126)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SUMIFS(RAB!$F$14:$F$103,RAB!$C$14:$C$103,C1127)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SUMIFS(RAB!$F$14:$F$103,RAB!$C$14:$C$103,C1128)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SUMIFS(RAB!$F$14:$F$103,RAB!$C$14:$C$103,C1129)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SUMIFS(RAB!$F$14:$F$103,RAB!$C$14:$C$103,C1130)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SUMIFS(RAB!$F$14:$F$103,RAB!$C$14:$C$103,C1131)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SUMIFS(RAB!$F$14:$F$103,RAB!$C$14:$C$103,C1132)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SUMIFS(RAB!$F$14:$F$103,RAB!$C$14:$C$103,C1133)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SUMIFS(RAB!$F$14:$F$103,RAB!$C$14:$C$103,C1134)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SUMIFS(RAB!$F$14:$F$103,RAB!$C$14:$C$103,C1135)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SUMIFS(RAB!$F$14:$F$103,RAB!$C$14:$C$103,C1136)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SUMIFS(RAB!$F$14:$F$103,RAB!$C$14:$C$103,C1137)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SUMIFS(RAB!$F$14:$F$103,RAB!$C$14:$C$103,C1138)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SUMIFS(RAB!$F$14:$F$103,RAB!$C$14:$C$103,C1139)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SUMIFS(RAB!$F$14:$F$103,RAB!$C$14:$C$103,C1140)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SUMIFS(RAB!$F$14:$F$103,RAB!$C$14:$C$103,C1141)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SUMIFS(RAB!$F$14:$F$103,RAB!$C$14:$C$103,C1142)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SUMIFS(RAB!$F$14:$F$103,RAB!$C$14:$C$103,C1143)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SUMIFS(RAB!$F$14:$F$103,RAB!$C$14:$C$103,C1144)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SUMIFS(RAB!$F$14:$F$103,RAB!$C$14:$C$103,C1145)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SUMIFS(RAB!$F$14:$F$103,RAB!$C$14:$C$103,C1146)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SUMIFS(RAB!$F$14:$F$103,RAB!$C$14:$C$103,C1147)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SUMIFS(RAB!$F$14:$F$103,RAB!$C$14:$C$103,C1148)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SUMIFS(RAB!$F$14:$F$103,RAB!$C$14:$C$103,C1149)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SUMIFS(RAB!$F$14:$F$103,RAB!$C$14:$C$103,C1150)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SUMIFS(RAB!$F$14:$F$103,RAB!$C$14:$C$103,C1151)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SUMIFS(RAB!$F$14:$F$103,RAB!$C$14:$C$103,C1152)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SUMIFS(RAB!$F$14:$F$103,RAB!$C$14:$C$103,C1153)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SUMIFS(RAB!$F$14:$F$103,RAB!$C$14:$C$103,C1154)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SUMIFS(RAB!$F$14:$F$103,RAB!$C$14:$C$103,C1155)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SUMIFS(RAB!$F$14:$F$103,RAB!$C$14:$C$103,C1156)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SUMIFS(RAB!$F$14:$F$103,RAB!$C$14:$C$103,C1157)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SUMIFS(RAB!$F$14:$F$103,RAB!$C$14:$C$103,C1158)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SUMIFS(RAB!$F$14:$F$103,RAB!$C$14:$C$103,C1159)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SUMIFS(RAB!$F$14:$F$103,RAB!$C$14:$C$103,C1160)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SUMIFS(RAB!$F$14:$F$103,RAB!$C$14:$C$103,C1161)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SUMIFS(RAB!$F$14:$F$103,RAB!$C$14:$C$103,C1162)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SUMIFS(RAB!$F$14:$F$103,RAB!$C$14:$C$103,C1163)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SUMIFS(RAB!$F$14:$F$103,RAB!$C$14:$C$103,C1164)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SUMIFS(RAB!$F$14:$F$103,RAB!$C$14:$C$103,C1165)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SUMIFS(RAB!$F$14:$F$103,RAB!$C$14:$C$103,C1166)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SUMIFS(RAB!$F$14:$F$103,RAB!$C$14:$C$103,C1167)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SUMIFS(RAB!$F$14:$F$103,RAB!$C$14:$C$103,C1168)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SUMIFS(RAB!$F$14:$F$103,RAB!$C$14:$C$103,C1169)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SUMIFS(RAB!$F$14:$F$103,RAB!$C$14:$C$103,C1170)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SUMIFS(RAB!$F$14:$F$103,RAB!$C$14:$C$103,C1171)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SUMIFS(RAB!$F$14:$F$103,RAB!$C$14:$C$103,C1172)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SUMIFS(RAB!$F$14:$F$103,RAB!$C$14:$C$103,C1173)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SUMIFS(RAB!$F$14:$F$103,RAB!$C$14:$C$103,C1174)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SUMIFS(RAB!$F$14:$F$103,RAB!$C$14:$C$103,C1175)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SUMIFS(RAB!$F$14:$F$103,RAB!$C$14:$C$103,C1176)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SUMIFS(RAB!$F$14:$F$103,RAB!$C$14:$C$103,C1177)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SUMIFS(RAB!$F$14:$F$103,RAB!$C$14:$C$103,C1178)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SUMIFS(RAB!$F$14:$F$103,RAB!$C$14:$C$103,C1179)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SUMIFS(RAB!$F$14:$F$103,RAB!$C$14:$C$103,C1180)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SUMIFS(RAB!$F$14:$F$103,RAB!$C$14:$C$103,C1181)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SUMIFS(RAB!$F$14:$F$103,RAB!$C$14:$C$103,C1182)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SUMIFS(RAB!$F$14:$F$103,RAB!$C$14:$C$103,C1183)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SUMIFS(RAB!$F$14:$F$103,RAB!$C$14:$C$103,C1184)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SUMIFS(RAB!$F$14:$F$103,RAB!$C$14:$C$103,C1185)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SUMIFS(RAB!$F$14:$F$103,RAB!$C$14:$C$103,C1186)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SUMIFS(RAB!$F$14:$F$103,RAB!$C$14:$C$103,C1187)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SUMIFS(RAB!$F$14:$F$103,RAB!$C$14:$C$103,C1188)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SUMIFS(RAB!$F$14:$F$103,RAB!$C$14:$C$103,C1189)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SUMIFS(RAB!$F$14:$F$103,RAB!$C$14:$C$103,C1190)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SUMIFS(RAB!$F$14:$F$103,RAB!$C$14:$C$103,C1191)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SUMIFS(RAB!$F$14:$F$103,RAB!$C$14:$C$103,C1192)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SUMIFS(RAB!$F$14:$F$103,RAB!$C$14:$C$103,C1193)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SUMIFS(RAB!$F$14:$F$103,RAB!$C$14:$C$103,C1194)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SUMIFS(RAB!$F$14:$F$103,RAB!$C$14:$C$103,C1195)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SUMIFS(RAB!$F$14:$F$103,RAB!$C$14:$C$103,C1196)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SUMIFS(RAB!$F$14:$F$103,RAB!$C$14:$C$103,C1197)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SUMIFS(RAB!$F$14:$F$103,RAB!$C$14:$C$103,C1198)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SUMIFS(RAB!$F$14:$F$103,RAB!$C$14:$C$103,C1199)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SUMIFS(RAB!$F$14:$F$103,RAB!$C$14:$C$103,C1200)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SUMIFS(RAB!$F$14:$F$103,RAB!$C$14:$C$103,C1201)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SUMIFS(RAB!$F$14:$F$103,RAB!$C$14:$C$103,C1202)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SUMIFS(RAB!$F$14:$F$103,RAB!$C$14:$C$103,C1203)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SUMIFS(RAB!$F$14:$F$103,RAB!$C$14:$C$103,C1204)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SUMIFS(RAB!$F$14:$F$103,RAB!$C$14:$C$103,C1205)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SUMIFS(RAB!$F$14:$F$103,RAB!$C$14:$C$103,C1206)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SUMIFS(RAB!$F$14:$F$103,RAB!$C$14:$C$103,C1207)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SUMIFS(RAB!$F$14:$F$103,RAB!$C$14:$C$103,C1208)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SUMIFS(RAB!$F$14:$F$103,RAB!$C$14:$C$103,C1209)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SUMIFS(RAB!$F$14:$F$103,RAB!$C$14:$C$103,C1210)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SUMIFS(RAB!$F$14:$F$103,RAB!$C$14:$C$103,C1211)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SUMIFS(RAB!$F$14:$F$103,RAB!$C$14:$C$103,C1212)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SUMIFS(RAB!$F$14:$F$103,RAB!$C$14:$C$103,C1213)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SUMIFS(RAB!$F$14:$F$103,RAB!$C$14:$C$103,C1214)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SUMIFS(RAB!$F$14:$F$103,RAB!$C$14:$C$103,C1215)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SUMIFS(RAB!$F$14:$F$103,RAB!$C$14:$C$103,C1216)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SUMIFS(RAB!$F$14:$F$103,RAB!$C$14:$C$103,C1217)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SUMIFS(RAB!$F$14:$F$103,RAB!$C$14:$C$103,C1218)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SUMIFS(RAB!$F$14:$F$103,RAB!$C$14:$C$103,C1219)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SUMIFS(RAB!$F$14:$F$103,RAB!$C$14:$C$103,C1220)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SUMIFS(RAB!$F$14:$F$103,RAB!$C$14:$C$103,C1221)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SUMIFS(RAB!$F$14:$F$103,RAB!$C$14:$C$103,C1222)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SUMIFS(RAB!$F$14:$F$103,RAB!$C$14:$C$103,C1223)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SUMIFS(RAB!$F$14:$F$103,RAB!$C$14:$C$103,C1224)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SUMIFS(RAB!$F$14:$F$103,RAB!$C$14:$C$103,C1225)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SUMIFS(RAB!$F$14:$F$103,RAB!$C$14:$C$103,C1226)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SUMIFS(RAB!$F$14:$F$103,RAB!$C$14:$C$103,C1227)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SUMIFS(RAB!$F$14:$F$103,RAB!$C$14:$C$103,C1228)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SUMIFS(RAB!$F$14:$F$103,RAB!$C$14:$C$103,C1229)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SUMIFS(RAB!$F$14:$F$103,RAB!$C$14:$C$103,C1230)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SUMIFS(RAB!$F$14:$F$103,RAB!$C$14:$C$103,C1231)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SUMIFS(RAB!$F$14:$F$103,RAB!$C$14:$C$103,C1232)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SUMIFS(RAB!$F$14:$F$103,RAB!$C$14:$C$103,C1233)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SUMIFS(RAB!$F$14:$F$103,RAB!$C$14:$C$103,C1234)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SUMIFS(RAB!$F$14:$F$103,RAB!$C$14:$C$103,C1235)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SUMIFS(RAB!$F$14:$F$103,RAB!$C$14:$C$103,C1236)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SUMIFS(RAB!$F$14:$F$103,RAB!$C$14:$C$103,C1237)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SUMIFS(RAB!$F$14:$F$103,RAB!$C$14:$C$103,C1238)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SUMIFS(RAB!$F$14:$F$103,RAB!$C$14:$C$103,C1239)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SUMIFS(RAB!$F$14:$F$103,RAB!$C$14:$C$103,C1240)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SUMIFS(RAB!$F$14:$F$103,RAB!$C$14:$C$103,C1241)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SUMIFS(RAB!$F$14:$F$103,RAB!$C$14:$C$103,C1242)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SUMIFS(RAB!$F$14:$F$103,RAB!$C$14:$C$103,C1243)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SUMIFS(RAB!$F$14:$F$103,RAB!$C$14:$C$103,C1244)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SUMIFS(RAB!$F$14:$F$103,RAB!$C$14:$C$103,C1245)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SUMIFS(RAB!$F$14:$F$103,RAB!$C$14:$C$103,C1246)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SUMIFS(RAB!$F$14:$F$103,RAB!$C$14:$C$103,C1247)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SUMIFS(RAB!$F$14:$F$103,RAB!$C$14:$C$103,C1248)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SUMIFS(RAB!$F$14:$F$103,RAB!$C$14:$C$103,C1249)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SUMIFS(RAB!$F$14:$F$103,RAB!$C$14:$C$103,C1250)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SUMIFS(RAB!$F$14:$F$103,RAB!$C$14:$C$103,C1251)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SUMIFS(RAB!$F$14:$F$103,RAB!$C$14:$C$103,C1252)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SUMIFS(RAB!$F$14:$F$103,RAB!$C$14:$C$103,C1253)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SUMIFS(RAB!$F$14:$F$103,RAB!$C$14:$C$103,C1254)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SUMIFS(RAB!$F$14:$F$103,RAB!$C$14:$C$103,C1255)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SUMIFS(RAB!$F$14:$F$103,RAB!$C$14:$C$103,C1256)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SUMIFS(RAB!$F$14:$F$103,RAB!$C$14:$C$103,C1257)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SUMIFS(RAB!$F$14:$F$103,RAB!$C$14:$C$103,C1258)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SUMIFS(RAB!$F$14:$F$103,RAB!$C$14:$C$103,C1259)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SUMIFS(RAB!$F$14:$F$103,RAB!$C$14:$C$103,C1260)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SUMIFS(RAB!$F$14:$F$103,RAB!$C$14:$C$103,C1261)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SUMIFS(RAB!$F$14:$F$103,RAB!$C$14:$C$103,C1262)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SUMIFS(RAB!$F$14:$F$103,RAB!$C$14:$C$103,C1263)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SUMIFS(RAB!$F$14:$F$103,RAB!$C$14:$C$103,C1264)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SUMIFS(RAB!$F$14:$F$103,RAB!$C$14:$C$103,C1265)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SUMIFS(RAB!$F$14:$F$103,RAB!$C$14:$C$103,C1266)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SUMIFS(RAB!$F$14:$F$103,RAB!$C$14:$C$103,C1267)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SUMIFS(RAB!$F$14:$F$103,RAB!$C$14:$C$103,C1268)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SUMIFS(RAB!$F$14:$F$103,RAB!$C$14:$C$103,C1269)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SUMIFS(RAB!$F$14:$F$103,RAB!$C$14:$C$103,C1270)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SUMIFS(RAB!$F$14:$F$103,RAB!$C$14:$C$103,C1271)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SUMIFS(RAB!$F$14:$F$103,RAB!$C$14:$C$103,C1272)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SUMIFS(RAB!$F$14:$F$103,RAB!$C$14:$C$103,C1273)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SUMIFS(RAB!$F$14:$F$103,RAB!$C$14:$C$103,C1274)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SUMIFS(RAB!$F$14:$F$103,RAB!$C$14:$C$103,C1275)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SUMIFS(RAB!$F$14:$F$103,RAB!$C$14:$C$103,C1276)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SUMIFS(RAB!$F$14:$F$103,RAB!$C$14:$C$103,C1277)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SUMIFS(RAB!$F$14:$F$103,RAB!$C$14:$C$103,C1278)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SUMIFS(RAB!$F$14:$F$103,RAB!$C$14:$C$103,C1279)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SUMIFS(RAB!$F$14:$F$103,RAB!$C$14:$C$103,C1280)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SUMIFS(RAB!$F$14:$F$103,RAB!$C$14:$C$103,C1281)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SUMIFS(RAB!$F$14:$F$103,RAB!$C$14:$C$103,C1282)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SUMIFS(RAB!$F$14:$F$103,RAB!$C$14:$C$103,C1283)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SUMIFS(RAB!$F$14:$F$103,RAB!$C$14:$C$103,C1284)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SUMIFS(RAB!$F$14:$F$103,RAB!$C$14:$C$103,C1285)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SUMIFS(RAB!$F$14:$F$103,RAB!$C$14:$C$103,C1286)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SUMIFS(RAB!$F$14:$F$103,RAB!$C$14:$C$103,C1287)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SUMIFS(RAB!$F$14:$F$103,RAB!$C$14:$C$103,C1288)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SUMIFS(RAB!$F$14:$F$103,RAB!$C$14:$C$103,C1289)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SUMIFS(RAB!$F$14:$F$103,RAB!$C$14:$C$103,C1290)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SUMIFS(RAB!$F$14:$F$103,RAB!$C$14:$C$103,C1291)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SUMIFS(RAB!$F$14:$F$103,RAB!$C$14:$C$103,C1292)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SUMIFS(RAB!$F$14:$F$103,RAB!$C$14:$C$103,C1293)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SUMIFS(RAB!$F$14:$F$103,RAB!$C$14:$C$103,C1294)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SUMIFS(RAB!$F$14:$F$103,RAB!$C$14:$C$103,C1295)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SUMIFS(RAB!$F$14:$F$103,RAB!$C$14:$C$103,C1296)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SUMIFS(RAB!$F$14:$F$103,RAB!$C$14:$C$103,C1297)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SUMIFS(RAB!$F$14:$F$103,RAB!$C$14:$C$103,C1298)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SUMIFS(RAB!$F$14:$F$103,RAB!$C$14:$C$103,C1299)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SUMIFS(RAB!$F$14:$F$103,RAB!$C$14:$C$103,C1300)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SUMIFS(RAB!$F$14:$F$103,RAB!$C$14:$C$103,C1301)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SUMIFS(RAB!$F$14:$F$103,RAB!$C$14:$C$103,C1302)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SUMIFS(RAB!$F$14:$F$103,RAB!$C$14:$C$103,C1303)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SUMIFS(RAB!$F$14:$F$103,RAB!$C$14:$C$103,C1304)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SUMIFS(RAB!$F$14:$F$103,RAB!$C$14:$C$103,C1305)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SUMIFS(RAB!$F$14:$F$103,RAB!$C$14:$C$103,C1306)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SUMIFS(RAB!$F$14:$F$103,RAB!$C$14:$C$103,C1307)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SUMIFS(RAB!$F$14:$F$103,RAB!$C$14:$C$103,C1308)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SUMIFS(RAB!$F$14:$F$103,RAB!$C$14:$C$103,C1309)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SUMIFS(RAB!$F$14:$F$103,RAB!$C$14:$C$103,C1310)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SUMIFS(RAB!$F$14:$F$103,RAB!$C$14:$C$103,C1311)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SUMIFS(RAB!$F$14:$F$103,RAB!$C$14:$C$103,C1312)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SUMIFS(RAB!$F$14:$F$103,RAB!$C$14:$C$103,C1313)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SUMIFS(RAB!$F$14:$F$103,RAB!$C$14:$C$103,C1314)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SUMIFS(RAB!$F$14:$F$103,RAB!$C$14:$C$103,C1315)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SUMIFS(RAB!$F$14:$F$103,RAB!$C$14:$C$103,C1316)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SUMIFS(RAB!$F$14:$F$103,RAB!$C$14:$C$103,C1317)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SUMIFS(RAB!$F$14:$F$103,RAB!$C$14:$C$103,C1318)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SUMIFS(RAB!$F$14:$F$103,RAB!$C$14:$C$103,C1319)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SUMIFS(RAB!$F$14:$F$103,RAB!$C$14:$C$103,C1320)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6" sqref="F2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1127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LAS SUTIYOSO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WILALUNG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7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40600000</v>
      </c>
      <c r="J16" s="42">
        <f t="shared" ca="1" si="3"/>
        <v>0</v>
      </c>
      <c r="K16" s="43">
        <f t="shared" ca="1" si="0"/>
        <v>40600000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40600000</v>
      </c>
      <c r="J38" s="55">
        <f ca="1">SUM(J14:J37)</f>
        <v>0</v>
      </c>
      <c r="K38" s="55">
        <f ca="1">SUM(K14:K37)</f>
        <v>40600000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4060000</v>
      </c>
      <c r="J39" s="60">
        <f ca="1">J38*0.1</f>
        <v>0</v>
      </c>
      <c r="K39" s="60">
        <f ca="1">K38*0.1</f>
        <v>4060000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44660000</v>
      </c>
      <c r="J40" s="61">
        <f ca="1">SUM(J38:J39)</f>
        <v>0</v>
      </c>
      <c r="K40" s="61">
        <f ca="1">SUM(K38:K39)</f>
        <v>44660000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8"/>
      <c r="I45" s="538"/>
      <c r="J45" s="539"/>
      <c r="K45" s="53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8"/>
      <c r="I46" s="538"/>
      <c r="J46" s="539"/>
      <c r="K46" s="53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8"/>
      <c r="I47" s="538"/>
      <c r="J47" s="539"/>
      <c r="K47" s="53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8"/>
      <c r="I52" s="538"/>
      <c r="J52" s="539"/>
      <c r="K52" s="53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SUMIFS(RAB!$F$14:$F$103,RAB!$C$14:$C$103,'REKAP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SUMIFS(RAB!$F$14:$F$103,RAB!$C$14:$C$103,'REKAP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SUMIFS(RAB!$F$14:$F$103,RAB!$C$14:$C$103,'REKAP TIANG'!C59)</f>
        <v>7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SUMIFS(RAB!$F$14:$F$103,RAB!$C$14:$C$103,'REKAP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SUMIFS(RAB!$F$14:$F$103,RAB!$C$14:$C$103,'REKAP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SUMIFS(RAB!$F$14:$F$103,RAB!$C$14:$C$103,'REKAP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SUMIFS(RAB!$F$14:$F$103,RAB!$C$14:$C$103,'REKAP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SUMIFS(RAB!$F$14:$F$103,RAB!$C$14:$C$103,'REKAP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SUMIFS(RAB!$F$14:$F$103,RAB!$C$14:$C$103,'REKAP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SUMIFS(RAB!$F$14:$F$103,RAB!$C$14:$C$103,'REKAP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SUMIFS(RAB!$F$14:$F$103,RAB!$C$14:$C$103,'REKAP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SUMIFS(RAB!$F$14:$F$103,RAB!$C$14:$C$103,'REKAP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SUMIFS(RAB!$F$14:$F$103,RAB!$C$14:$C$103,'REKAP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SUMIFS(RAB!$F$14:$F$103,RAB!$C$14:$C$103,'REKAP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SUMIFS(RAB!$F$14:$F$103,RAB!$C$14:$C$103,'REKAP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SUMIFS(RAB!$F$14:$F$103,RAB!$C$14:$C$103,'REKAP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SUMIFS(RAB!$F$14:$F$103,RAB!$C$14:$C$103,'REKAP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SUMIFS(RAB!$F$14:$F$103,RAB!$C$14:$C$103,'REKAP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SUMIFS(RAB!$F$14:$F$103,RAB!$C$14:$C$103,'REKAP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SUMIFS(RAB!$F$14:$F$103,RAB!$C$14:$C$103,'REKAP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3" t="s">
        <v>1034</v>
      </c>
      <c r="C4" s="553"/>
      <c r="D4" s="553"/>
      <c r="E4" s="553"/>
      <c r="F4" s="553"/>
      <c r="G4" s="553"/>
      <c r="H4" s="553"/>
      <c r="I4" s="553"/>
      <c r="J4" s="553"/>
      <c r="K4" s="55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LAS SUTIYOSO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WILALUNG KEC.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4" t="s">
        <v>0</v>
      </c>
      <c r="C11" s="556" t="s">
        <v>1</v>
      </c>
      <c r="D11" s="559" t="s">
        <v>42</v>
      </c>
      <c r="E11" s="559" t="s">
        <v>43</v>
      </c>
      <c r="F11" s="559" t="s">
        <v>2</v>
      </c>
      <c r="G11" s="560" t="s">
        <v>41</v>
      </c>
      <c r="H11" s="559" t="s">
        <v>3</v>
      </c>
      <c r="I11" s="559"/>
      <c r="J11" s="559"/>
      <c r="K11" s="563"/>
      <c r="M11" s="33"/>
      <c r="N11" s="33"/>
      <c r="O11" s="33"/>
      <c r="P11" s="33"/>
      <c r="R11" s="34"/>
      <c r="S11" s="74"/>
      <c r="T11" s="74"/>
    </row>
    <row r="12" spans="1:21" ht="15" customHeight="1">
      <c r="B12" s="555"/>
      <c r="C12" s="557"/>
      <c r="D12" s="549"/>
      <c r="E12" s="549"/>
      <c r="F12" s="549"/>
      <c r="G12" s="561"/>
      <c r="H12" s="551" t="s">
        <v>46</v>
      </c>
      <c r="I12" s="551" t="s">
        <v>5</v>
      </c>
      <c r="J12" s="549" t="s">
        <v>47</v>
      </c>
      <c r="K12" s="55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5"/>
      <c r="C13" s="558"/>
      <c r="D13" s="549"/>
      <c r="E13" s="549"/>
      <c r="F13" s="549"/>
      <c r="G13" s="562"/>
      <c r="H13" s="552"/>
      <c r="I13" s="552"/>
      <c r="J13" s="549"/>
      <c r="K13" s="55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525</v>
      </c>
      <c r="G19" s="41">
        <f ca="1">IF(ISERROR(OFFSET('HARGA SATUAN'!$I$6,MATCH(C19,'HARGA SATUAN'!$C$7:$C$1492,0),0)),"",OFFSET('HARGA SATUAN'!$I$6,MATCH(C19,'HARGA SATUAN'!$C$7:$C$1492,0),0))</f>
        <v>54500</v>
      </c>
      <c r="H19" s="42">
        <f t="shared" ca="1" si="1"/>
        <v>28612500</v>
      </c>
      <c r="I19" s="42">
        <f t="shared" ca="1" si="2"/>
        <v>0</v>
      </c>
      <c r="J19" s="42">
        <f t="shared" ca="1" si="3"/>
        <v>0</v>
      </c>
      <c r="K19" s="43">
        <f t="shared" ca="1" si="0"/>
        <v>28612500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100599600</v>
      </c>
      <c r="I168" s="55">
        <f ca="1">SUM(I14:I167)</f>
        <v>0</v>
      </c>
      <c r="J168" s="55">
        <f ca="1">SUM(J14:J167)</f>
        <v>0</v>
      </c>
      <c r="K168" s="55">
        <f ca="1">SUM(K14:K167)</f>
        <v>100599600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10059960</v>
      </c>
      <c r="I169" s="60">
        <f ca="1">I168*0.1</f>
        <v>0</v>
      </c>
      <c r="J169" s="60">
        <f ca="1">J168*0.1</f>
        <v>0</v>
      </c>
      <c r="K169" s="60">
        <f ca="1">K168*0.1</f>
        <v>10059960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110659560</v>
      </c>
      <c r="I170" s="78">
        <f ca="1">SUM(I168:I169)</f>
        <v>0</v>
      </c>
      <c r="J170" s="61">
        <f ca="1">SUM(J168:J169)</f>
        <v>0</v>
      </c>
      <c r="K170" s="61">
        <f ca="1">SUM(K168:K169)</f>
        <v>110659560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8"/>
      <c r="I175" s="538"/>
      <c r="J175" s="539"/>
      <c r="K175" s="53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8"/>
      <c r="I176" s="538"/>
      <c r="J176" s="539"/>
      <c r="K176" s="53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8"/>
      <c r="I177" s="538"/>
      <c r="J177" s="539"/>
      <c r="K177" s="53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8"/>
      <c r="I182" s="538"/>
      <c r="J182" s="539"/>
      <c r="K182" s="53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SUMIFS(RAB!$F$14:$F$103,RAB!$C$14:$C$103,C224)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SUMIFS(RAB!$F$14:$F$103,RAB!$C$14:$C$103,C225)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SUMIFS(RAB!$F$14:$F$103,RAB!$C$14:$C$103,C226)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SUMIFS(RAB!$F$14:$F$103,RAB!$C$14:$C$103,C227)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SUMIFS(RAB!$F$14:$F$103,RAB!$C$14:$C$103,C228)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SUMIFS(RAB!$F$14:$F$103,RAB!$C$14:$C$103,C229)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SUMIFS(RAB!$F$14:$F$103,RAB!$C$14:$C$103,C230)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SUMIFS(RAB!$F$14:$F$103,RAB!$C$14:$C$103,C231)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SUMIFS(RAB!$F$14:$F$103,RAB!$C$14:$C$103,C232)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SUMIFS(RAB!$F$14:$F$103,RAB!$C$14:$C$103,C233)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SUMIFS(RAB!$F$14:$F$103,RAB!$C$14:$C$103,C234)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SUMIFS(RAB!$F$14:$F$103,RAB!$C$14:$C$103,C235)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SUMIFS(RAB!$F$14:$F$103,RAB!$C$14:$C$103,C236)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SUMIFS(RAB!$F$14:$F$103,RAB!$C$14:$C$103,C237)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SUMIFS(RAB!$F$14:$F$103,RAB!$C$14:$C$103,C238)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SUMIFS(RAB!$F$14:$F$103,RAB!$C$14:$C$103,C239)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SUMIFS(RAB!$F$14:$F$103,RAB!$C$14:$C$103,C240)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SUMIFS(RAB!$F$14:$F$103,RAB!$C$14:$C$103,C241)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SUMIFS(RAB!$F$14:$F$103,RAB!$C$14:$C$103,C242)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SUMIFS(RAB!$F$14:$F$103,RAB!$C$14:$C$103,C243)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SUMIFS(RAB!$F$14:$F$103,RAB!$C$14:$C$103,C244)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SUMIFS(RAB!$F$14:$F$103,RAB!$C$14:$C$103,C245)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SUMIFS(RAB!$F$14:$F$103,RAB!$C$14:$C$103,C246)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SUMIFS(RAB!$F$14:$F$103,RAB!$C$14:$C$103,C247)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SUMIFS(RAB!$F$14:$F$103,RAB!$C$14:$C$103,C248)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SUMIFS(RAB!$F$14:$F$103,RAB!$C$14:$C$103,C249)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SUMIFS(RAB!$F$14:$F$103,RAB!$C$14:$C$103,C250)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SUMIFS(RAB!$F$14:$F$103,RAB!$C$14:$C$103,C251)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SUMIFS(RAB!$F$14:$F$103,RAB!$C$14:$C$103,C252)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SUMIFS(RAB!$F$14:$F$103,RAB!$C$14:$C$103,C253)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SUMIFS(RAB!$F$14:$F$103,RAB!$C$14:$C$103,C254)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SUMIFS(RAB!$F$14:$F$103,RAB!$C$14:$C$103,C255)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SUMIFS(RAB!$F$14:$F$103,RAB!$C$14:$C$103,C256)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SUMIFS(RAB!$F$14:$F$103,RAB!$C$14:$C$103,C257)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SUMIFS(RAB!$F$14:$F$103,RAB!$C$14:$C$103,C258)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SUMIFS(RAB!$F$14:$F$103,RAB!$C$14:$C$103,C259)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SUMIFS(RAB!$F$14:$F$103,RAB!$C$14:$C$103,C260)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SUMIFS(RAB!$F$14:$F$103,RAB!$C$14:$C$103,C261)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SUMIFS(RAB!$F$14:$F$103,RAB!$C$14:$C$103,C262)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SUMIFS(RAB!$F$14:$F$103,RAB!$C$14:$C$103,C263)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SUMIFS(RAB!$F$14:$F$103,RAB!$C$14:$C$103,C264)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SUMIFS(RAB!$F$14:$F$103,RAB!$C$14:$C$103,C265)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SUMIFS(RAB!$F$14:$F$103,RAB!$C$14:$C$103,C266)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SUMIFS(RAB!$F$14:$F$103,RAB!$C$14:$C$103,C267)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SUMIFS(RAB!$F$14:$F$103,RAB!$C$14:$C$103,C268)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SUMIFS(RAB!$F$14:$F$103,RAB!$C$14:$C$103,C269)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SUMIFS(RAB!$F$14:$F$103,RAB!$C$14:$C$103,C270)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SUMIFS(RAB!$F$14:$F$103,RAB!$C$14:$C$103,C271)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SUMIFS(RAB!$F$14:$F$103,RAB!$C$14:$C$103,C272)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SUMIFS(RAB!$F$14:$F$103,RAB!$C$14:$C$103,C273)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SUMIFS(RAB!$F$14:$F$103,RAB!$C$14:$C$103,C274)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SUMIFS(RAB!$F$14:$F$103,RAB!$C$14:$C$103,C275)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SUMIFS(RAB!$F$14:$F$103,RAB!$C$14:$C$103,C276)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SUMIFS(RAB!$F$14:$F$103,RAB!$C$14:$C$103,C277)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SUMIFS(RAB!$F$14:$F$103,RAB!$C$14:$C$103,C278)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SUMIFS(RAB!$F$14:$F$103,RAB!$C$14:$C$103,C279)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SUMIFS(RAB!$F$14:$F$103,RAB!$C$14:$C$103,C280)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SUMIFS(RAB!$F$14:$F$103,RAB!$C$14:$C$103,C281)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SUMIFS(RAB!$F$14:$F$103,RAB!$C$14:$C$103,C282)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SUMIFS(RAB!$F$14:$F$103,RAB!$C$14:$C$103,C283)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SUMIFS(RAB!$F$14:$F$103,RAB!$C$14:$C$103,C284)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SUMIFS(RAB!$F$14:$F$103,RAB!$C$14:$C$103,C285)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SUMIFS(RAB!$F$14:$F$103,RAB!$C$14:$C$103,C286)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SUMIFS(RAB!$F$14:$F$103,RAB!$C$14:$C$103,C287)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SUMIFS(RAB!$F$14:$F$103,RAB!$C$14:$C$103,C288)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SUMIFS(RAB!$F$14:$F$103,RAB!$C$14:$C$103,C289)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SUMIFS(RAB!$F$14:$F$103,RAB!$C$14:$C$103,C290)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SUMIFS(RAB!$F$14:$F$103,RAB!$C$14:$C$103,C291)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SUMIFS(RAB!$F$14:$F$103,RAB!$C$14:$C$103,C292)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SUMIFS(RAB!$F$14:$F$103,RAB!$C$14:$C$103,C293)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SUMIFS(RAB!$F$14:$F$103,RAB!$C$14:$C$103,C294)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SUMIFS(RAB!$F$14:$F$103,RAB!$C$14:$C$103,C295)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SUMIFS(RAB!$F$14:$F$103,RAB!$C$14:$C$103,C296)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SUMIFS(RAB!$F$14:$F$103,RAB!$C$14:$C$103,C297)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SUMIFS(RAB!$F$14:$F$103,RAB!$C$14:$C$103,C298)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SUMIFS(RAB!$F$14:$F$103,RAB!$C$14:$C$103,C299)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SUMIFS(RAB!$F$14:$F$103,RAB!$C$14:$C$103,C300)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SUMIFS(RAB!$F$14:$F$103,RAB!$C$14:$C$103,C301)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SUMIFS(RAB!$F$14:$F$103,RAB!$C$14:$C$103,C302)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SUMIFS(RAB!$F$14:$F$103,RAB!$C$14:$C$103,C303)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SUMIFS(RAB!$F$14:$F$103,RAB!$C$14:$C$103,C304)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SUMIFS(RAB!$F$14:$F$103,RAB!$C$14:$C$103,C305)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SUMIFS(RAB!$F$14:$F$103,RAB!$C$14:$C$103,C306)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SUMIFS(RAB!$F$14:$F$103,RAB!$C$14:$C$103,C307)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SUMIFS(RAB!$F$14:$F$103,RAB!$C$14:$C$103,C308)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SUMIFS(RAB!$F$14:$F$103,RAB!$C$14:$C$103,C309)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SUMIFS(RAB!$F$14:$F$103,RAB!$C$14:$C$103,C310)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SUMIFS(RAB!$F$14:$F$103,RAB!$C$14:$C$103,C311)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SUMIFS(RAB!$F$14:$F$103,RAB!$C$14:$C$103,C312)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SUMIFS(RAB!$F$14:$F$103,RAB!$C$14:$C$103,C313)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SUMIFS(RAB!$F$14:$F$103,RAB!$C$14:$C$103,C314)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SUMIFS(RAB!$F$14:$F$103,RAB!$C$14:$C$103,C315)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SUMIFS(RAB!$F$14:$F$103,RAB!$C$14:$C$103,C316)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SUMIFS(RAB!$F$14:$F$103,RAB!$C$14:$C$103,C317)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SUMIFS(RAB!$F$14:$F$103,RAB!$C$14:$C$103,C318)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SUMIFS(RAB!$F$14:$F$103,RAB!$C$14:$C$103,C319)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SUMIFS(RAB!$F$14:$F$103,RAB!$C$14:$C$103,C320)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SUMIFS(RAB!$F$14:$F$103,RAB!$C$14:$C$103,C321)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SUMIFS(RAB!$F$14:$F$103,RAB!$C$14:$C$103,C322)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SUMIFS(RAB!$F$14:$F$103,RAB!$C$14:$C$103,C323)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SUMIFS(RAB!$F$14:$F$103,RAB!$C$14:$C$103,C324)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SUMIFS(RAB!$F$14:$F$103,RAB!$C$14:$C$103,C325)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SUMIFS(RAB!$F$14:$F$103,RAB!$C$14:$C$103,C326)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SUMIFS(RAB!$F$14:$F$103,RAB!$C$14:$C$103,C327)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SUMIFS(RAB!$F$14:$F$103,RAB!$C$14:$C$103,C328)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SUMIFS(RAB!$F$14:$F$103,RAB!$C$14:$C$103,C329)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SUMIFS(RAB!$F$14:$F$103,RAB!$C$14:$C$103,C330)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SUMIFS(RAB!$F$14:$F$103,RAB!$C$14:$C$103,C331)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SUMIFS(RAB!$F$14:$F$103,RAB!$C$14:$C$103,C332)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SUMIFS(RAB!$F$14:$F$103,RAB!$C$14:$C$103,C333)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SUMIFS(RAB!$F$14:$F$103,RAB!$C$14:$C$103,C334)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SUMIFS(RAB!$F$14:$F$103,RAB!$C$14:$C$103,C335)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SUMIFS(RAB!$F$14:$F$103,RAB!$C$14:$C$103,C336)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SUMIFS(RAB!$F$14:$F$103,RAB!$C$14:$C$103,C337)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SUMIFS(RAB!$F$14:$F$103,RAB!$C$14:$C$103,C338)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SUMIFS(RAB!$F$14:$F$103,RAB!$C$14:$C$103,C339)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SUMIFS(RAB!$F$14:$F$103,RAB!$C$14:$C$103,C340)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SUMIFS(RAB!$F$14:$F$103,RAB!$C$14:$C$103,C341)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SUMIFS(RAB!$F$14:$F$103,RAB!$C$14:$C$103,C342)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SUMIFS(RAB!$F$14:$F$103,RAB!$C$14:$C$103,C343)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SUMIFS(RAB!$F$14:$F$103,RAB!$C$14:$C$103,C344)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SUMIFS(RAB!$F$14:$F$103,RAB!$C$14:$C$103,C345)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SUMIFS(RAB!$F$14:$F$103,RAB!$C$14:$C$103,C346)</f>
        <v>525</v>
      </c>
      <c r="E346" s="24">
        <f t="shared" ca="1" si="22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SUMIFS(RAB!$F$14:$F$103,RAB!$C$14:$C$103,C347)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SUMIFS(RAB!$F$14:$F$103,RAB!$C$14:$C$103,C348)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SUMIFS(RAB!$F$14:$F$103,RAB!$C$14:$C$103,C349)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SUMIFS(RAB!$F$14:$F$103,RAB!$C$14:$C$103,C350)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SUMIFS(RAB!$F$14:$F$103,RAB!$C$14:$C$103,C351)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SUMIFS(RAB!$F$14:$F$103,RAB!$C$14:$C$103,C352)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SUMIFS(RAB!$F$14:$F$103,RAB!$C$14:$C$103,C353)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SUMIFS(RAB!$F$14:$F$103,RAB!$C$14:$C$103,C354)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SUMIFS(RAB!$F$14:$F$103,RAB!$C$14:$C$103,C355)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SUMIFS(RAB!$F$14:$F$103,RAB!$C$14:$C$103,C356)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SUMIFS(RAB!$F$14:$F$103,RAB!$C$14:$C$103,C357)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SUMIFS(RAB!$F$14:$F$103,RAB!$C$14:$C$103,C358)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SUMIFS(RAB!$F$14:$F$103,RAB!$C$14:$C$103,C359)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SUMIFS(RAB!$F$14:$F$103,RAB!$C$14:$C$103,C360)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SUMIFS(RAB!$F$14:$F$103,RAB!$C$14:$C$103,C361)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SUMIFS(RAB!$F$14:$F$103,RAB!$C$14:$C$103,C362)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SUMIFS(RAB!$F$14:$F$103,RAB!$C$14:$C$103,C363)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SUMIFS(RAB!$F$14:$F$103,RAB!$C$14:$C$103,C364)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SUMIFS(RAB!$F$14:$F$103,RAB!$C$14:$C$103,C365)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SUMIFS(RAB!$F$14:$F$103,RAB!$C$14:$C$103,C366)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SUMIFS(RAB!$F$14:$F$103,RAB!$C$14:$C$103,C367)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SUMIFS(RAB!$F$14:$F$103,RAB!$C$14:$C$103,C368)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SUMIFS(RAB!$F$14:$F$103,RAB!$C$14:$C$103,C369)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SUMIFS(RAB!$F$14:$F$103,RAB!$C$14:$C$103,C370)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SUMIFS(RAB!$F$14:$F$103,RAB!$C$14:$C$103,C371)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SUMIFS(RAB!$F$14:$F$103,RAB!$C$14:$C$103,C372)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SUMIFS(RAB!$F$14:$F$103,RAB!$C$14:$C$103,C373)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3"/>
    </row>
    <row r="4" spans="4:4" ht="57" customHeight="1">
      <c r="D4" s="463">
        <v>3</v>
      </c>
    </row>
    <row r="5" spans="4:4" ht="57" customHeight="1">
      <c r="D5" s="463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0" activePane="bottomRight" state="frozen"/>
      <selection activeCell="D209" sqref="D209"/>
      <selection pane="topRight" activeCell="D209" sqref="D209"/>
      <selection pane="bottomLeft" activeCell="D209" sqref="D209"/>
      <selection pane="bottomRight" activeCell="C136" sqref="C13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5" t="s">
        <v>41</v>
      </c>
      <c r="C2" s="56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6" t="s">
        <v>23</v>
      </c>
      <c r="C4" s="567" t="s">
        <v>1012</v>
      </c>
      <c r="D4" s="567" t="s">
        <v>42</v>
      </c>
      <c r="E4" s="566" t="s">
        <v>43</v>
      </c>
      <c r="F4" s="108" t="s">
        <v>1609</v>
      </c>
      <c r="G4" s="108" t="s">
        <v>1608</v>
      </c>
      <c r="H4" s="56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6"/>
      <c r="C5" s="567"/>
      <c r="D5" s="567"/>
      <c r="E5" s="566"/>
      <c r="F5" s="93"/>
      <c r="G5" s="93"/>
      <c r="H5" s="564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2">
        <v>2740</v>
      </c>
      <c r="G1433" s="49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3" zoomScale="70" zoomScaleNormal="70" zoomScaleSheetLayoutView="85" workbookViewId="0">
      <selection activeCell="N24" sqref="N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2" t="s">
        <v>1454</v>
      </c>
      <c r="C2" s="572"/>
      <c r="D2" s="572"/>
      <c r="E2" s="572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7" t="s">
        <v>1535</v>
      </c>
      <c r="C4" s="578"/>
      <c r="D4" s="578"/>
      <c r="E4" s="579"/>
      <c r="F4" s="445"/>
      <c r="G4" s="445"/>
      <c r="H4" s="446"/>
      <c r="I4" s="604" t="s">
        <v>1536</v>
      </c>
      <c r="J4" s="605"/>
      <c r="K4" s="605"/>
      <c r="L4" s="606"/>
    </row>
    <row r="5" spans="1:12" ht="34.5" customHeight="1">
      <c r="A5" s="204"/>
      <c r="B5" s="448" t="s">
        <v>1379</v>
      </c>
      <c r="C5" s="277" t="s">
        <v>9</v>
      </c>
      <c r="D5" s="573" t="str">
        <f>DATA!D14</f>
        <v>LAS SUTIYOSO</v>
      </c>
      <c r="E5" s="574"/>
      <c r="F5" s="208"/>
      <c r="G5" s="208"/>
      <c r="I5" s="449" t="s">
        <v>1379</v>
      </c>
      <c r="J5" s="277" t="s">
        <v>9</v>
      </c>
      <c r="K5" s="607" t="str">
        <f>D5</f>
        <v>LAS SUTIYOSO</v>
      </c>
      <c r="L5" s="608"/>
    </row>
    <row r="6" spans="1:12" ht="31.5" customHeight="1">
      <c r="A6" s="204"/>
      <c r="B6" s="448" t="s">
        <v>1532</v>
      </c>
      <c r="C6" s="277" t="s">
        <v>9</v>
      </c>
      <c r="D6" s="582">
        <f>DATA!D17*1000</f>
        <v>0</v>
      </c>
      <c r="E6" s="583"/>
      <c r="F6" s="208"/>
      <c r="G6" s="208"/>
      <c r="I6" s="449" t="s">
        <v>1533</v>
      </c>
      <c r="J6" s="277" t="s">
        <v>9</v>
      </c>
      <c r="K6" s="609">
        <f>DATA!D20*1000</f>
        <v>53000</v>
      </c>
      <c r="L6" s="610"/>
    </row>
    <row r="7" spans="1:12" ht="30.75" customHeight="1">
      <c r="A7" s="204"/>
      <c r="B7" s="448" t="s">
        <v>1441</v>
      </c>
      <c r="C7" s="277" t="s">
        <v>9</v>
      </c>
      <c r="D7" s="580">
        <f>DATA!D18</f>
        <v>1</v>
      </c>
      <c r="E7" s="581"/>
      <c r="F7" s="447" t="s">
        <v>1453</v>
      </c>
      <c r="I7" s="449" t="s">
        <v>1441</v>
      </c>
      <c r="J7" s="277" t="s">
        <v>9</v>
      </c>
      <c r="K7" s="611">
        <f>DATA!D21</f>
        <v>3</v>
      </c>
      <c r="L7" s="612"/>
    </row>
    <row r="8" spans="1:12" ht="51" customHeight="1">
      <c r="A8" s="204"/>
      <c r="B8" s="448" t="s">
        <v>1442</v>
      </c>
      <c r="C8" s="277" t="s">
        <v>9</v>
      </c>
      <c r="D8" s="580">
        <f>DATA!D19</f>
        <v>220</v>
      </c>
      <c r="E8" s="581"/>
      <c r="F8" s="447" t="s">
        <v>1453</v>
      </c>
      <c r="G8" s="442">
        <v>220</v>
      </c>
      <c r="I8" s="449" t="s">
        <v>1442</v>
      </c>
      <c r="J8" s="277" t="s">
        <v>9</v>
      </c>
      <c r="K8" s="611">
        <f>DATA!D22</f>
        <v>380</v>
      </c>
      <c r="L8" s="612"/>
    </row>
    <row r="9" spans="1:12" ht="30" customHeight="1" thickBot="1">
      <c r="A9" s="204"/>
      <c r="B9" s="454" t="s">
        <v>1544</v>
      </c>
      <c r="C9" s="444" t="s">
        <v>9</v>
      </c>
      <c r="D9" s="575">
        <f>IF(D7=1,D6/(380/3^0.5),(D6/(380*3^0.5)))</f>
        <v>0</v>
      </c>
      <c r="E9" s="576"/>
      <c r="F9" s="207"/>
      <c r="G9" s="443">
        <v>380</v>
      </c>
      <c r="I9" s="455" t="s">
        <v>1544</v>
      </c>
      <c r="J9" s="444" t="s">
        <v>9</v>
      </c>
      <c r="K9" s="613">
        <f>IF(K7=1,K6/(380/3^0.5),(K6/(380*3^0.5)))</f>
        <v>80.525169123816227</v>
      </c>
      <c r="L9" s="614"/>
    </row>
    <row r="10" spans="1:12" ht="24.75" customHeight="1">
      <c r="B10" s="456"/>
      <c r="C10" s="453"/>
      <c r="D10" s="457"/>
      <c r="E10" s="457"/>
      <c r="F10" s="207"/>
      <c r="G10" s="443"/>
      <c r="I10" s="456"/>
      <c r="J10" s="453"/>
      <c r="K10" s="457"/>
      <c r="L10" s="457"/>
    </row>
    <row r="11" spans="1:12" ht="16.5" thickBot="1">
      <c r="B11" s="450" t="s">
        <v>1545</v>
      </c>
      <c r="I11" s="450" t="s">
        <v>1539</v>
      </c>
    </row>
    <row r="12" spans="1:12" ht="34.5" customHeight="1">
      <c r="A12" s="204"/>
      <c r="B12" s="478" t="s">
        <v>1537</v>
      </c>
      <c r="C12" s="472" t="s">
        <v>9</v>
      </c>
      <c r="D12" s="584" t="s">
        <v>1627</v>
      </c>
      <c r="E12" s="585"/>
      <c r="F12" s="208"/>
      <c r="G12" s="208"/>
      <c r="I12" s="471" t="s">
        <v>1537</v>
      </c>
      <c r="J12" s="472" t="s">
        <v>9</v>
      </c>
      <c r="K12" s="584" t="str">
        <f>D12</f>
        <v>K3-169/19/56/68/4</v>
      </c>
      <c r="L12" s="585"/>
    </row>
    <row r="13" spans="1:12" ht="31.5" customHeight="1">
      <c r="A13" s="204"/>
      <c r="B13" s="479" t="s">
        <v>1380</v>
      </c>
      <c r="C13" s="459" t="s">
        <v>9</v>
      </c>
      <c r="D13" s="588" t="s">
        <v>1628</v>
      </c>
      <c r="E13" s="589"/>
      <c r="F13" s="208"/>
      <c r="G13" s="208"/>
      <c r="I13" s="473" t="s">
        <v>1380</v>
      </c>
      <c r="J13" s="459" t="s">
        <v>9</v>
      </c>
      <c r="K13" s="588" t="str">
        <f>D13</f>
        <v>KDS 16</v>
      </c>
      <c r="L13" s="589"/>
    </row>
    <row r="14" spans="1:12" ht="30.75" customHeight="1">
      <c r="A14" s="204"/>
      <c r="B14" s="479" t="s">
        <v>1538</v>
      </c>
      <c r="C14" s="459" t="s">
        <v>9</v>
      </c>
      <c r="D14" s="596">
        <v>50</v>
      </c>
      <c r="E14" s="597"/>
      <c r="F14" s="447" t="s">
        <v>1453</v>
      </c>
      <c r="G14" s="451">
        <v>50</v>
      </c>
      <c r="I14" s="473" t="s">
        <v>1538</v>
      </c>
      <c r="J14" s="459" t="s">
        <v>9</v>
      </c>
      <c r="K14" s="598">
        <v>100</v>
      </c>
      <c r="L14" s="599"/>
    </row>
    <row r="15" spans="1:12" ht="57" customHeight="1">
      <c r="A15" s="204"/>
      <c r="B15" s="479" t="s">
        <v>1441</v>
      </c>
      <c r="C15" s="459" t="s">
        <v>9</v>
      </c>
      <c r="D15" s="465">
        <v>3</v>
      </c>
      <c r="E15" s="474"/>
      <c r="F15" s="447" t="s">
        <v>1453</v>
      </c>
      <c r="G15" s="451">
        <v>100</v>
      </c>
      <c r="I15" s="473" t="s">
        <v>1441</v>
      </c>
      <c r="J15" s="459" t="s">
        <v>9</v>
      </c>
      <c r="K15" s="465">
        <v>3</v>
      </c>
      <c r="L15" s="474"/>
    </row>
    <row r="16" spans="1:12" ht="44.25" customHeight="1">
      <c r="A16" s="204"/>
      <c r="B16" s="479" t="s">
        <v>1548</v>
      </c>
      <c r="C16" s="459"/>
      <c r="D16" s="600">
        <v>75</v>
      </c>
      <c r="E16" s="601"/>
      <c r="F16" s="447"/>
      <c r="G16" s="451">
        <v>160</v>
      </c>
      <c r="I16" s="473" t="s">
        <v>1540</v>
      </c>
      <c r="J16" s="459" t="s">
        <v>9</v>
      </c>
      <c r="K16" s="602">
        <f>K9</f>
        <v>80.525169123816227</v>
      </c>
      <c r="L16" s="603"/>
    </row>
    <row r="17" spans="1:12" ht="34.5" customHeight="1">
      <c r="A17" s="204"/>
      <c r="B17" s="479" t="s">
        <v>1541</v>
      </c>
      <c r="C17" s="459" t="s">
        <v>9</v>
      </c>
      <c r="D17" s="590">
        <f>IF(D15=1,D14/(20/3^0.5),(D14/(20*3^0.5)))</f>
        <v>1.4433756729740645</v>
      </c>
      <c r="E17" s="591"/>
      <c r="F17" s="447" t="s">
        <v>1453</v>
      </c>
      <c r="G17" s="452">
        <v>200</v>
      </c>
      <c r="I17" s="473" t="s">
        <v>1541</v>
      </c>
      <c r="J17" s="459" t="s">
        <v>9</v>
      </c>
      <c r="K17" s="594">
        <f>IF(K15=1,K14/(20/3^0.5),(K14/(20*3^0.5)))</f>
        <v>2.8867513459481291</v>
      </c>
      <c r="L17" s="595"/>
    </row>
    <row r="18" spans="1:12" ht="34.5" customHeight="1">
      <c r="A18" s="204"/>
      <c r="B18" s="479" t="s">
        <v>1542</v>
      </c>
      <c r="C18" s="459" t="s">
        <v>9</v>
      </c>
      <c r="D18" s="590">
        <f>IF(D15=1,D14/(380/3^0.5),(D14/(380*3^0.5)))*1000</f>
        <v>75.96714068284551</v>
      </c>
      <c r="E18" s="591"/>
      <c r="F18" s="447" t="s">
        <v>1453</v>
      </c>
      <c r="G18" s="452">
        <v>250</v>
      </c>
      <c r="I18" s="473" t="s">
        <v>1542</v>
      </c>
      <c r="J18" s="459" t="s">
        <v>9</v>
      </c>
      <c r="K18" s="594">
        <f>IF(K15=1,K14/(380/3^0.5),(K14/(380*3^0.5)))*1000</f>
        <v>151.93428136569102</v>
      </c>
      <c r="L18" s="595"/>
    </row>
    <row r="19" spans="1:12" ht="30" customHeight="1">
      <c r="A19" s="204"/>
      <c r="B19" s="480" t="s">
        <v>1534</v>
      </c>
      <c r="C19" s="458" t="s">
        <v>9</v>
      </c>
      <c r="D19" s="590">
        <f>IF(D15=1,D14/(380/3^0.5),(D14/(380*3^0.5)))</f>
        <v>7.5967140682845505E-2</v>
      </c>
      <c r="E19" s="591"/>
      <c r="F19" s="207"/>
      <c r="G19" s="443"/>
      <c r="I19" s="475" t="s">
        <v>1534</v>
      </c>
      <c r="J19" s="458" t="s">
        <v>9</v>
      </c>
      <c r="K19" s="594">
        <f>IF(K15=1,K14/(380/3^0.5),(K14/(380*3^0.5)))</f>
        <v>0.15193428136569101</v>
      </c>
      <c r="L19" s="595"/>
    </row>
    <row r="20" spans="1:12" ht="30" customHeight="1" thickBot="1">
      <c r="A20" s="204"/>
      <c r="B20" s="481" t="s">
        <v>1543</v>
      </c>
      <c r="C20" s="477" t="s">
        <v>9</v>
      </c>
      <c r="D20" s="586">
        <f>D16/D18</f>
        <v>0.98726896031425981</v>
      </c>
      <c r="E20" s="587"/>
      <c r="F20" s="207"/>
      <c r="G20" s="443"/>
      <c r="I20" s="476" t="s">
        <v>1534</v>
      </c>
      <c r="J20" s="477" t="s">
        <v>9</v>
      </c>
      <c r="K20" s="592">
        <f>K16/K18</f>
        <v>0.52999999999999992</v>
      </c>
      <c r="L20" s="593"/>
    </row>
    <row r="21" spans="1:12" ht="9.75" customHeight="1">
      <c r="A21" s="204"/>
      <c r="B21" s="466" t="s">
        <v>1543</v>
      </c>
      <c r="C21" s="467" t="s">
        <v>9</v>
      </c>
      <c r="D21" s="571">
        <v>1</v>
      </c>
      <c r="E21" s="571"/>
      <c r="F21" s="468"/>
      <c r="G21" s="469"/>
      <c r="H21" s="470"/>
      <c r="I21" s="466" t="s">
        <v>1534</v>
      </c>
      <c r="J21" s="467" t="s">
        <v>9</v>
      </c>
      <c r="K21" s="571">
        <v>1</v>
      </c>
      <c r="L21" s="571"/>
    </row>
    <row r="22" spans="1:12" ht="6.75" customHeight="1">
      <c r="B22" s="456"/>
      <c r="C22" s="453"/>
      <c r="D22" s="464"/>
      <c r="E22" s="464"/>
      <c r="F22" s="207"/>
      <c r="G22" s="443"/>
      <c r="J22" s="453"/>
      <c r="K22" s="464"/>
      <c r="L22" s="464"/>
    </row>
    <row r="23" spans="1:12" ht="15.75" thickBot="1"/>
    <row r="24" spans="1:12" ht="200.25" customHeight="1" thickBot="1">
      <c r="B24" s="568"/>
      <c r="C24" s="569"/>
      <c r="D24" s="569"/>
      <c r="E24" s="570"/>
      <c r="I24" s="568"/>
      <c r="J24" s="569"/>
      <c r="K24" s="569"/>
      <c r="L24" s="570"/>
    </row>
    <row r="26" spans="1:12">
      <c r="D26" s="461"/>
    </row>
    <row r="27" spans="1:12">
      <c r="D27" s="462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="85" zoomScaleNormal="85" workbookViewId="0">
      <selection activeCell="D20" sqref="D20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5">
        <v>1084.1250458865841</v>
      </c>
      <c r="F5" s="490" t="s">
        <v>1610</v>
      </c>
      <c r="K5" s="48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51357000</v>
      </c>
    </row>
    <row r="10" spans="2:11" ht="20.100000000000001" customHeight="1">
      <c r="B10" s="291" t="s">
        <v>1446</v>
      </c>
      <c r="C10" s="292" t="s">
        <v>9</v>
      </c>
      <c r="D10" s="298">
        <f ca="1">RAB!K109</f>
        <v>170807644.66374999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3416152.8932750002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18" t="s">
        <v>1379</v>
      </c>
      <c r="C14" s="419" t="s">
        <v>9</v>
      </c>
      <c r="D14" s="424" t="s">
        <v>1639</v>
      </c>
      <c r="E14" s="300" t="s">
        <v>1453</v>
      </c>
    </row>
    <row r="15" spans="2:11" ht="20.100000000000001" customHeight="1">
      <c r="B15" s="420" t="s">
        <v>1447</v>
      </c>
      <c r="C15" s="421" t="s">
        <v>9</v>
      </c>
      <c r="D15" s="425" t="s">
        <v>1638</v>
      </c>
      <c r="E15" s="300" t="s">
        <v>1453</v>
      </c>
    </row>
    <row r="16" spans="2:11" ht="20.100000000000001" customHeight="1">
      <c r="B16" s="420" t="s">
        <v>1448</v>
      </c>
      <c r="C16" s="421" t="s">
        <v>9</v>
      </c>
      <c r="D16" s="425" t="s">
        <v>1451</v>
      </c>
      <c r="E16" s="300" t="s">
        <v>1453</v>
      </c>
    </row>
    <row r="17" spans="2:5" ht="20.100000000000001" customHeight="1">
      <c r="B17" s="420" t="s">
        <v>1449</v>
      </c>
      <c r="C17" s="421" t="s">
        <v>9</v>
      </c>
      <c r="D17" s="426">
        <v>0</v>
      </c>
      <c r="E17" s="300" t="s">
        <v>1453</v>
      </c>
    </row>
    <row r="18" spans="2:5" ht="20.100000000000001" hidden="1" customHeight="1">
      <c r="B18" s="420" t="s">
        <v>1546</v>
      </c>
      <c r="C18" s="421"/>
      <c r="D18" s="426">
        <f>IF((D17&lt;=11),1,3)</f>
        <v>1</v>
      </c>
      <c r="E18" s="300"/>
    </row>
    <row r="19" spans="2:5" ht="20.100000000000001" hidden="1" customHeight="1">
      <c r="B19" s="420" t="s">
        <v>1547</v>
      </c>
      <c r="C19" s="421"/>
      <c r="D19" s="426">
        <f>IF((D17&lt;=11),220,380)</f>
        <v>220</v>
      </c>
      <c r="E19" s="300"/>
    </row>
    <row r="20" spans="2:5" ht="20.100000000000001" customHeight="1">
      <c r="B20" s="420" t="s">
        <v>1450</v>
      </c>
      <c r="C20" s="421" t="s">
        <v>9</v>
      </c>
      <c r="D20" s="426">
        <v>53</v>
      </c>
      <c r="E20" s="300" t="s">
        <v>1453</v>
      </c>
    </row>
    <row r="21" spans="2:5" ht="20.100000000000001" customHeight="1">
      <c r="B21" s="420" t="s">
        <v>1546</v>
      </c>
      <c r="C21" s="421"/>
      <c r="D21" s="426">
        <f>IF((D20&lt;=11),1,3)</f>
        <v>3</v>
      </c>
      <c r="E21" s="300"/>
    </row>
    <row r="22" spans="2:5" ht="20.100000000000001" customHeight="1">
      <c r="B22" s="420" t="s">
        <v>1547</v>
      </c>
      <c r="C22" s="421"/>
      <c r="D22" s="426">
        <f>IF((D20&lt;=11),220,380)</f>
        <v>380</v>
      </c>
      <c r="E22" s="300"/>
    </row>
    <row r="23" spans="2:5" ht="20.100000000000001" customHeight="1">
      <c r="B23" s="420" t="s">
        <v>1353</v>
      </c>
      <c r="C23" s="421" t="s">
        <v>9</v>
      </c>
      <c r="D23" s="425">
        <v>1444.7</v>
      </c>
      <c r="E23" s="300" t="s">
        <v>1453</v>
      </c>
    </row>
    <row r="24" spans="2:5" ht="20.100000000000001" customHeight="1">
      <c r="B24" s="420" t="s">
        <v>1354</v>
      </c>
      <c r="C24" s="421" t="s">
        <v>9</v>
      </c>
      <c r="D24" s="425">
        <v>1444.7</v>
      </c>
      <c r="E24" s="300" t="s">
        <v>1453</v>
      </c>
    </row>
    <row r="25" spans="2:5" ht="20.100000000000001" customHeight="1">
      <c r="B25" s="420" t="s">
        <v>1452</v>
      </c>
      <c r="C25" s="421" t="s">
        <v>9</v>
      </c>
      <c r="D25" s="426">
        <v>969</v>
      </c>
      <c r="E25" s="300" t="s">
        <v>1453</v>
      </c>
    </row>
    <row r="26" spans="2:5" ht="20.100000000000001" customHeight="1">
      <c r="B26" s="422" t="s">
        <v>1355</v>
      </c>
      <c r="C26" s="423" t="s">
        <v>9</v>
      </c>
      <c r="D26" s="427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F3" sqref="F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7" t="s">
        <v>1357</v>
      </c>
      <c r="C3" s="617"/>
      <c r="D3" s="617"/>
      <c r="E3" s="617"/>
      <c r="F3" s="305" t="str">
        <f>DATA!D14</f>
        <v>LAS SUTIYOSO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8" t="s">
        <v>1349</v>
      </c>
      <c r="C5" s="618" t="s">
        <v>1358</v>
      </c>
      <c r="D5" s="619" t="s">
        <v>1359</v>
      </c>
      <c r="E5" s="619" t="s">
        <v>1360</v>
      </c>
      <c r="F5" s="618" t="s">
        <v>1361</v>
      </c>
      <c r="G5" s="618"/>
      <c r="H5" s="618"/>
      <c r="I5" s="618"/>
      <c r="J5" s="618"/>
      <c r="K5" s="618" t="s">
        <v>1362</v>
      </c>
      <c r="L5" s="618"/>
      <c r="M5" s="307"/>
      <c r="N5" s="622" t="s">
        <v>1363</v>
      </c>
      <c r="O5" s="619" t="s">
        <v>1364</v>
      </c>
      <c r="P5" s="619" t="s">
        <v>1365</v>
      </c>
      <c r="Q5" s="619" t="s">
        <v>1366</v>
      </c>
      <c r="R5" s="308"/>
      <c r="S5" s="309"/>
      <c r="T5" s="620" t="s">
        <v>1367</v>
      </c>
      <c r="U5" s="310"/>
    </row>
    <row r="6" spans="1:21" ht="20.100000000000001" customHeight="1">
      <c r="B6" s="618"/>
      <c r="C6" s="618"/>
      <c r="D6" s="618"/>
      <c r="E6" s="61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3"/>
      <c r="O6" s="618"/>
      <c r="P6" s="618"/>
      <c r="Q6" s="618"/>
      <c r="R6" s="308"/>
      <c r="S6" s="309"/>
      <c r="T6" s="618"/>
      <c r="U6" s="312"/>
    </row>
    <row r="7" spans="1:21" ht="20.100000000000001" customHeight="1">
      <c r="A7" s="313">
        <v>0</v>
      </c>
      <c r="B7" s="314">
        <v>2023</v>
      </c>
      <c r="C7" s="482">
        <f>DATA!D8*DATA!D26*4</f>
        <v>8480</v>
      </c>
      <c r="D7" s="316">
        <f>C7*4/24</f>
        <v>1413.3333333333333</v>
      </c>
      <c r="E7" s="316">
        <f>C7-D7</f>
        <v>7066.666666666667</v>
      </c>
      <c r="F7" s="317">
        <f ca="1">DATA!D10/1000000</f>
        <v>170.80764466374998</v>
      </c>
      <c r="G7" s="318">
        <f ca="1">DATA!$D$11/1000000</f>
        <v>3.416152893275</v>
      </c>
      <c r="H7" s="318">
        <f>C7*DATA!$D$5/1000000</f>
        <v>9.193380389118234</v>
      </c>
      <c r="I7" s="318">
        <f>(C7*DATA!$D$5*DATA!$D$7)/1000000</f>
        <v>0.20685105875516024</v>
      </c>
      <c r="J7" s="316">
        <f ca="1">SUM(F7:I7)</f>
        <v>183.62402900489838</v>
      </c>
      <c r="K7" s="319">
        <f>DATA!D9/1000000</f>
        <v>51.356999999999999</v>
      </c>
      <c r="L7" s="316">
        <f>((D7*DATA!$D$23)/1000000)+((E7*DATA!$D$24)/1000000)</f>
        <v>12.251056000000002</v>
      </c>
      <c r="M7" s="316">
        <f>K7+L7</f>
        <v>63.608056000000005</v>
      </c>
      <c r="N7" s="316">
        <f ca="1">M7-J7</f>
        <v>-120.01597300489837</v>
      </c>
      <c r="O7" s="314">
        <v>1</v>
      </c>
      <c r="P7" s="316">
        <f ca="1">O7*N7</f>
        <v>-120.01597300489837</v>
      </c>
      <c r="Q7" s="316">
        <f ca="1">P7</f>
        <v>-120.01597300489837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25440</v>
      </c>
      <c r="D8" s="316">
        <f>C8*4/24</f>
        <v>4240</v>
      </c>
      <c r="E8" s="316">
        <f t="shared" ref="E8:E32" si="0">C8-D8</f>
        <v>21200</v>
      </c>
      <c r="F8" s="314"/>
      <c r="G8" s="318">
        <f ca="1">DATA!$D$11/1000000</f>
        <v>3.416152893275</v>
      </c>
      <c r="H8" s="318">
        <f>C8*DATA!$D$5/1000000</f>
        <v>27.5801411673547</v>
      </c>
      <c r="I8" s="318">
        <f>(C8*DATA!$D$5*DATA!$D$7)/1000000</f>
        <v>0.62055317626548068</v>
      </c>
      <c r="J8" s="316">
        <f t="shared" ref="J8:J32" ca="1" si="1">SUM(F8:I8)</f>
        <v>31.616847236895183</v>
      </c>
      <c r="K8" s="321"/>
      <c r="L8" s="316">
        <f>((D8*DATA!$D$23)/1000000)+((E8*DATA!$D$24)/1000000)</f>
        <v>36.753168000000002</v>
      </c>
      <c r="M8" s="316">
        <f t="shared" ref="M8:M32" si="2">K8+L8</f>
        <v>36.753168000000002</v>
      </c>
      <c r="N8" s="316">
        <f ca="1">M8-J8</f>
        <v>5.1363207631048198</v>
      </c>
      <c r="O8" s="315">
        <f>1/(1+'[93]Asumsi I'!$C$3)^(KKF!A8)</f>
        <v>0.89285714285714279</v>
      </c>
      <c r="P8" s="316">
        <f ca="1">O8*N8</f>
        <v>4.586000681343589</v>
      </c>
      <c r="Q8" s="316">
        <f ca="1">Q7+P8</f>
        <v>-115.42997232355478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25440</v>
      </c>
      <c r="D9" s="316">
        <f t="shared" ref="D9:D32" si="5">C9*4/24</f>
        <v>4240</v>
      </c>
      <c r="E9" s="316">
        <f t="shared" si="0"/>
        <v>21200</v>
      </c>
      <c r="F9" s="314"/>
      <c r="G9" s="318">
        <f ca="1">DATA!$D$11/1000000</f>
        <v>3.416152893275</v>
      </c>
      <c r="H9" s="318">
        <f>C9*DATA!$D$5/1000000</f>
        <v>27.5801411673547</v>
      </c>
      <c r="I9" s="318">
        <f>(C9*DATA!$D$5*DATA!$D$7)/1000000</f>
        <v>0.62055317626548068</v>
      </c>
      <c r="J9" s="316">
        <f t="shared" ca="1" si="1"/>
        <v>31.616847236895183</v>
      </c>
      <c r="K9" s="316"/>
      <c r="L9" s="316">
        <f>((D9*DATA!$D$23)/1000000)+((E9*DATA!$D$24)/1000000)</f>
        <v>36.753168000000002</v>
      </c>
      <c r="M9" s="316">
        <f t="shared" si="2"/>
        <v>36.753168000000002</v>
      </c>
      <c r="N9" s="316">
        <f t="shared" ref="N9:N32" ca="1" si="6">M9-J9</f>
        <v>5.1363207631048198</v>
      </c>
      <c r="O9" s="322">
        <f>1/(1+'[93]Asumsi I'!$C$3)^(KKF!A9)</f>
        <v>0.79719387755102034</v>
      </c>
      <c r="P9" s="316">
        <f t="shared" ref="P9:P32" ca="1" si="7">O9*N9</f>
        <v>4.0946434654853467</v>
      </c>
      <c r="Q9" s="316">
        <f ca="1">Q8+P9</f>
        <v>-111.33532885806943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25440</v>
      </c>
      <c r="D10" s="316">
        <f t="shared" si="5"/>
        <v>4240</v>
      </c>
      <c r="E10" s="316">
        <f t="shared" si="0"/>
        <v>21200</v>
      </c>
      <c r="F10" s="314"/>
      <c r="G10" s="318">
        <f ca="1">DATA!$D$11/1000000</f>
        <v>3.416152893275</v>
      </c>
      <c r="H10" s="318">
        <f>C10*DATA!$D$5/1000000</f>
        <v>27.5801411673547</v>
      </c>
      <c r="I10" s="318">
        <f>(C10*DATA!$D$5*DATA!$D$7)/1000000</f>
        <v>0.62055317626548068</v>
      </c>
      <c r="J10" s="316">
        <f t="shared" ca="1" si="1"/>
        <v>31.616847236895183</v>
      </c>
      <c r="K10" s="314"/>
      <c r="L10" s="316">
        <f>((D10*DATA!$D$23)/1000000)+((E10*DATA!$D$24)/1000000)</f>
        <v>36.753168000000002</v>
      </c>
      <c r="M10" s="316">
        <f t="shared" si="2"/>
        <v>36.753168000000002</v>
      </c>
      <c r="N10" s="316">
        <f t="shared" ca="1" si="6"/>
        <v>5.1363207631048198</v>
      </c>
      <c r="O10" s="315">
        <f>1/(1+'[93]Asumsi I'!$C$3)^(KKF!A10)</f>
        <v>0.71178024781341087</v>
      </c>
      <c r="P10" s="316">
        <f t="shared" ca="1" si="7"/>
        <v>3.6559316656119161</v>
      </c>
      <c r="Q10" s="316">
        <f t="shared" ref="Q10:Q30" ca="1" si="9">Q9+P10</f>
        <v>-107.67939719245751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25440</v>
      </c>
      <c r="D11" s="316">
        <f t="shared" si="5"/>
        <v>4240</v>
      </c>
      <c r="E11" s="316">
        <f t="shared" si="0"/>
        <v>21200</v>
      </c>
      <c r="F11" s="314"/>
      <c r="G11" s="318">
        <f ca="1">DATA!$D$11/1000000</f>
        <v>3.416152893275</v>
      </c>
      <c r="H11" s="318">
        <f>C11*DATA!$D$5/1000000</f>
        <v>27.5801411673547</v>
      </c>
      <c r="I11" s="318">
        <f>(C11*DATA!$D$5*DATA!$D$7)/1000000</f>
        <v>0.62055317626548068</v>
      </c>
      <c r="J11" s="316">
        <f t="shared" ca="1" si="1"/>
        <v>31.616847236895183</v>
      </c>
      <c r="K11" s="314"/>
      <c r="L11" s="316">
        <f>((D11*DATA!$D$23)/1000000)+((E11*DATA!$D$24)/1000000)</f>
        <v>36.753168000000002</v>
      </c>
      <c r="M11" s="316">
        <f t="shared" si="2"/>
        <v>36.753168000000002</v>
      </c>
      <c r="N11" s="316">
        <f t="shared" ca="1" si="6"/>
        <v>5.1363207631048198</v>
      </c>
      <c r="O11" s="315">
        <f>1/(1+'[93]Asumsi I'!$C$3)^(KKF!A11)</f>
        <v>0.63551807840483121</v>
      </c>
      <c r="P11" s="316">
        <f t="shared" ca="1" si="7"/>
        <v>3.2642247014392112</v>
      </c>
      <c r="Q11" s="316">
        <f t="shared" ca="1" si="9"/>
        <v>-104.4151724910183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25440</v>
      </c>
      <c r="D12" s="316">
        <f t="shared" si="5"/>
        <v>4240</v>
      </c>
      <c r="E12" s="316">
        <f t="shared" si="0"/>
        <v>21200</v>
      </c>
      <c r="F12" s="314"/>
      <c r="G12" s="318">
        <f ca="1">DATA!$D$11/1000000</f>
        <v>3.416152893275</v>
      </c>
      <c r="H12" s="318">
        <f>C12*DATA!$D$5/1000000</f>
        <v>27.5801411673547</v>
      </c>
      <c r="I12" s="318">
        <f>(C12*DATA!$D$5*DATA!$D$7)/1000000</f>
        <v>0.62055317626548068</v>
      </c>
      <c r="J12" s="316">
        <f t="shared" ca="1" si="1"/>
        <v>31.616847236895183</v>
      </c>
      <c r="K12" s="314"/>
      <c r="L12" s="316">
        <f>((D12*DATA!$D$23)/1000000)+((E12*DATA!$D$24)/1000000)</f>
        <v>36.753168000000002</v>
      </c>
      <c r="M12" s="316">
        <f t="shared" si="2"/>
        <v>36.753168000000002</v>
      </c>
      <c r="N12" s="316">
        <f t="shared" ca="1" si="6"/>
        <v>5.1363207631048198</v>
      </c>
      <c r="O12" s="315">
        <f>1/(1+'[93]Asumsi I'!$C$3)^(KKF!A12)</f>
        <v>0.56742685571859919</v>
      </c>
      <c r="P12" s="316">
        <f t="shared" ca="1" si="7"/>
        <v>2.9144863405707238</v>
      </c>
      <c r="Q12" s="316">
        <f t="shared" ca="1" si="9"/>
        <v>-101.50068615044758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25440</v>
      </c>
      <c r="D13" s="316">
        <f t="shared" si="5"/>
        <v>4240</v>
      </c>
      <c r="E13" s="316">
        <f t="shared" si="0"/>
        <v>21200</v>
      </c>
      <c r="F13" s="314"/>
      <c r="G13" s="318">
        <f ca="1">DATA!$D$11/1000000</f>
        <v>3.416152893275</v>
      </c>
      <c r="H13" s="318">
        <f>C13*DATA!$D$5/1000000</f>
        <v>27.5801411673547</v>
      </c>
      <c r="I13" s="318">
        <f>(C13*DATA!$D$5*DATA!$D$7)/1000000</f>
        <v>0.62055317626548068</v>
      </c>
      <c r="J13" s="316">
        <f t="shared" ca="1" si="1"/>
        <v>31.616847236895183</v>
      </c>
      <c r="K13" s="314"/>
      <c r="L13" s="316">
        <f>((D13*DATA!$D$23)/1000000)+((E13*DATA!$D$24)/1000000)</f>
        <v>36.753168000000002</v>
      </c>
      <c r="M13" s="316">
        <f t="shared" si="2"/>
        <v>36.753168000000002</v>
      </c>
      <c r="N13" s="316">
        <f t="shared" ca="1" si="6"/>
        <v>5.1363207631048198</v>
      </c>
      <c r="O13" s="315">
        <f>1/(1+'[93]Asumsi I'!$C$3)^(KKF!A13)</f>
        <v>0.50663112117732068</v>
      </c>
      <c r="P13" s="316">
        <f t="shared" ca="1" si="7"/>
        <v>2.602219946938146</v>
      </c>
      <c r="Q13" s="316">
        <f t="shared" ca="1" si="9"/>
        <v>-98.898466203509429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25440</v>
      </c>
      <c r="D14" s="316">
        <f t="shared" si="5"/>
        <v>4240</v>
      </c>
      <c r="E14" s="316">
        <f t="shared" si="0"/>
        <v>21200</v>
      </c>
      <c r="F14" s="314"/>
      <c r="G14" s="318">
        <f ca="1">DATA!$D$11/1000000</f>
        <v>3.416152893275</v>
      </c>
      <c r="H14" s="318">
        <f>C14*DATA!$D$5/1000000</f>
        <v>27.5801411673547</v>
      </c>
      <c r="I14" s="318">
        <f>(C14*DATA!$D$5*DATA!$D$7)/1000000</f>
        <v>0.62055317626548068</v>
      </c>
      <c r="J14" s="316">
        <f t="shared" ca="1" si="1"/>
        <v>31.616847236895183</v>
      </c>
      <c r="K14" s="314"/>
      <c r="L14" s="316">
        <f>((D14*DATA!$D$23)/1000000)+((E14*DATA!$D$24)/1000000)</f>
        <v>36.753168000000002</v>
      </c>
      <c r="M14" s="316">
        <f t="shared" si="2"/>
        <v>36.753168000000002</v>
      </c>
      <c r="N14" s="316">
        <f t="shared" ca="1" si="6"/>
        <v>5.1363207631048198</v>
      </c>
      <c r="O14" s="315">
        <f>1/(1+'[93]Asumsi I'!$C$3)^(KKF!A14)</f>
        <v>0.45234921533689343</v>
      </c>
      <c r="P14" s="316">
        <f t="shared" ca="1" si="7"/>
        <v>2.3234106669090591</v>
      </c>
      <c r="Q14" s="316">
        <f t="shared" ca="1" si="9"/>
        <v>-96.575055536600374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25440</v>
      </c>
      <c r="D15" s="316">
        <f t="shared" si="5"/>
        <v>4240</v>
      </c>
      <c r="E15" s="316">
        <f t="shared" si="0"/>
        <v>21200</v>
      </c>
      <c r="F15" s="314"/>
      <c r="G15" s="318">
        <f ca="1">DATA!$D$11/1000000</f>
        <v>3.416152893275</v>
      </c>
      <c r="H15" s="318">
        <f>C15*DATA!$D$5/1000000</f>
        <v>27.5801411673547</v>
      </c>
      <c r="I15" s="318">
        <f>(C15*DATA!$D$5*DATA!$D$7)/1000000</f>
        <v>0.62055317626548068</v>
      </c>
      <c r="J15" s="316">
        <f t="shared" ca="1" si="1"/>
        <v>31.616847236895183</v>
      </c>
      <c r="K15" s="314"/>
      <c r="L15" s="316">
        <f>((D15*DATA!$D$23)/1000000)+((E15*DATA!$D$24)/1000000)</f>
        <v>36.753168000000002</v>
      </c>
      <c r="M15" s="316">
        <f t="shared" si="2"/>
        <v>36.753168000000002</v>
      </c>
      <c r="N15" s="316">
        <f t="shared" ca="1" si="6"/>
        <v>5.1363207631048198</v>
      </c>
      <c r="O15" s="315">
        <f>1/(1+'[93]Asumsi I'!$C$3)^(KKF!A15)</f>
        <v>0.4038832279793691</v>
      </c>
      <c r="P15" s="316">
        <f t="shared" ca="1" si="7"/>
        <v>2.0744738097402311</v>
      </c>
      <c r="Q15" s="316">
        <f t="shared" ca="1" si="9"/>
        <v>-94.500581726860148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25440</v>
      </c>
      <c r="D16" s="316">
        <f t="shared" si="5"/>
        <v>4240</v>
      </c>
      <c r="E16" s="316">
        <f t="shared" si="0"/>
        <v>21200</v>
      </c>
      <c r="F16" s="314"/>
      <c r="G16" s="318">
        <f ca="1">DATA!$D$11/1000000</f>
        <v>3.416152893275</v>
      </c>
      <c r="H16" s="318">
        <f>C16*DATA!$D$5/1000000</f>
        <v>27.5801411673547</v>
      </c>
      <c r="I16" s="318">
        <f>(C16*DATA!$D$5*DATA!$D$7)/1000000</f>
        <v>0.62055317626548068</v>
      </c>
      <c r="J16" s="316">
        <f t="shared" ca="1" si="1"/>
        <v>31.616847236895183</v>
      </c>
      <c r="K16" s="314"/>
      <c r="L16" s="316">
        <f>((D16*DATA!$D$23)/1000000)+((E16*DATA!$D$24)/1000000)</f>
        <v>36.753168000000002</v>
      </c>
      <c r="M16" s="316">
        <f t="shared" si="2"/>
        <v>36.753168000000002</v>
      </c>
      <c r="N16" s="316">
        <f t="shared" ca="1" si="6"/>
        <v>5.1363207631048198</v>
      </c>
      <c r="O16" s="315">
        <f>1/(1+'[93]Asumsi I'!$C$3)^(KKF!A16)</f>
        <v>0.36061002498157957</v>
      </c>
      <c r="P16" s="316">
        <f t="shared" ca="1" si="7"/>
        <v>1.8522087586966349</v>
      </c>
      <c r="Q16" s="316">
        <f t="shared" ca="1" si="9"/>
        <v>-92.648372968163514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25440</v>
      </c>
      <c r="D17" s="316">
        <f t="shared" si="5"/>
        <v>4240</v>
      </c>
      <c r="E17" s="316">
        <f t="shared" si="0"/>
        <v>21200</v>
      </c>
      <c r="F17" s="314"/>
      <c r="G17" s="318">
        <f ca="1">DATA!$D$11/1000000</f>
        <v>3.416152893275</v>
      </c>
      <c r="H17" s="318">
        <f>C17*DATA!$D$5/1000000</f>
        <v>27.5801411673547</v>
      </c>
      <c r="I17" s="318">
        <f>(C17*DATA!$D$5*DATA!$D$7)/1000000</f>
        <v>0.62055317626548068</v>
      </c>
      <c r="J17" s="316">
        <f t="shared" ca="1" si="1"/>
        <v>31.616847236895183</v>
      </c>
      <c r="K17" s="314"/>
      <c r="L17" s="316">
        <f>((D17*DATA!$D$23)/1000000)+((E17*DATA!$D$24)/1000000)</f>
        <v>36.753168000000002</v>
      </c>
      <c r="M17" s="316">
        <f t="shared" si="2"/>
        <v>36.753168000000002</v>
      </c>
      <c r="N17" s="316">
        <f t="shared" ca="1" si="6"/>
        <v>5.1363207631048198</v>
      </c>
      <c r="O17" s="315">
        <f>1/(1+'[93]Asumsi I'!$C$3)^(KKF!A17)</f>
        <v>0.32197323659069599</v>
      </c>
      <c r="P17" s="316">
        <f t="shared" ca="1" si="7"/>
        <v>1.6537578202648524</v>
      </c>
      <c r="Q17" s="316">
        <f t="shared" ca="1" si="9"/>
        <v>-90.994615147898656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25440</v>
      </c>
      <c r="D18" s="316">
        <f t="shared" si="5"/>
        <v>4240</v>
      </c>
      <c r="E18" s="316">
        <f t="shared" si="0"/>
        <v>21200</v>
      </c>
      <c r="F18" s="314"/>
      <c r="G18" s="318">
        <f ca="1">DATA!$D$11/1000000</f>
        <v>3.416152893275</v>
      </c>
      <c r="H18" s="318">
        <f>C18*DATA!$D$5/1000000</f>
        <v>27.5801411673547</v>
      </c>
      <c r="I18" s="318">
        <f>(C18*DATA!$D$5*DATA!$D$7)/1000000</f>
        <v>0.62055317626548068</v>
      </c>
      <c r="J18" s="316">
        <f t="shared" ca="1" si="1"/>
        <v>31.616847236895183</v>
      </c>
      <c r="K18" s="314"/>
      <c r="L18" s="316">
        <f>((D18*DATA!$D$23)/1000000)+((E18*DATA!$D$24)/1000000)</f>
        <v>36.753168000000002</v>
      </c>
      <c r="M18" s="316">
        <f t="shared" si="2"/>
        <v>36.753168000000002</v>
      </c>
      <c r="N18" s="316">
        <f t="shared" ca="1" si="6"/>
        <v>5.1363207631048198</v>
      </c>
      <c r="O18" s="315">
        <f>1/(1+'[93]Asumsi I'!$C$3)^(KKF!A18)</f>
        <v>0.28747610409883567</v>
      </c>
      <c r="P18" s="316">
        <f t="shared" ca="1" si="7"/>
        <v>1.4765694823793323</v>
      </c>
      <c r="Q18" s="316">
        <f t="shared" ca="1" si="9"/>
        <v>-89.518045665519324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25440</v>
      </c>
      <c r="D19" s="316">
        <f t="shared" si="5"/>
        <v>4240</v>
      </c>
      <c r="E19" s="316">
        <f t="shared" si="0"/>
        <v>21200</v>
      </c>
      <c r="F19" s="314"/>
      <c r="G19" s="318">
        <f ca="1">DATA!$D$11/1000000</f>
        <v>3.416152893275</v>
      </c>
      <c r="H19" s="318">
        <f>C19*DATA!$D$5/1000000</f>
        <v>27.5801411673547</v>
      </c>
      <c r="I19" s="318">
        <f>(C19*DATA!$D$5*DATA!$D$7)/1000000</f>
        <v>0.62055317626548068</v>
      </c>
      <c r="J19" s="316">
        <f t="shared" ca="1" si="1"/>
        <v>31.616847236895183</v>
      </c>
      <c r="K19" s="314"/>
      <c r="L19" s="316">
        <f>((D19*DATA!$D$23)/1000000)+((E19*DATA!$D$24)/1000000)</f>
        <v>36.753168000000002</v>
      </c>
      <c r="M19" s="316">
        <f t="shared" si="2"/>
        <v>36.753168000000002</v>
      </c>
      <c r="N19" s="316">
        <f t="shared" ca="1" si="6"/>
        <v>5.1363207631048198</v>
      </c>
      <c r="O19" s="315">
        <f>1/(1+'[93]Asumsi I'!$C$3)^(KKF!A19)</f>
        <v>0.25667509294538904</v>
      </c>
      <c r="P19" s="316">
        <f t="shared" ca="1" si="7"/>
        <v>1.3183656092672611</v>
      </c>
      <c r="Q19" s="316">
        <f t="shared" ca="1" si="9"/>
        <v>-88.199680056252063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25440</v>
      </c>
      <c r="D20" s="316">
        <f t="shared" si="5"/>
        <v>4240</v>
      </c>
      <c r="E20" s="316">
        <f t="shared" si="0"/>
        <v>21200</v>
      </c>
      <c r="F20" s="314"/>
      <c r="G20" s="318">
        <f ca="1">DATA!$D$11/1000000</f>
        <v>3.416152893275</v>
      </c>
      <c r="H20" s="318">
        <f>C20*DATA!$D$5/1000000</f>
        <v>27.5801411673547</v>
      </c>
      <c r="I20" s="318">
        <f>(C20*DATA!$D$5*DATA!$D$7)/1000000</f>
        <v>0.62055317626548068</v>
      </c>
      <c r="J20" s="316">
        <f t="shared" ca="1" si="1"/>
        <v>31.616847236895183</v>
      </c>
      <c r="K20" s="314"/>
      <c r="L20" s="316">
        <f>((D20*DATA!$D$23)/1000000)+((E20*DATA!$D$24)/1000000)</f>
        <v>36.753168000000002</v>
      </c>
      <c r="M20" s="316">
        <f t="shared" si="2"/>
        <v>36.753168000000002</v>
      </c>
      <c r="N20" s="316">
        <f t="shared" ca="1" si="6"/>
        <v>5.1363207631048198</v>
      </c>
      <c r="O20" s="315">
        <f>1/(1+'[93]Asumsi I'!$C$3)^(KKF!A20)</f>
        <v>0.22917419012981158</v>
      </c>
      <c r="P20" s="316">
        <f t="shared" ca="1" si="7"/>
        <v>1.1771121511314828</v>
      </c>
      <c r="Q20" s="316">
        <f t="shared" ca="1" si="9"/>
        <v>-87.022567905120582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25440</v>
      </c>
      <c r="D21" s="316">
        <f t="shared" si="5"/>
        <v>4240</v>
      </c>
      <c r="E21" s="316">
        <f t="shared" si="0"/>
        <v>21200</v>
      </c>
      <c r="F21" s="314"/>
      <c r="G21" s="318">
        <f ca="1">DATA!$D$11/1000000</f>
        <v>3.416152893275</v>
      </c>
      <c r="H21" s="318">
        <f>C21*DATA!$D$5/1000000</f>
        <v>27.5801411673547</v>
      </c>
      <c r="I21" s="318">
        <f>(C21*DATA!$D$5*DATA!$D$7)/1000000</f>
        <v>0.62055317626548068</v>
      </c>
      <c r="J21" s="316">
        <f t="shared" ca="1" si="1"/>
        <v>31.616847236895183</v>
      </c>
      <c r="K21" s="314"/>
      <c r="L21" s="316">
        <f>((D21*DATA!$D$23)/1000000)+((E21*DATA!$D$24)/1000000)</f>
        <v>36.753168000000002</v>
      </c>
      <c r="M21" s="316">
        <f t="shared" si="2"/>
        <v>36.753168000000002</v>
      </c>
      <c r="N21" s="316">
        <f t="shared" ca="1" si="6"/>
        <v>5.1363207631048198</v>
      </c>
      <c r="O21" s="315">
        <f>1/(1+'[93]Asumsi I'!$C$3)^(KKF!A21)</f>
        <v>0.20461981261590317</v>
      </c>
      <c r="P21" s="316">
        <f t="shared" ca="1" si="7"/>
        <v>1.050992992081681</v>
      </c>
      <c r="Q21" s="316">
        <f t="shared" ca="1" si="9"/>
        <v>-85.971574913038907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25440</v>
      </c>
      <c r="D22" s="316">
        <f t="shared" si="5"/>
        <v>4240</v>
      </c>
      <c r="E22" s="316">
        <f t="shared" si="0"/>
        <v>21200</v>
      </c>
      <c r="F22" s="314"/>
      <c r="G22" s="318">
        <f ca="1">DATA!$D$11/1000000</f>
        <v>3.416152893275</v>
      </c>
      <c r="H22" s="318">
        <f>C22*DATA!$D$5/1000000</f>
        <v>27.5801411673547</v>
      </c>
      <c r="I22" s="318">
        <f>(C22*DATA!$D$5*DATA!$D$7)/1000000</f>
        <v>0.62055317626548068</v>
      </c>
      <c r="J22" s="316">
        <f t="shared" ca="1" si="1"/>
        <v>31.616847236895183</v>
      </c>
      <c r="K22" s="314"/>
      <c r="L22" s="316">
        <f>((D22*DATA!$D$23)/1000000)+((E22*DATA!$D$24)/1000000)</f>
        <v>36.753168000000002</v>
      </c>
      <c r="M22" s="316">
        <f t="shared" si="2"/>
        <v>36.753168000000002</v>
      </c>
      <c r="N22" s="316">
        <f t="shared" ca="1" si="6"/>
        <v>5.1363207631048198</v>
      </c>
      <c r="O22" s="315">
        <f>1/(1+'[93]Asumsi I'!$C$3)^(KKF!A22)</f>
        <v>0.18269626126419927</v>
      </c>
      <c r="P22" s="316">
        <f t="shared" ca="1" si="7"/>
        <v>0.93838660007292951</v>
      </c>
      <c r="Q22" s="316">
        <f t="shared" ca="1" si="9"/>
        <v>-85.033188312965976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25440</v>
      </c>
      <c r="D23" s="316">
        <f t="shared" si="5"/>
        <v>4240</v>
      </c>
      <c r="E23" s="316">
        <f t="shared" si="0"/>
        <v>21200</v>
      </c>
      <c r="F23" s="314"/>
      <c r="G23" s="318">
        <f ca="1">DATA!$D$11/1000000</f>
        <v>3.416152893275</v>
      </c>
      <c r="H23" s="318">
        <f>C23*DATA!$D$5/1000000</f>
        <v>27.5801411673547</v>
      </c>
      <c r="I23" s="318">
        <f>(C23*DATA!$D$5*DATA!$D$7)/1000000</f>
        <v>0.62055317626548068</v>
      </c>
      <c r="J23" s="316">
        <f t="shared" ca="1" si="1"/>
        <v>31.616847236895183</v>
      </c>
      <c r="K23" s="314"/>
      <c r="L23" s="316">
        <f>((D23*DATA!$D$23)/1000000)+((E23*DATA!$D$24)/1000000)</f>
        <v>36.753168000000002</v>
      </c>
      <c r="M23" s="316">
        <f t="shared" si="2"/>
        <v>36.753168000000002</v>
      </c>
      <c r="N23" s="316">
        <f t="shared" ca="1" si="6"/>
        <v>5.1363207631048198</v>
      </c>
      <c r="O23" s="315">
        <f>1/(1+'[93]Asumsi I'!$C$3)^(KKF!A23)</f>
        <v>0.16312166184303503</v>
      </c>
      <c r="P23" s="316">
        <f t="shared" ca="1" si="7"/>
        <v>0.83784517863654406</v>
      </c>
      <c r="Q23" s="316">
        <f t="shared" ca="1" si="9"/>
        <v>-84.195343134329434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25440</v>
      </c>
      <c r="D24" s="316">
        <f t="shared" si="5"/>
        <v>4240</v>
      </c>
      <c r="E24" s="316">
        <f t="shared" si="0"/>
        <v>21200</v>
      </c>
      <c r="F24" s="314"/>
      <c r="G24" s="318">
        <f ca="1">DATA!$D$11/1000000</f>
        <v>3.416152893275</v>
      </c>
      <c r="H24" s="318">
        <f>C24*DATA!$D$5/1000000</f>
        <v>27.5801411673547</v>
      </c>
      <c r="I24" s="318">
        <f>(C24*DATA!$D$5*DATA!$D$7)/1000000</f>
        <v>0.62055317626548068</v>
      </c>
      <c r="J24" s="316">
        <f t="shared" ca="1" si="1"/>
        <v>31.616847236895183</v>
      </c>
      <c r="K24" s="314"/>
      <c r="L24" s="316">
        <f>((D24*DATA!$D$23)/1000000)+((E24*DATA!$D$24)/1000000)</f>
        <v>36.753168000000002</v>
      </c>
      <c r="M24" s="316">
        <f t="shared" si="2"/>
        <v>36.753168000000002</v>
      </c>
      <c r="N24" s="316">
        <f t="shared" ca="1" si="6"/>
        <v>5.1363207631048198</v>
      </c>
      <c r="O24" s="315">
        <f>1/(1+'[93]Asumsi I'!$C$3)^(KKF!A24)</f>
        <v>0.14564434093128129</v>
      </c>
      <c r="P24" s="316">
        <f t="shared" ca="1" si="7"/>
        <v>0.74807605235405727</v>
      </c>
      <c r="Q24" s="316">
        <f t="shared" ca="1" si="9"/>
        <v>-83.447267081975383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25440</v>
      </c>
      <c r="D25" s="316">
        <f t="shared" si="5"/>
        <v>4240</v>
      </c>
      <c r="E25" s="316">
        <f t="shared" si="0"/>
        <v>21200</v>
      </c>
      <c r="F25" s="314"/>
      <c r="G25" s="318">
        <f ca="1">DATA!$D$11/1000000</f>
        <v>3.416152893275</v>
      </c>
      <c r="H25" s="318">
        <f>C25*DATA!$D$5/1000000</f>
        <v>27.5801411673547</v>
      </c>
      <c r="I25" s="318">
        <f>(C25*DATA!$D$5*DATA!$D$7)/1000000</f>
        <v>0.62055317626548068</v>
      </c>
      <c r="J25" s="316">
        <f t="shared" ca="1" si="1"/>
        <v>31.616847236895183</v>
      </c>
      <c r="K25" s="314"/>
      <c r="L25" s="316">
        <f>((D25*DATA!$D$23)/1000000)+((E25*DATA!$D$24)/1000000)</f>
        <v>36.753168000000002</v>
      </c>
      <c r="M25" s="316">
        <f t="shared" si="2"/>
        <v>36.753168000000002</v>
      </c>
      <c r="N25" s="316">
        <f t="shared" ca="1" si="6"/>
        <v>5.1363207631048198</v>
      </c>
      <c r="O25" s="315">
        <f>1/(1+'[93]Asumsi I'!$C$3)^(KKF!A25)</f>
        <v>0.13003959011721541</v>
      </c>
      <c r="P25" s="316">
        <f t="shared" ca="1" si="7"/>
        <v>0.66792504674469388</v>
      </c>
      <c r="Q25" s="316">
        <f t="shared" ca="1" si="9"/>
        <v>-82.779342035230684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25440</v>
      </c>
      <c r="D26" s="316">
        <f t="shared" si="5"/>
        <v>4240</v>
      </c>
      <c r="E26" s="316">
        <f t="shared" si="0"/>
        <v>21200</v>
      </c>
      <c r="F26" s="314"/>
      <c r="G26" s="318">
        <f ca="1">DATA!$D$11/1000000</f>
        <v>3.416152893275</v>
      </c>
      <c r="H26" s="318">
        <f>C26*DATA!$D$5/1000000</f>
        <v>27.5801411673547</v>
      </c>
      <c r="I26" s="318">
        <f>(C26*DATA!$D$5*DATA!$D$7)/1000000</f>
        <v>0.62055317626548068</v>
      </c>
      <c r="J26" s="316">
        <f t="shared" ca="1" si="1"/>
        <v>31.616847236895183</v>
      </c>
      <c r="K26" s="314"/>
      <c r="L26" s="316">
        <f>((D26*DATA!$D$23)/1000000)+((E26*DATA!$D$24)/1000000)</f>
        <v>36.753168000000002</v>
      </c>
      <c r="M26" s="316">
        <f t="shared" si="2"/>
        <v>36.753168000000002</v>
      </c>
      <c r="N26" s="316">
        <f t="shared" ca="1" si="6"/>
        <v>5.1363207631048198</v>
      </c>
      <c r="O26" s="315">
        <f>1/(1+'[93]Asumsi I'!$C$3)^(KKF!A26)</f>
        <v>0.1161067768903709</v>
      </c>
      <c r="P26" s="316">
        <f t="shared" ca="1" si="7"/>
        <v>0.59636164887919085</v>
      </c>
      <c r="Q26" s="316">
        <f t="shared" ca="1" si="9"/>
        <v>-82.182980386351488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25440</v>
      </c>
      <c r="D27" s="316">
        <f t="shared" si="5"/>
        <v>4240</v>
      </c>
      <c r="E27" s="316">
        <f t="shared" si="0"/>
        <v>21200</v>
      </c>
      <c r="F27" s="314"/>
      <c r="G27" s="318">
        <f ca="1">DATA!$D$11/1000000</f>
        <v>3.416152893275</v>
      </c>
      <c r="H27" s="318">
        <f>C27*DATA!$D$5/1000000</f>
        <v>27.5801411673547</v>
      </c>
      <c r="I27" s="318">
        <f>(C27*DATA!$D$5*DATA!$D$7)/1000000</f>
        <v>0.62055317626548068</v>
      </c>
      <c r="J27" s="316">
        <f t="shared" ca="1" si="1"/>
        <v>31.616847236895183</v>
      </c>
      <c r="K27" s="314"/>
      <c r="L27" s="316">
        <f>((D27*DATA!$D$23)/1000000)+((E27*DATA!$D$24)/1000000)</f>
        <v>36.753168000000002</v>
      </c>
      <c r="M27" s="316">
        <f t="shared" si="2"/>
        <v>36.753168000000002</v>
      </c>
      <c r="N27" s="316">
        <f t="shared" ca="1" si="6"/>
        <v>5.1363207631048198</v>
      </c>
      <c r="O27" s="315">
        <f>1/(1+'[93]Asumsi I'!$C$3)^(KKF!A27)</f>
        <v>0.1036667650806883</v>
      </c>
      <c r="P27" s="316">
        <f t="shared" ca="1" si="7"/>
        <v>0.532465757927849</v>
      </c>
      <c r="Q27" s="316">
        <f t="shared" ca="1" si="9"/>
        <v>-81.650514628423636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25440</v>
      </c>
      <c r="D28" s="316">
        <f t="shared" si="5"/>
        <v>4240</v>
      </c>
      <c r="E28" s="316">
        <f t="shared" si="0"/>
        <v>21200</v>
      </c>
      <c r="F28" s="314"/>
      <c r="G28" s="318">
        <f ca="1">DATA!$D$11/1000000</f>
        <v>3.416152893275</v>
      </c>
      <c r="H28" s="318">
        <f>C28*DATA!$D$5/1000000</f>
        <v>27.5801411673547</v>
      </c>
      <c r="I28" s="318">
        <f>(C28*DATA!$D$5*DATA!$D$7)/1000000</f>
        <v>0.62055317626548068</v>
      </c>
      <c r="J28" s="316">
        <f t="shared" ca="1" si="1"/>
        <v>31.616847236895183</v>
      </c>
      <c r="K28" s="314"/>
      <c r="L28" s="316">
        <f>((D28*DATA!$D$23)/1000000)+((E28*DATA!$D$24)/1000000)</f>
        <v>36.753168000000002</v>
      </c>
      <c r="M28" s="316">
        <f t="shared" si="2"/>
        <v>36.753168000000002</v>
      </c>
      <c r="N28" s="316">
        <f t="shared" ca="1" si="6"/>
        <v>5.1363207631048198</v>
      </c>
      <c r="O28" s="315">
        <f>1/(1+'[93]Asumsi I'!$C$3)^(KKF!A28)</f>
        <v>9.2559611679185971E-2</v>
      </c>
      <c r="P28" s="316">
        <f t="shared" ca="1" si="7"/>
        <v>0.47541585529272229</v>
      </c>
      <c r="Q28" s="316">
        <f t="shared" ca="1" si="9"/>
        <v>-81.175098773130912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25440</v>
      </c>
      <c r="D29" s="316">
        <f t="shared" si="5"/>
        <v>4240</v>
      </c>
      <c r="E29" s="316">
        <f t="shared" si="0"/>
        <v>21200</v>
      </c>
      <c r="F29" s="314"/>
      <c r="G29" s="318">
        <f ca="1">DATA!$D$11/1000000</f>
        <v>3.416152893275</v>
      </c>
      <c r="H29" s="318">
        <f>C29*DATA!$D$5/1000000</f>
        <v>27.5801411673547</v>
      </c>
      <c r="I29" s="318">
        <f>(C29*DATA!$D$5*DATA!$D$7)/1000000</f>
        <v>0.62055317626548068</v>
      </c>
      <c r="J29" s="316">
        <f t="shared" ca="1" si="1"/>
        <v>31.616847236895183</v>
      </c>
      <c r="K29" s="314"/>
      <c r="L29" s="316">
        <f>((D29*DATA!$D$23)/1000000)+((E29*DATA!$D$24)/1000000)</f>
        <v>36.753168000000002</v>
      </c>
      <c r="M29" s="316">
        <f t="shared" si="2"/>
        <v>36.753168000000002</v>
      </c>
      <c r="N29" s="316">
        <f t="shared" ca="1" si="6"/>
        <v>5.1363207631048198</v>
      </c>
      <c r="O29" s="315">
        <f>1/(1+'[93]Asumsi I'!$C$3)^(KKF!A29)</f>
        <v>8.2642510427844609E-2</v>
      </c>
      <c r="P29" s="316">
        <f t="shared" ca="1" si="7"/>
        <v>0.42447844222564485</v>
      </c>
      <c r="Q29" s="316">
        <f t="shared" ca="1" si="9"/>
        <v>-80.750620330905264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25440</v>
      </c>
      <c r="D30" s="316">
        <f t="shared" si="5"/>
        <v>4240</v>
      </c>
      <c r="E30" s="316">
        <f t="shared" si="0"/>
        <v>21200</v>
      </c>
      <c r="F30" s="314"/>
      <c r="G30" s="318">
        <f ca="1">DATA!$D$11/1000000</f>
        <v>3.416152893275</v>
      </c>
      <c r="H30" s="318">
        <f>C30*DATA!$D$5/1000000</f>
        <v>27.5801411673547</v>
      </c>
      <c r="I30" s="318">
        <f>(C30*DATA!$D$5*DATA!$D$7)/1000000</f>
        <v>0.62055317626548068</v>
      </c>
      <c r="J30" s="316">
        <f t="shared" ca="1" si="1"/>
        <v>31.616847236895183</v>
      </c>
      <c r="K30" s="314"/>
      <c r="L30" s="316">
        <f>((D30*DATA!$D$23)/1000000)+((E30*DATA!$D$24)/1000000)</f>
        <v>36.753168000000002</v>
      </c>
      <c r="M30" s="316">
        <f t="shared" si="2"/>
        <v>36.753168000000002</v>
      </c>
      <c r="N30" s="316">
        <f t="shared" ca="1" si="6"/>
        <v>5.1363207631048198</v>
      </c>
      <c r="O30" s="315">
        <f>1/(1+'[93]Asumsi I'!$C$3)^(KKF!A30)</f>
        <v>7.3787955739146982E-2</v>
      </c>
      <c r="P30" s="316">
        <f t="shared" ca="1" si="7"/>
        <v>0.37899860913004008</v>
      </c>
      <c r="Q30" s="316">
        <f t="shared" ca="1" si="9"/>
        <v>-80.371621721775227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25440</v>
      </c>
      <c r="D31" s="316">
        <f t="shared" si="5"/>
        <v>4240</v>
      </c>
      <c r="E31" s="316">
        <f t="shared" si="0"/>
        <v>21200</v>
      </c>
      <c r="F31" s="314"/>
      <c r="G31" s="318">
        <f ca="1">DATA!$D$11/1000000</f>
        <v>3.416152893275</v>
      </c>
      <c r="H31" s="318">
        <f>C31*DATA!$D$5/1000000</f>
        <v>27.5801411673547</v>
      </c>
      <c r="I31" s="318">
        <f>(C31*DATA!$D$5*DATA!$D$7)/1000000</f>
        <v>0.62055317626548068</v>
      </c>
      <c r="J31" s="316">
        <f t="shared" ca="1" si="1"/>
        <v>31.616847236895183</v>
      </c>
      <c r="K31" s="314"/>
      <c r="L31" s="316">
        <f>((D31*DATA!$D$23)/1000000)+((E31*DATA!$D$24)/1000000)</f>
        <v>36.753168000000002</v>
      </c>
      <c r="M31" s="316">
        <f t="shared" si="2"/>
        <v>36.753168000000002</v>
      </c>
      <c r="N31" s="316">
        <f t="shared" ca="1" si="6"/>
        <v>5.1363207631048198</v>
      </c>
      <c r="O31" s="315">
        <f>1/(1+'[93]Asumsi I'!$C$3)^(KKF!A31)</f>
        <v>6.5882103338524081E-2</v>
      </c>
      <c r="P31" s="316">
        <f t="shared" ca="1" si="7"/>
        <v>0.33839161529467859</v>
      </c>
      <c r="Q31" s="316">
        <f ca="1">Q30+P31</f>
        <v>-80.033230106480545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25440</v>
      </c>
      <c r="D32" s="316">
        <f t="shared" si="5"/>
        <v>4240</v>
      </c>
      <c r="E32" s="316">
        <f t="shared" si="0"/>
        <v>21200</v>
      </c>
      <c r="F32" s="314"/>
      <c r="G32" s="318">
        <f ca="1">DATA!$D$11/1000000</f>
        <v>3.416152893275</v>
      </c>
      <c r="H32" s="318">
        <f>C32*DATA!$D$5/1000000</f>
        <v>27.5801411673547</v>
      </c>
      <c r="I32" s="318">
        <f>(C32*DATA!$D$5*DATA!$D$7)/1000000</f>
        <v>0.62055317626548068</v>
      </c>
      <c r="J32" s="316">
        <f t="shared" ca="1" si="1"/>
        <v>31.616847236895183</v>
      </c>
      <c r="K32" s="314"/>
      <c r="L32" s="316">
        <f>((D32*DATA!$D$23)/1000000)+((E32*DATA!$D$24)/1000000)</f>
        <v>36.753168000000002</v>
      </c>
      <c r="M32" s="316">
        <f t="shared" si="2"/>
        <v>36.753168000000002</v>
      </c>
      <c r="N32" s="316">
        <f t="shared" ca="1" si="6"/>
        <v>5.1363207631048198</v>
      </c>
      <c r="O32" s="315">
        <f>1/(1+'[93]Asumsi I'!$C$3)^(KKF!A32)</f>
        <v>5.8823306552253637E-2</v>
      </c>
      <c r="P32" s="316">
        <f t="shared" ca="1" si="7"/>
        <v>0.30213537079882014</v>
      </c>
      <c r="Q32" s="316">
        <f ca="1">Q31+P32</f>
        <v>-79.731094735681722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1" t="s">
        <v>1374</v>
      </c>
      <c r="G33" s="621"/>
      <c r="H33" s="621"/>
      <c r="I33" s="324"/>
      <c r="J33" s="325">
        <f ca="1">SUM(J7:J32)</f>
        <v>974.04520992727794</v>
      </c>
      <c r="K33" s="621" t="s">
        <v>1375</v>
      </c>
      <c r="L33" s="621"/>
      <c r="M33" s="325">
        <f>SUM(M7:M32)</f>
        <v>982.43725599999971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35.750109363088285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1.0086156638184671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-71.188477442572974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5.2681120012536553E-3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4"/>
  <sheetViews>
    <sheetView showGridLines="0" tabSelected="1" zoomScale="70" zoomScaleNormal="70" zoomScaleSheetLayoutView="70" workbookViewId="0">
      <pane ySplit="13" topLeftCell="A69" activePane="bottomLeft" state="frozen"/>
      <selection activeCell="H1093" sqref="H1093"/>
      <selection pane="bottomLeft" activeCell="E79" sqref="E7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2" customWidth="1"/>
    <col min="4" max="4" width="13.7109375" style="412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8.75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1" t="str">
        <f>DATA!D14</f>
        <v>LAS SUTIYOSO</v>
      </c>
      <c r="H6" s="641"/>
      <c r="I6" s="641"/>
      <c r="J6" s="641"/>
      <c r="K6" s="64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7" t="s">
        <v>0</v>
      </c>
      <c r="C11" s="629" t="s">
        <v>1</v>
      </c>
      <c r="D11" s="632" t="s">
        <v>42</v>
      </c>
      <c r="E11" s="632" t="s">
        <v>43</v>
      </c>
      <c r="F11" s="632" t="s">
        <v>2</v>
      </c>
      <c r="G11" s="634" t="s">
        <v>41</v>
      </c>
      <c r="H11" s="632" t="s">
        <v>3</v>
      </c>
      <c r="I11" s="632"/>
      <c r="J11" s="632"/>
      <c r="K11" s="651"/>
      <c r="O11" s="351"/>
      <c r="P11" s="352"/>
      <c r="Q11" s="351"/>
      <c r="S11" s="353"/>
      <c r="T11" s="354"/>
      <c r="U11" s="354"/>
      <c r="V11" s="354"/>
    </row>
    <row r="12" spans="1:22">
      <c r="B12" s="628"/>
      <c r="C12" s="630"/>
      <c r="D12" s="633"/>
      <c r="E12" s="633"/>
      <c r="F12" s="633"/>
      <c r="G12" s="635"/>
      <c r="H12" s="637" t="s">
        <v>46</v>
      </c>
      <c r="I12" s="637" t="s">
        <v>5</v>
      </c>
      <c r="J12" s="633" t="s">
        <v>47</v>
      </c>
      <c r="K12" s="65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8"/>
      <c r="C13" s="631"/>
      <c r="D13" s="633"/>
      <c r="E13" s="633"/>
      <c r="F13" s="633"/>
      <c r="G13" s="636"/>
      <c r="H13" s="638"/>
      <c r="I13" s="638"/>
      <c r="J13" s="633"/>
      <c r="K13" s="65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" ca="1" si="8">IF(OR(D16="MDU",D16="MDU-KD"),(IF($O$3="RAB NON MDU","PLN KD",G16*F16)),0)</f>
        <v>0</v>
      </c>
      <c r="I16" s="361">
        <f t="shared" ref="I16" ca="1" si="9">IF(D16="HDW",G16*F16,0)</f>
        <v>0</v>
      </c>
      <c r="J16" s="361">
        <f t="shared" ref="J16" ca="1" si="10">IF(D16="JASA",G16*F16,0)</f>
        <v>0</v>
      </c>
      <c r="K16" s="362">
        <f t="shared" ref="K16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7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ref="H17:H19" ca="1" si="12">IF(OR(D17="MDU",D17="MDU-KD"),(IF($O$3="RAB NON MDU","PLN KD",G17*F17)),0)</f>
        <v>0</v>
      </c>
      <c r="I17" s="361">
        <f t="shared" ref="I17:I19" ca="1" si="13">IF(D17="HDW",G17*F17,0)</f>
        <v>40600000</v>
      </c>
      <c r="J17" s="361">
        <f t="shared" ref="J17:J19" ca="1" si="14">IF(D17="JASA",G17*F17,0)</f>
        <v>0</v>
      </c>
      <c r="K17" s="362">
        <f t="shared" ref="K17:K19" ca="1" si="15">SUM(H17:J17)</f>
        <v>40600000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>
        <v>2</v>
      </c>
      <c r="B18" s="356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4">
        <f>F17</f>
        <v>7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12"/>
        <v>0</v>
      </c>
      <c r="I18" s="361">
        <f t="shared" ca="1" si="13"/>
        <v>0</v>
      </c>
      <c r="J18" s="361">
        <f t="shared" ca="1" si="14"/>
        <v>70466.666666666672</v>
      </c>
      <c r="K18" s="362">
        <f t="shared" ca="1" si="15"/>
        <v>70466.666666666672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/>
      <c r="C19" s="357"/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 t="e">
        <f>IF(AND(C20=0,#REF!=0,#REF!=0),"BLANKS",1)</f>
        <v>#REF!</v>
      </c>
      <c r="B20" s="371" t="s">
        <v>1456</v>
      </c>
      <c r="C20" s="372" t="s">
        <v>1622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35" ca="1" si="16">IF(OR(D20="MDU",D20="MDU-KD"),(IF($O$3="RAB NON MDU","PLN KD",G20*F20)),0)</f>
        <v>0</v>
      </c>
      <c r="I20" s="361">
        <f t="shared" ref="I20:I35" ca="1" si="17">IF(D20="HDW",G20*F20,0)</f>
        <v>0</v>
      </c>
      <c r="J20" s="361">
        <f t="shared" ref="J20:J35" ca="1" si="18">IF(D20="JASA",G20*F20,0)</f>
        <v>0</v>
      </c>
      <c r="K20" s="362">
        <f t="shared" ref="K20:K35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497"/>
      <c r="C21" s="498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514" t="s">
        <v>1035</v>
      </c>
      <c r="C22" s="517" t="s">
        <v>1624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483">
        <v>5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6"/>
        <v>0</v>
      </c>
      <c r="I22" s="361">
        <f t="shared" ca="1" si="17"/>
        <v>0</v>
      </c>
      <c r="J22" s="361">
        <f t="shared" ca="1" si="18"/>
        <v>0</v>
      </c>
      <c r="K22" s="362">
        <f t="shared" ca="1" si="19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14">
        <v>1</v>
      </c>
      <c r="C23" s="517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483">
        <f>F22*1</f>
        <v>5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16"/>
        <v>0</v>
      </c>
      <c r="I23" s="361">
        <f t="shared" ca="1" si="17"/>
        <v>21060</v>
      </c>
      <c r="J23" s="361">
        <f t="shared" ca="1" si="18"/>
        <v>0</v>
      </c>
      <c r="K23" s="362">
        <f t="shared" ca="1" si="19"/>
        <v>21060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14">
        <v>2</v>
      </c>
      <c r="C24" s="517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83">
        <f>F22*1</f>
        <v>5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16"/>
        <v>0</v>
      </c>
      <c r="I24" s="361">
        <f t="shared" ca="1" si="17"/>
        <v>116550</v>
      </c>
      <c r="J24" s="361">
        <f t="shared" ca="1" si="18"/>
        <v>0</v>
      </c>
      <c r="K24" s="362">
        <f t="shared" ca="1" si="19"/>
        <v>116550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4">
        <v>3</v>
      </c>
      <c r="C25" s="517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3">
        <f>F22*1</f>
        <v>5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16"/>
        <v>0</v>
      </c>
      <c r="I25" s="361">
        <f t="shared" ca="1" si="17"/>
        <v>11500</v>
      </c>
      <c r="J25" s="361">
        <f t="shared" ca="1" si="18"/>
        <v>0</v>
      </c>
      <c r="K25" s="362">
        <f t="shared" ca="1" si="19"/>
        <v>11500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4">
        <v>4</v>
      </c>
      <c r="C26" s="517" t="s">
        <v>609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3">
        <f>F22*1</f>
        <v>5</v>
      </c>
      <c r="G26" s="360">
        <f ca="1">IF(ISERROR(OFFSET('HARGA SATUAN'!$I$6,MATCH(RAB!C26,'HARGA SATUAN'!$C$7:$C$1492,0),0)),0,OFFSET('HARGA SATUAN'!$I$6,MATCH(RAB!C26,'HARGA SATUAN'!$C$7:$C$1492,0),0))</f>
        <v>71000</v>
      </c>
      <c r="H26" s="361">
        <f t="shared" ca="1" si="16"/>
        <v>0</v>
      </c>
      <c r="I26" s="361">
        <f t="shared" ca="1" si="17"/>
        <v>355000</v>
      </c>
      <c r="J26" s="361">
        <f t="shared" ca="1" si="18"/>
        <v>0</v>
      </c>
      <c r="K26" s="362">
        <f t="shared" ca="1" si="19"/>
        <v>355000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4">
        <v>5</v>
      </c>
      <c r="C27" s="517" t="s">
        <v>629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483">
        <f>F22*1</f>
        <v>5</v>
      </c>
      <c r="G27" s="360">
        <f ca="1">IF(ISERROR(OFFSET('HARGA SATUAN'!$I$6,MATCH(RAB!C27,'HARGA SATUAN'!$C$7:$C$1492,0),0)),0,OFFSET('HARGA SATUAN'!$I$6,MATCH(RAB!C27,'HARGA SATUAN'!$C$7:$C$1492,0),0))</f>
        <v>29400</v>
      </c>
      <c r="H27" s="361">
        <f t="shared" ca="1" si="16"/>
        <v>0</v>
      </c>
      <c r="I27" s="361">
        <f t="shared" ca="1" si="17"/>
        <v>0</v>
      </c>
      <c r="J27" s="361">
        <f t="shared" ca="1" si="18"/>
        <v>147000</v>
      </c>
      <c r="K27" s="362">
        <f t="shared" ca="1" si="19"/>
        <v>147000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4"/>
      <c r="C28" s="517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483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6"/>
        <v>0</v>
      </c>
      <c r="I28" s="361">
        <f t="shared" ca="1" si="17"/>
        <v>0</v>
      </c>
      <c r="J28" s="361">
        <f t="shared" ca="1" si="18"/>
        <v>0</v>
      </c>
      <c r="K28" s="362">
        <f t="shared" ca="1" si="19"/>
        <v>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4" t="s">
        <v>1035</v>
      </c>
      <c r="C29" s="517" t="s">
        <v>1625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483">
        <v>7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6"/>
        <v>0</v>
      </c>
      <c r="I29" s="361">
        <f t="shared" ca="1" si="17"/>
        <v>0</v>
      </c>
      <c r="J29" s="361">
        <f t="shared" ca="1" si="18"/>
        <v>0</v>
      </c>
      <c r="K29" s="362">
        <f t="shared" ca="1" si="19"/>
        <v>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4">
        <v>1</v>
      </c>
      <c r="C30" s="517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3">
        <f>F29*1</f>
        <v>7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16"/>
        <v>0</v>
      </c>
      <c r="I30" s="361">
        <f t="shared" ca="1" si="17"/>
        <v>549500</v>
      </c>
      <c r="J30" s="361">
        <f t="shared" ca="1" si="18"/>
        <v>0</v>
      </c>
      <c r="K30" s="362">
        <f t="shared" ca="1" si="19"/>
        <v>549500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14">
        <v>2</v>
      </c>
      <c r="C31" s="517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3">
        <f>F29*1</f>
        <v>7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16"/>
        <v>0</v>
      </c>
      <c r="I31" s="361">
        <f t="shared" ca="1" si="17"/>
        <v>29484</v>
      </c>
      <c r="J31" s="361">
        <f t="shared" ca="1" si="18"/>
        <v>0</v>
      </c>
      <c r="K31" s="362">
        <f t="shared" ca="1" si="19"/>
        <v>29484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14">
        <v>3</v>
      </c>
      <c r="C32" s="517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483">
        <f>F29*1</f>
        <v>7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16"/>
        <v>0</v>
      </c>
      <c r="I32" s="361">
        <f t="shared" ca="1" si="17"/>
        <v>163170</v>
      </c>
      <c r="J32" s="361">
        <f t="shared" ca="1" si="18"/>
        <v>0</v>
      </c>
      <c r="K32" s="362">
        <f t="shared" ca="1" si="19"/>
        <v>163170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14">
        <v>4</v>
      </c>
      <c r="C33" s="517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3">
        <f>F29*1</f>
        <v>7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16"/>
        <v>0</v>
      </c>
      <c r="I33" s="361">
        <f t="shared" ca="1" si="17"/>
        <v>16100</v>
      </c>
      <c r="J33" s="361">
        <f t="shared" ca="1" si="18"/>
        <v>0</v>
      </c>
      <c r="K33" s="362">
        <f t="shared" ca="1" si="19"/>
        <v>16100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14">
        <v>5</v>
      </c>
      <c r="C34" s="517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483">
        <f>F29*1</f>
        <v>7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16"/>
        <v>0</v>
      </c>
      <c r="I34" s="361">
        <f t="shared" ca="1" si="17"/>
        <v>0</v>
      </c>
      <c r="J34" s="361">
        <f t="shared" ca="1" si="18"/>
        <v>249900</v>
      </c>
      <c r="K34" s="362">
        <f t="shared" ca="1" si="19"/>
        <v>249900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497"/>
      <c r="C35" s="498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6"/>
        <v>0</v>
      </c>
      <c r="I35" s="361">
        <f t="shared" ca="1" si="17"/>
        <v>0</v>
      </c>
      <c r="J35" s="361">
        <f t="shared" ca="1" si="18"/>
        <v>0</v>
      </c>
      <c r="K35" s="362">
        <f t="shared" ca="1" si="19"/>
        <v>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18" t="s">
        <v>1035</v>
      </c>
      <c r="C36" s="519" t="s">
        <v>1630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483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43" ca="1" si="20">IF(OR(D36="MDU",D36="MDU-KD"),(IF($O$3="RAB NON MDU","PLN KD",G36*F36)),0)</f>
        <v>0</v>
      </c>
      <c r="I36" s="361">
        <f t="shared" ref="I36:I43" ca="1" si="21">IF(D36="HDW",G36*F36,0)</f>
        <v>0</v>
      </c>
      <c r="J36" s="361">
        <f t="shared" ref="J36:J43" ca="1" si="22">IF(D36="JASA",G36*F36,0)</f>
        <v>0</v>
      </c>
      <c r="K36" s="362">
        <f t="shared" ref="K36:K43" ca="1" si="23">SUM(H36:J36)</f>
        <v>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18">
        <v>1</v>
      </c>
      <c r="C37" s="519" t="s">
        <v>216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3">
        <f>F36*1</f>
        <v>1</v>
      </c>
      <c r="G37" s="360">
        <f ca="1">IF(ISERROR(OFFSET('HARGA SATUAN'!$I$6,MATCH(RAB!C37,'HARGA SATUAN'!$C$7:$C$1492,0),0)),0,OFFSET('HARGA SATUAN'!$I$6,MATCH(RAB!C37,'HARGA SATUAN'!$C$7:$C$1492,0),0))</f>
        <v>116800</v>
      </c>
      <c r="H37" s="361">
        <f t="shared" ca="1" si="20"/>
        <v>0</v>
      </c>
      <c r="I37" s="361">
        <f t="shared" ca="1" si="21"/>
        <v>116800</v>
      </c>
      <c r="J37" s="361">
        <f t="shared" ca="1" si="22"/>
        <v>0</v>
      </c>
      <c r="K37" s="362">
        <f t="shared" ca="1" si="23"/>
        <v>116800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18">
        <v>2</v>
      </c>
      <c r="C38" s="519" t="s">
        <v>229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3">
        <f>F36*1</f>
        <v>1</v>
      </c>
      <c r="G38" s="360">
        <f ca="1">IF(ISERROR(OFFSET('HARGA SATUAN'!$I$6,MATCH(RAB!C38,'HARGA SATUAN'!$C$7:$C$1492,0),0)),0,OFFSET('HARGA SATUAN'!$I$6,MATCH(RAB!C38,'HARGA SATUAN'!$C$7:$C$1492,0),0))</f>
        <v>4212</v>
      </c>
      <c r="H38" s="361">
        <f t="shared" ca="1" si="20"/>
        <v>0</v>
      </c>
      <c r="I38" s="361">
        <f t="shared" ca="1" si="21"/>
        <v>4212</v>
      </c>
      <c r="J38" s="361">
        <f t="shared" ca="1" si="22"/>
        <v>0</v>
      </c>
      <c r="K38" s="362">
        <f t="shared" ca="1" si="23"/>
        <v>4212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18">
        <v>3</v>
      </c>
      <c r="C39" s="519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83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ca="1" si="20"/>
        <v>0</v>
      </c>
      <c r="I39" s="361">
        <f t="shared" ca="1" si="21"/>
        <v>23310</v>
      </c>
      <c r="J39" s="361">
        <f t="shared" ca="1" si="22"/>
        <v>0</v>
      </c>
      <c r="K39" s="362">
        <f t="shared" ca="1" si="23"/>
        <v>23310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18">
        <v>4</v>
      </c>
      <c r="C40" s="519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3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0"/>
        <v>0</v>
      </c>
      <c r="I40" s="361">
        <f t="shared" ca="1" si="21"/>
        <v>2300</v>
      </c>
      <c r="J40" s="361">
        <f t="shared" ca="1" si="22"/>
        <v>0</v>
      </c>
      <c r="K40" s="362">
        <f t="shared" ca="1" si="23"/>
        <v>2300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18">
        <v>5</v>
      </c>
      <c r="C41" s="519" t="s">
        <v>631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83">
        <f>F36*1</f>
        <v>1</v>
      </c>
      <c r="G41" s="360">
        <f ca="1">IF(ISERROR(OFFSET('HARGA SATUAN'!$I$6,MATCH(RAB!C41,'HARGA SATUAN'!$C$7:$C$1492,0),0)),0,OFFSET('HARGA SATUAN'!$I$6,MATCH(RAB!C41,'HARGA SATUAN'!$C$7:$C$1492,0),0))</f>
        <v>30700</v>
      </c>
      <c r="H41" s="361">
        <f t="shared" ca="1" si="20"/>
        <v>0</v>
      </c>
      <c r="I41" s="361">
        <f t="shared" ca="1" si="21"/>
        <v>0</v>
      </c>
      <c r="J41" s="361">
        <f t="shared" ca="1" si="22"/>
        <v>30700</v>
      </c>
      <c r="K41" s="362">
        <f t="shared" ca="1" si="23"/>
        <v>30700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497"/>
      <c r="C42" s="498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0"/>
        <v>0</v>
      </c>
      <c r="I42" s="361">
        <f t="shared" ca="1" si="21"/>
        <v>0</v>
      </c>
      <c r="J42" s="361">
        <f t="shared" ca="1" si="22"/>
        <v>0</v>
      </c>
      <c r="K42" s="362">
        <f t="shared" ca="1" si="23"/>
        <v>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65" customFormat="1">
      <c r="A43" s="336"/>
      <c r="B43" s="373"/>
      <c r="C43" s="508" t="s">
        <v>1616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0"/>
        <v>0</v>
      </c>
      <c r="I43" s="361">
        <f t="shared" ca="1" si="21"/>
        <v>0</v>
      </c>
      <c r="J43" s="361">
        <f t="shared" ca="1" si="22"/>
        <v>0</v>
      </c>
      <c r="K43" s="362">
        <f t="shared" ca="1" si="23"/>
        <v>0</v>
      </c>
      <c r="L43" s="342"/>
      <c r="M43" s="342"/>
      <c r="N43" s="369"/>
      <c r="O43" s="344"/>
      <c r="P43" s="344"/>
      <c r="Q43" s="398"/>
      <c r="R43" s="344"/>
      <c r="S43" s="398"/>
      <c r="T43" s="399"/>
      <c r="U43" s="399"/>
      <c r="V43" s="399"/>
    </row>
    <row r="44" spans="1:22" s="365" customFormat="1">
      <c r="A44" s="336"/>
      <c r="B44" s="373">
        <v>1</v>
      </c>
      <c r="C44" s="109" t="s">
        <v>1462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483">
        <f>9*55</f>
        <v>495</v>
      </c>
      <c r="G44" s="360">
        <f ca="1">IF(ISERROR(OFFSET('HARGA SATUAN'!$I$6,MATCH(RAB!C44,'HARGA SATUAN'!$C$7:$C$1492,0),0)),0,OFFSET('HARGA SATUAN'!$I$6,MATCH(RAB!C44,'HARGA SATUAN'!$C$7:$C$1492,0),0))</f>
        <v>54500</v>
      </c>
      <c r="H44" s="361">
        <f t="shared" ref="H44:H45" ca="1" si="24">IF(OR(D44="MDU",D44="MDU-KD"),(IF($O$3="RAB NON MDU","PLN KD",G44*F44)),0)</f>
        <v>26977500</v>
      </c>
      <c r="I44" s="361">
        <f t="shared" ref="I44:I45" ca="1" si="25">IF(D44="HDW",G44*F44,0)</f>
        <v>0</v>
      </c>
      <c r="J44" s="361">
        <f t="shared" ref="J44:J45" ca="1" si="26">IF(D44="JASA",G44*F44,0)</f>
        <v>0</v>
      </c>
      <c r="K44" s="362">
        <f t="shared" ref="K44:K45" ca="1" si="27">SUM(H44:J44)</f>
        <v>26977500</v>
      </c>
      <c r="L44" s="342"/>
      <c r="M44" s="342"/>
      <c r="N44" s="369"/>
      <c r="O44" s="344"/>
      <c r="P44" s="344"/>
      <c r="Q44" s="398"/>
      <c r="R44" s="344"/>
      <c r="S44" s="398"/>
      <c r="T44" s="399"/>
      <c r="U44" s="399"/>
      <c r="V44" s="399"/>
    </row>
    <row r="45" spans="1:22" s="365" customFormat="1">
      <c r="A45" s="336"/>
      <c r="B45" s="373">
        <v>2</v>
      </c>
      <c r="C45" s="109" t="s">
        <v>346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Per 50 m</v>
      </c>
      <c r="F45" s="483">
        <f>F44/50</f>
        <v>9.9</v>
      </c>
      <c r="G45" s="360">
        <f ca="1">IF(ISERROR(OFFSET('HARGA SATUAN'!$I$6,MATCH(RAB!C45,'HARGA SATUAN'!$C$7:$C$1492,0),0)),0,OFFSET('HARGA SATUAN'!$I$6,MATCH(RAB!C45,'HARGA SATUAN'!$C$7:$C$1492,0),0))</f>
        <v>223500</v>
      </c>
      <c r="H45" s="361">
        <f t="shared" ca="1" si="24"/>
        <v>0</v>
      </c>
      <c r="I45" s="361">
        <f t="shared" ca="1" si="25"/>
        <v>0</v>
      </c>
      <c r="J45" s="361">
        <f t="shared" ca="1" si="26"/>
        <v>2212650</v>
      </c>
      <c r="K45" s="362">
        <f t="shared" ca="1" si="27"/>
        <v>2212650</v>
      </c>
      <c r="L45" s="342"/>
      <c r="M45" s="342"/>
      <c r="N45" s="369"/>
      <c r="O45" s="344"/>
      <c r="P45" s="344"/>
      <c r="Q45" s="398"/>
      <c r="R45" s="344"/>
      <c r="S45" s="398"/>
      <c r="T45" s="399"/>
      <c r="U45" s="399"/>
      <c r="V45" s="399"/>
    </row>
    <row r="46" spans="1:22" s="365" customFormat="1">
      <c r="A46" s="336"/>
      <c r="B46" s="373"/>
      <c r="C46" s="374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483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67" ca="1" si="28">IF(OR(D46="MDU",D46="MDU-KD"),(IF($O$3="RAB NON MDU","PLN KD",G46*F46)),0)</f>
        <v>0</v>
      </c>
      <c r="I46" s="361">
        <f t="shared" ref="I46:I67" ca="1" si="29">IF(D46="HDW",G46*F46,0)</f>
        <v>0</v>
      </c>
      <c r="J46" s="361">
        <f t="shared" ref="J46:J67" ca="1" si="30">IF(D46="JASA",G46*F46,0)</f>
        <v>0</v>
      </c>
      <c r="K46" s="362">
        <f t="shared" ref="K46:K67" ca="1" si="31">SUM(H46:J46)</f>
        <v>0</v>
      </c>
      <c r="L46" s="342"/>
      <c r="M46" s="342"/>
      <c r="N46" s="369"/>
      <c r="O46" s="344"/>
      <c r="P46" s="344"/>
      <c r="Q46" s="398"/>
      <c r="R46" s="344"/>
      <c r="S46" s="398"/>
      <c r="T46" s="399"/>
      <c r="U46" s="399"/>
      <c r="V46" s="399"/>
    </row>
    <row r="47" spans="1:22" s="365" customFormat="1">
      <c r="A47" s="336"/>
      <c r="B47" s="373"/>
      <c r="C47" s="508" t="s">
        <v>1618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483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8"/>
        <v>0</v>
      </c>
      <c r="I47" s="361">
        <f t="shared" ca="1" si="29"/>
        <v>0</v>
      </c>
      <c r="J47" s="361">
        <f t="shared" ca="1" si="30"/>
        <v>0</v>
      </c>
      <c r="K47" s="362">
        <f t="shared" ca="1" si="31"/>
        <v>0</v>
      </c>
      <c r="L47" s="342"/>
      <c r="M47" s="342"/>
      <c r="N47" s="369"/>
      <c r="O47" s="344"/>
      <c r="P47" s="344"/>
      <c r="Q47" s="398"/>
      <c r="R47" s="344"/>
      <c r="S47" s="398"/>
      <c r="T47" s="399"/>
      <c r="U47" s="399"/>
      <c r="V47" s="399"/>
    </row>
    <row r="48" spans="1:22" s="365" customFormat="1">
      <c r="A48" s="336"/>
      <c r="B48" s="373"/>
      <c r="C48" s="374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483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8"/>
        <v>0</v>
      </c>
      <c r="I48" s="361">
        <f t="shared" ca="1" si="29"/>
        <v>0</v>
      </c>
      <c r="J48" s="361">
        <f t="shared" ca="1" si="30"/>
        <v>0</v>
      </c>
      <c r="K48" s="362">
        <f t="shared" ca="1" si="31"/>
        <v>0</v>
      </c>
      <c r="L48" s="342"/>
      <c r="M48" s="342"/>
      <c r="N48" s="369"/>
      <c r="O48" s="344"/>
      <c r="P48" s="344"/>
      <c r="Q48" s="398"/>
      <c r="R48" s="344"/>
      <c r="S48" s="398"/>
      <c r="T48" s="399"/>
      <c r="U48" s="399"/>
      <c r="V48" s="399"/>
    </row>
    <row r="49" spans="1:22" s="365" customFormat="1">
      <c r="A49" s="336"/>
      <c r="B49" s="505" t="s">
        <v>1035</v>
      </c>
      <c r="C49" s="506" t="s">
        <v>1619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483">
        <v>2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8"/>
        <v>0</v>
      </c>
      <c r="I49" s="361">
        <f t="shared" ca="1" si="29"/>
        <v>0</v>
      </c>
      <c r="J49" s="361">
        <f t="shared" ca="1" si="30"/>
        <v>0</v>
      </c>
      <c r="K49" s="362">
        <f t="shared" ca="1" si="31"/>
        <v>0</v>
      </c>
      <c r="L49" s="342"/>
      <c r="M49" s="342"/>
      <c r="N49" s="369"/>
      <c r="O49" s="344"/>
      <c r="P49" s="344"/>
      <c r="Q49" s="398"/>
      <c r="R49" s="344"/>
      <c r="S49" s="398"/>
      <c r="T49" s="399"/>
      <c r="U49" s="399"/>
      <c r="V49" s="399"/>
    </row>
    <row r="50" spans="1:22" s="365" customFormat="1">
      <c r="A50" s="336"/>
      <c r="B50" s="505">
        <v>1</v>
      </c>
      <c r="C50" s="506" t="s">
        <v>28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3">
        <f>F49*1</f>
        <v>2</v>
      </c>
      <c r="G50" s="360">
        <f ca="1">IF(ISERROR(OFFSET('HARGA SATUAN'!$I$6,MATCH(RAB!C50,'HARGA SATUAN'!$C$7:$C$1492,0),0)),0,OFFSET('HARGA SATUAN'!$I$6,MATCH(RAB!C50,'HARGA SATUAN'!$C$7:$C$1492,0),0))</f>
        <v>26500</v>
      </c>
      <c r="H50" s="361">
        <f t="shared" ca="1" si="28"/>
        <v>0</v>
      </c>
      <c r="I50" s="361">
        <f t="shared" ca="1" si="29"/>
        <v>53000</v>
      </c>
      <c r="J50" s="361">
        <f t="shared" ca="1" si="30"/>
        <v>0</v>
      </c>
      <c r="K50" s="362">
        <f t="shared" ca="1" si="31"/>
        <v>53000</v>
      </c>
      <c r="L50" s="342"/>
      <c r="M50" s="342"/>
      <c r="N50" s="369"/>
      <c r="O50" s="344"/>
      <c r="P50" s="344"/>
      <c r="Q50" s="398"/>
      <c r="R50" s="344"/>
      <c r="S50" s="398"/>
      <c r="T50" s="399"/>
      <c r="U50" s="399"/>
      <c r="V50" s="399"/>
    </row>
    <row r="51" spans="1:22" s="365" customFormat="1">
      <c r="A51" s="336"/>
      <c r="B51" s="505">
        <v>2</v>
      </c>
      <c r="C51" s="506" t="s">
        <v>203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83">
        <f>F49*1</f>
        <v>2</v>
      </c>
      <c r="G51" s="360">
        <f ca="1">IF(ISERROR(OFFSET('HARGA SATUAN'!$I$6,MATCH(RAB!C51,'HARGA SATUAN'!$C$7:$C$1492,0),0)),0,OFFSET('HARGA SATUAN'!$I$6,MATCH(RAB!C51,'HARGA SATUAN'!$C$7:$C$1492,0),0))</f>
        <v>12500</v>
      </c>
      <c r="H51" s="361">
        <f t="shared" ca="1" si="28"/>
        <v>0</v>
      </c>
      <c r="I51" s="361">
        <f t="shared" ca="1" si="29"/>
        <v>25000</v>
      </c>
      <c r="J51" s="361">
        <f t="shared" ca="1" si="30"/>
        <v>0</v>
      </c>
      <c r="K51" s="362">
        <f t="shared" ca="1" si="31"/>
        <v>25000</v>
      </c>
      <c r="L51" s="342"/>
      <c r="M51" s="342"/>
      <c r="N51" s="369"/>
      <c r="O51" s="344"/>
      <c r="P51" s="344"/>
      <c r="Q51" s="398"/>
      <c r="R51" s="344"/>
      <c r="S51" s="398"/>
      <c r="T51" s="399"/>
      <c r="U51" s="399"/>
      <c r="V51" s="399"/>
    </row>
    <row r="52" spans="1:22" s="365" customFormat="1">
      <c r="A52" s="336"/>
      <c r="B52" s="505">
        <v>3</v>
      </c>
      <c r="C52" s="506" t="s">
        <v>206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Mtr</v>
      </c>
      <c r="F52" s="483">
        <f>F49*12</f>
        <v>24</v>
      </c>
      <c r="G52" s="360">
        <f ca="1">IF(ISERROR(OFFSET('HARGA SATUAN'!$I$6,MATCH(RAB!C52,'HARGA SATUAN'!$C$7:$C$1492,0),0)),0,OFFSET('HARGA SATUAN'!$I$6,MATCH(RAB!C52,'HARGA SATUAN'!$C$7:$C$1492,0),0))</f>
        <v>39204</v>
      </c>
      <c r="H52" s="361">
        <f t="shared" ca="1" si="28"/>
        <v>0</v>
      </c>
      <c r="I52" s="361">
        <f t="shared" ca="1" si="29"/>
        <v>940896</v>
      </c>
      <c r="J52" s="361">
        <f t="shared" ca="1" si="30"/>
        <v>0</v>
      </c>
      <c r="K52" s="362">
        <f t="shared" ca="1" si="31"/>
        <v>940896</v>
      </c>
      <c r="L52" s="342"/>
      <c r="M52" s="342"/>
      <c r="N52" s="369"/>
      <c r="O52" s="344"/>
      <c r="P52" s="344"/>
      <c r="Q52" s="398"/>
      <c r="R52" s="344"/>
      <c r="S52" s="398"/>
      <c r="T52" s="399"/>
      <c r="U52" s="399"/>
      <c r="V52" s="399"/>
    </row>
    <row r="53" spans="1:22" s="365" customFormat="1">
      <c r="A53" s="336"/>
      <c r="B53" s="505">
        <v>4</v>
      </c>
      <c r="C53" s="506" t="s">
        <v>287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83">
        <f>F49*2</f>
        <v>4</v>
      </c>
      <c r="G53" s="360">
        <f ca="1">IF(ISERROR(OFFSET('HARGA SATUAN'!$I$6,MATCH(RAB!C53,'HARGA SATUAN'!$C$7:$C$1492,0),0)),0,OFFSET('HARGA SATUAN'!$I$6,MATCH(RAB!C53,'HARGA SATUAN'!$C$7:$C$1492,0),0))</f>
        <v>40000</v>
      </c>
      <c r="H53" s="361">
        <f t="shared" ca="1" si="28"/>
        <v>0</v>
      </c>
      <c r="I53" s="361">
        <f t="shared" ca="1" si="29"/>
        <v>160000</v>
      </c>
      <c r="J53" s="361">
        <f t="shared" ca="1" si="30"/>
        <v>0</v>
      </c>
      <c r="K53" s="362">
        <f t="shared" ca="1" si="31"/>
        <v>160000</v>
      </c>
      <c r="L53" s="342"/>
      <c r="M53" s="342"/>
      <c r="N53" s="369"/>
      <c r="O53" s="344"/>
      <c r="P53" s="344"/>
      <c r="Q53" s="398"/>
      <c r="R53" s="344"/>
      <c r="S53" s="398"/>
      <c r="T53" s="399"/>
      <c r="U53" s="399"/>
      <c r="V53" s="399"/>
    </row>
    <row r="54" spans="1:22" s="365" customFormat="1">
      <c r="A54" s="336"/>
      <c r="B54" s="505">
        <v>5</v>
      </c>
      <c r="C54" s="506" t="s">
        <v>26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83">
        <f>F49*1</f>
        <v>2</v>
      </c>
      <c r="G54" s="360">
        <f ca="1">IF(ISERROR(OFFSET('HARGA SATUAN'!$I$6,MATCH(RAB!C54,'HARGA SATUAN'!$C$7:$C$1492,0),0)),0,OFFSET('HARGA SATUAN'!$I$6,MATCH(RAB!C54,'HARGA SATUAN'!$C$7:$C$1492,0),0))</f>
        <v>2500</v>
      </c>
      <c r="H54" s="361">
        <f t="shared" ca="1" si="28"/>
        <v>0</v>
      </c>
      <c r="I54" s="361">
        <f t="shared" ca="1" si="29"/>
        <v>5000</v>
      </c>
      <c r="J54" s="361">
        <f t="shared" ca="1" si="30"/>
        <v>0</v>
      </c>
      <c r="K54" s="362">
        <f t="shared" ca="1" si="31"/>
        <v>5000</v>
      </c>
      <c r="L54" s="342"/>
      <c r="M54" s="342"/>
      <c r="N54" s="369"/>
      <c r="O54" s="344"/>
      <c r="P54" s="344"/>
      <c r="Q54" s="398"/>
      <c r="R54" s="344"/>
      <c r="S54" s="398"/>
      <c r="T54" s="399"/>
      <c r="U54" s="399"/>
      <c r="V54" s="399"/>
    </row>
    <row r="55" spans="1:22" s="365" customFormat="1">
      <c r="A55" s="336"/>
      <c r="B55" s="505">
        <v>6</v>
      </c>
      <c r="C55" s="506" t="s">
        <v>760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483">
        <f>F49*1</f>
        <v>2</v>
      </c>
      <c r="G55" s="360">
        <f ca="1">IF(ISERROR(OFFSET('HARGA SATUAN'!$I$6,MATCH(RAB!C55,'HARGA SATUAN'!$C$7:$C$1492,0),0)),0,OFFSET('HARGA SATUAN'!$I$6,MATCH(RAB!C55,'HARGA SATUAN'!$C$7:$C$1492,0),0))</f>
        <v>36600</v>
      </c>
      <c r="H55" s="361">
        <f t="shared" ca="1" si="28"/>
        <v>0</v>
      </c>
      <c r="I55" s="361">
        <f t="shared" ca="1" si="29"/>
        <v>0</v>
      </c>
      <c r="J55" s="361">
        <f t="shared" ca="1" si="30"/>
        <v>73200</v>
      </c>
      <c r="K55" s="362">
        <f t="shared" ca="1" si="31"/>
        <v>73200</v>
      </c>
      <c r="L55" s="342"/>
      <c r="M55" s="342"/>
      <c r="N55" s="369"/>
      <c r="O55" s="344"/>
      <c r="P55" s="344"/>
      <c r="Q55" s="398"/>
      <c r="R55" s="344"/>
      <c r="S55" s="398"/>
      <c r="T55" s="399"/>
      <c r="U55" s="399"/>
      <c r="V55" s="399"/>
    </row>
    <row r="56" spans="1:22" s="365" customFormat="1">
      <c r="A56" s="336"/>
      <c r="B56" s="373"/>
      <c r="C56" s="374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483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8"/>
        <v>0</v>
      </c>
      <c r="I56" s="361">
        <f t="shared" ca="1" si="29"/>
        <v>0</v>
      </c>
      <c r="J56" s="361">
        <f t="shared" ca="1" si="30"/>
        <v>0</v>
      </c>
      <c r="K56" s="362">
        <f t="shared" ca="1" si="31"/>
        <v>0</v>
      </c>
      <c r="L56" s="342"/>
      <c r="M56" s="342"/>
      <c r="N56" s="369"/>
      <c r="O56" s="344"/>
      <c r="P56" s="344"/>
      <c r="Q56" s="398"/>
      <c r="R56" s="344"/>
      <c r="S56" s="398"/>
      <c r="T56" s="399"/>
      <c r="U56" s="399"/>
      <c r="V56" s="399"/>
    </row>
    <row r="57" spans="1:22" s="365" customFormat="1">
      <c r="A57" s="336"/>
      <c r="B57" s="505" t="s">
        <v>1035</v>
      </c>
      <c r="C57" s="506" t="s">
        <v>1620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483">
        <f>F49</f>
        <v>2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  <c r="L57" s="342"/>
      <c r="M57" s="342"/>
      <c r="N57" s="369"/>
      <c r="O57" s="344"/>
      <c r="P57" s="344"/>
      <c r="Q57" s="398"/>
      <c r="R57" s="344"/>
      <c r="S57" s="398"/>
      <c r="T57" s="399"/>
      <c r="U57" s="399"/>
      <c r="V57" s="399"/>
    </row>
    <row r="58" spans="1:22" s="365" customFormat="1">
      <c r="A58" s="336"/>
      <c r="B58" s="511">
        <v>1</v>
      </c>
      <c r="C58" s="512" t="s">
        <v>597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483">
        <f>F57*1</f>
        <v>2</v>
      </c>
      <c r="G58" s="360">
        <f ca="1">IF(ISERROR(OFFSET('HARGA SATUAN'!$I$6,MATCH(RAB!C58,'HARGA SATUAN'!$C$7:$C$1492,0),0)),0,OFFSET('HARGA SATUAN'!$I$6,MATCH(RAB!C58,'HARGA SATUAN'!$C$7:$C$1492,0),0))</f>
        <v>120900</v>
      </c>
      <c r="H58" s="361">
        <f t="shared" ca="1" si="28"/>
        <v>0</v>
      </c>
      <c r="I58" s="361">
        <f t="shared" ca="1" si="29"/>
        <v>241800</v>
      </c>
      <c r="J58" s="361">
        <f t="shared" ca="1" si="30"/>
        <v>0</v>
      </c>
      <c r="K58" s="362">
        <f t="shared" ca="1" si="31"/>
        <v>241800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509">
        <v>2</v>
      </c>
      <c r="C59" s="510" t="s">
        <v>261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83">
        <f>F57*1</f>
        <v>2</v>
      </c>
      <c r="G59" s="360">
        <f ca="1">IF(ISERROR(OFFSET('HARGA SATUAN'!$I$6,MATCH(RAB!C59,'HARGA SATUAN'!$C$7:$C$1492,0),0)),0,OFFSET('HARGA SATUAN'!$I$6,MATCH(RAB!C59,'HARGA SATUAN'!$C$7:$C$1492,0),0))</f>
        <v>135800</v>
      </c>
      <c r="H59" s="361">
        <f t="shared" ca="1" si="28"/>
        <v>0</v>
      </c>
      <c r="I59" s="361">
        <f t="shared" ca="1" si="29"/>
        <v>271600</v>
      </c>
      <c r="J59" s="361">
        <f t="shared" ca="1" si="30"/>
        <v>0</v>
      </c>
      <c r="K59" s="362">
        <f t="shared" ca="1" si="31"/>
        <v>271600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09">
        <v>3</v>
      </c>
      <c r="C60" s="507" t="s">
        <v>214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4">
        <f>F57*1</f>
        <v>2</v>
      </c>
      <c r="G60" s="360">
        <f ca="1">IF(ISERROR(OFFSET('HARGA SATUAN'!$I$6,MATCH(RAB!C60,'HARGA SATUAN'!$C$7:$C$1492,0),0)),0,OFFSET('HARGA SATUAN'!$I$6,MATCH(RAB!C60,'HARGA SATUAN'!$C$7:$C$1492,0),0))</f>
        <v>4500</v>
      </c>
      <c r="H60" s="361">
        <f t="shared" ca="1" si="28"/>
        <v>0</v>
      </c>
      <c r="I60" s="361">
        <f t="shared" ca="1" si="29"/>
        <v>9000</v>
      </c>
      <c r="J60" s="361">
        <f t="shared" ca="1" si="30"/>
        <v>0</v>
      </c>
      <c r="K60" s="362">
        <f t="shared" ca="1" si="31"/>
        <v>9000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5">
        <v>4</v>
      </c>
      <c r="C61" s="506" t="s">
        <v>768</v>
      </c>
      <c r="D61" s="358" t="str">
        <f ca="1">IF(ISERROR(OFFSET('HARGA SATUAN'!$D$6,MATCH(RAB!C61,'HARGA SATUAN'!$C$7:$C$1492,0),0)),"",OFFSET('HARGA SATUAN'!$D$6,MATCH(RAB!C61,'HARGA SATUAN'!$C$7:$C$1492,0),0))</f>
        <v>JASA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83">
        <f>F57*1</f>
        <v>2</v>
      </c>
      <c r="G61" s="360">
        <f ca="1">IF(ISERROR(OFFSET('HARGA SATUAN'!$I$6,MATCH(RAB!C61,'HARGA SATUAN'!$C$7:$C$1492,0),0)),0,OFFSET('HARGA SATUAN'!$I$6,MATCH(RAB!C61,'HARGA SATUAN'!$C$7:$C$1492,0),0))</f>
        <v>55500</v>
      </c>
      <c r="H61" s="361">
        <f t="shared" ca="1" si="28"/>
        <v>0</v>
      </c>
      <c r="I61" s="361">
        <f t="shared" ca="1" si="29"/>
        <v>0</v>
      </c>
      <c r="J61" s="361">
        <f t="shared" ca="1" si="30"/>
        <v>111000</v>
      </c>
      <c r="K61" s="362">
        <f t="shared" ca="1" si="31"/>
        <v>111000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5"/>
      <c r="C62" s="506"/>
      <c r="D62" s="358"/>
      <c r="E62" s="359"/>
      <c r="F62" s="483"/>
      <c r="G62" s="360"/>
      <c r="H62" s="361"/>
      <c r="I62" s="361"/>
      <c r="J62" s="361"/>
      <c r="K62" s="362"/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5" t="s">
        <v>1035</v>
      </c>
      <c r="C63" s="506" t="s">
        <v>1621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83">
        <f>F49</f>
        <v>2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28"/>
        <v>0</v>
      </c>
      <c r="I63" s="361">
        <f t="shared" ca="1" si="29"/>
        <v>0</v>
      </c>
      <c r="J63" s="361">
        <f t="shared" ca="1" si="30"/>
        <v>0</v>
      </c>
      <c r="K63" s="362">
        <f t="shared" ca="1" si="31"/>
        <v>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05">
        <v>1</v>
      </c>
      <c r="C64" s="506" t="s">
        <v>30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83">
        <f>F63*1</f>
        <v>2</v>
      </c>
      <c r="G64" s="360">
        <f ca="1">IF(ISERROR(OFFSET('HARGA SATUAN'!$I$6,MATCH(RAB!C64,'HARGA SATUAN'!$C$7:$C$1492,0),0)),0,OFFSET('HARGA SATUAN'!$I$6,MATCH(RAB!C64,'HARGA SATUAN'!$C$7:$C$1492,0),0))</f>
        <v>47459</v>
      </c>
      <c r="H64" s="361">
        <f t="shared" ca="1" si="28"/>
        <v>0</v>
      </c>
      <c r="I64" s="361">
        <f t="shared" ca="1" si="29"/>
        <v>94918</v>
      </c>
      <c r="J64" s="361">
        <f t="shared" ca="1" si="30"/>
        <v>0</v>
      </c>
      <c r="K64" s="362">
        <f t="shared" ca="1" si="31"/>
        <v>94918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505">
        <v>2</v>
      </c>
      <c r="C65" s="506" t="s">
        <v>32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483">
        <f>F63*1</f>
        <v>2</v>
      </c>
      <c r="G65" s="360">
        <f ca="1">IF(ISERROR(OFFSET('HARGA SATUAN'!$I$6,MATCH(RAB!C65,'HARGA SATUAN'!$C$7:$C$1492,0),0)),0,OFFSET('HARGA SATUAN'!$I$6,MATCH(RAB!C65,'HARGA SATUAN'!$C$7:$C$1492,0),0))</f>
        <v>30000</v>
      </c>
      <c r="H65" s="361">
        <f t="shared" ca="1" si="28"/>
        <v>0</v>
      </c>
      <c r="I65" s="361">
        <f t="shared" ca="1" si="29"/>
        <v>60000</v>
      </c>
      <c r="J65" s="361">
        <f t="shared" ca="1" si="30"/>
        <v>0</v>
      </c>
      <c r="K65" s="362">
        <f t="shared" ca="1" si="31"/>
        <v>60000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505">
        <v>3</v>
      </c>
      <c r="C66" s="506" t="s">
        <v>33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83">
        <f>F63*1</f>
        <v>2</v>
      </c>
      <c r="G66" s="360">
        <f ca="1">IF(ISERROR(OFFSET('HARGA SATUAN'!$I$6,MATCH(RAB!C66,'HARGA SATUAN'!$C$7:$C$1492,0),0)),0,OFFSET('HARGA SATUAN'!$I$6,MATCH(RAB!C66,'HARGA SATUAN'!$C$7:$C$1492,0),0))</f>
        <v>9500</v>
      </c>
      <c r="H66" s="361">
        <f t="shared" ca="1" si="28"/>
        <v>0</v>
      </c>
      <c r="I66" s="361">
        <f t="shared" ca="1" si="29"/>
        <v>19000</v>
      </c>
      <c r="J66" s="361">
        <f t="shared" ca="1" si="30"/>
        <v>0</v>
      </c>
      <c r="K66" s="362">
        <f t="shared" ca="1" si="31"/>
        <v>19000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505">
        <v>4</v>
      </c>
      <c r="C67" s="506" t="s">
        <v>738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483">
        <f>F63*1</f>
        <v>2</v>
      </c>
      <c r="G67" s="360">
        <f ca="1">IF(ISERROR(OFFSET('HARGA SATUAN'!$I$6,MATCH(RAB!C67,'HARGA SATUAN'!$C$7:$C$1492,0),0)),0,OFFSET('HARGA SATUAN'!$I$6,MATCH(RAB!C67,'HARGA SATUAN'!$C$7:$C$1492,0),0))</f>
        <v>21200</v>
      </c>
      <c r="H67" s="361">
        <f t="shared" ca="1" si="28"/>
        <v>0</v>
      </c>
      <c r="I67" s="361">
        <f t="shared" ca="1" si="29"/>
        <v>0</v>
      </c>
      <c r="J67" s="361">
        <f t="shared" ca="1" si="30"/>
        <v>42400</v>
      </c>
      <c r="K67" s="362">
        <f t="shared" ca="1" si="31"/>
        <v>42400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505"/>
      <c r="C68" s="506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483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:H71" ca="1" si="32">IF(OR(D68="MDU",D68="MDU-KD"),(IF($O$3="RAB NON MDU","PLN KD",G68*F68)),0)</f>
        <v>0</v>
      </c>
      <c r="I68" s="361">
        <f t="shared" ref="I68:I71" ca="1" si="33">IF(D68="HDW",G68*F68,0)</f>
        <v>0</v>
      </c>
      <c r="J68" s="361">
        <f t="shared" ref="J68:J71" ca="1" si="34">IF(D68="JASA",G68*F68,0)</f>
        <v>0</v>
      </c>
      <c r="K68" s="362">
        <f t="shared" ref="K68:K71" ca="1" si="35">SUM(H68:J68)</f>
        <v>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373" t="s">
        <v>1549</v>
      </c>
      <c r="C69" s="374" t="s">
        <v>1615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483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32"/>
        <v>0</v>
      </c>
      <c r="I69" s="361">
        <f t="shared" ca="1" si="33"/>
        <v>0</v>
      </c>
      <c r="J69" s="361">
        <f t="shared" ca="1" si="34"/>
        <v>0</v>
      </c>
      <c r="K69" s="362">
        <f t="shared" ca="1" si="35"/>
        <v>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373"/>
      <c r="C70" s="374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483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32"/>
        <v>0</v>
      </c>
      <c r="I70" s="361">
        <f t="shared" ca="1" si="33"/>
        <v>0</v>
      </c>
      <c r="J70" s="361">
        <f t="shared" ca="1" si="34"/>
        <v>0</v>
      </c>
      <c r="K70" s="362">
        <f t="shared" ca="1" si="35"/>
        <v>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513" t="s">
        <v>1035</v>
      </c>
      <c r="C71" s="519" t="s">
        <v>1633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483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32"/>
        <v>0</v>
      </c>
      <c r="I71" s="361">
        <f t="shared" ca="1" si="33"/>
        <v>0</v>
      </c>
      <c r="J71" s="361">
        <f t="shared" ca="1" si="34"/>
        <v>0</v>
      </c>
      <c r="K71" s="362">
        <f t="shared" ca="1" si="35"/>
        <v>0</v>
      </c>
      <c r="L71" s="342"/>
      <c r="M71" s="342"/>
      <c r="N71" s="369"/>
      <c r="O71" s="344"/>
      <c r="P71" s="344"/>
      <c r="Q71" s="344"/>
      <c r="R71" s="344"/>
      <c r="S71" s="344"/>
      <c r="T71" s="403"/>
      <c r="U71" s="403"/>
      <c r="V71" s="403"/>
    </row>
    <row r="72" spans="1:22" s="365" customFormat="1">
      <c r="A72" s="336"/>
      <c r="B72" s="513">
        <v>1</v>
      </c>
      <c r="C72" s="109" t="s">
        <v>1147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83">
        <f>F71*1</f>
        <v>1</v>
      </c>
      <c r="G72" s="360">
        <f ca="1">IF(ISERROR(OFFSET('HARGA SATUAN'!$I$6,MATCH(RAB!C72,'HARGA SATUAN'!$C$7:$C$1492,0),0)),0,OFFSET('HARGA SATUAN'!$I$6,MATCH(RAB!C72,'HARGA SATUAN'!$C$7:$C$1492,0),0))</f>
        <v>56838600</v>
      </c>
      <c r="H72" s="361">
        <f t="shared" ref="H72:H103" ca="1" si="36">IF(OR(D72="MDU",D72="MDU-KD"),(IF($O$3="RAB NON MDU","PLN KD",G72*F72)),0)</f>
        <v>56838600</v>
      </c>
      <c r="I72" s="361">
        <f t="shared" ref="I72:I103" ca="1" si="37">IF(D72="HDW",G72*F72,0)</f>
        <v>0</v>
      </c>
      <c r="J72" s="361">
        <f t="shared" ref="J72:J103" ca="1" si="38">IF(D72="JASA",G72*F72,0)</f>
        <v>0</v>
      </c>
      <c r="K72" s="362">
        <f t="shared" ref="K72:K103" ca="1" si="39">SUM(H72:J72)</f>
        <v>56838600</v>
      </c>
      <c r="L72" s="342"/>
      <c r="M72" s="342"/>
      <c r="N72" s="369"/>
      <c r="O72" s="344"/>
      <c r="P72" s="344"/>
      <c r="Q72" s="344"/>
      <c r="R72" s="344"/>
      <c r="S72" s="344"/>
      <c r="T72" s="399"/>
      <c r="U72" s="399"/>
      <c r="V72" s="399"/>
    </row>
    <row r="73" spans="1:22" s="365" customFormat="1" ht="25.5">
      <c r="A73" s="336"/>
      <c r="B73" s="513">
        <v>2</v>
      </c>
      <c r="C73" s="520" t="s">
        <v>1634</v>
      </c>
      <c r="D73" s="521" t="s">
        <v>47</v>
      </c>
      <c r="E73" s="522" t="s">
        <v>14</v>
      </c>
      <c r="F73" s="522">
        <v>1</v>
      </c>
      <c r="G73" s="523">
        <v>560800</v>
      </c>
      <c r="H73" s="361">
        <f t="shared" ref="H73:H78" si="40">IF(OR(D73="MDU",D73="MDU-KD"),(IF($O$3="RAB NON MDU","PLN KD",G73*F73)),0)</f>
        <v>0</v>
      </c>
      <c r="I73" s="361">
        <f t="shared" ref="I73:I78" si="41">IF(D73="HDW",G73*F73,0)</f>
        <v>0</v>
      </c>
      <c r="J73" s="361">
        <f t="shared" ref="J73:J78" si="42">IF(D73="JASA",G73*F73,0)</f>
        <v>560800</v>
      </c>
      <c r="K73" s="362">
        <f t="shared" ref="K73:K78" si="43">SUM(H73:J73)</f>
        <v>560800</v>
      </c>
      <c r="L73" s="342"/>
      <c r="M73" s="342"/>
      <c r="N73" s="369"/>
      <c r="O73" s="344"/>
      <c r="P73" s="344"/>
      <c r="Q73" s="344"/>
      <c r="R73" s="344"/>
      <c r="S73" s="344"/>
      <c r="T73" s="399"/>
      <c r="U73" s="399"/>
      <c r="V73" s="399"/>
    </row>
    <row r="74" spans="1:22" s="365" customFormat="1" ht="26.25">
      <c r="A74" s="336"/>
      <c r="B74" s="513">
        <v>3</v>
      </c>
      <c r="C74" s="524" t="s">
        <v>1635</v>
      </c>
      <c r="D74" s="521" t="s">
        <v>47</v>
      </c>
      <c r="E74" s="522" t="s">
        <v>14</v>
      </c>
      <c r="F74" s="522">
        <v>1</v>
      </c>
      <c r="G74" s="523">
        <v>398500</v>
      </c>
      <c r="H74" s="361">
        <f t="shared" si="40"/>
        <v>0</v>
      </c>
      <c r="I74" s="361">
        <f t="shared" si="41"/>
        <v>0</v>
      </c>
      <c r="J74" s="361">
        <f t="shared" si="42"/>
        <v>398500</v>
      </c>
      <c r="K74" s="362">
        <f t="shared" si="43"/>
        <v>398500</v>
      </c>
      <c r="L74" s="342"/>
      <c r="M74" s="342"/>
      <c r="N74" s="369"/>
      <c r="O74" s="344"/>
      <c r="P74" s="344"/>
      <c r="Q74" s="344"/>
      <c r="R74" s="344"/>
      <c r="S74" s="344"/>
      <c r="T74" s="399"/>
      <c r="U74" s="399"/>
      <c r="V74" s="399"/>
    </row>
    <row r="75" spans="1:22">
      <c r="B75" s="502"/>
      <c r="C75" s="109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483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40"/>
        <v>0</v>
      </c>
      <c r="I75" s="361">
        <f t="shared" ca="1" si="41"/>
        <v>0</v>
      </c>
      <c r="J75" s="361">
        <f t="shared" ca="1" si="42"/>
        <v>0</v>
      </c>
      <c r="K75" s="362">
        <f t="shared" ca="1" si="43"/>
        <v>0</v>
      </c>
    </row>
    <row r="76" spans="1:22">
      <c r="B76" s="373" t="s">
        <v>1550</v>
      </c>
      <c r="C76" s="374" t="s">
        <v>1457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483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40"/>
        <v>0</v>
      </c>
      <c r="I76" s="361">
        <f t="shared" ca="1" si="41"/>
        <v>0</v>
      </c>
      <c r="J76" s="361">
        <f t="shared" ca="1" si="42"/>
        <v>0</v>
      </c>
      <c r="K76" s="362">
        <f t="shared" ca="1" si="43"/>
        <v>0</v>
      </c>
    </row>
    <row r="77" spans="1:22">
      <c r="B77" s="505"/>
      <c r="C77" s="506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483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0"/>
        <v>0</v>
      </c>
      <c r="I77" s="361">
        <f t="shared" ca="1" si="41"/>
        <v>0</v>
      </c>
      <c r="J77" s="361">
        <f t="shared" ca="1" si="42"/>
        <v>0</v>
      </c>
      <c r="K77" s="362">
        <f t="shared" ca="1" si="43"/>
        <v>0</v>
      </c>
    </row>
    <row r="78" spans="1:22">
      <c r="B78" s="499" t="s">
        <v>1035</v>
      </c>
      <c r="C78" s="500" t="s">
        <v>1636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04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40"/>
        <v>0</v>
      </c>
      <c r="I78" s="361">
        <f t="shared" ca="1" si="41"/>
        <v>0</v>
      </c>
      <c r="J78" s="361">
        <f t="shared" ca="1" si="42"/>
        <v>0</v>
      </c>
      <c r="K78" s="362">
        <f t="shared" ca="1" si="43"/>
        <v>0</v>
      </c>
    </row>
    <row r="79" spans="1:22" ht="30">
      <c r="B79" s="518">
        <v>1</v>
      </c>
      <c r="C79" s="109" t="s">
        <v>1196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4">
        <f>F78*1</f>
        <v>1</v>
      </c>
      <c r="G79" s="360">
        <f ca="1">IF(ISERROR(OFFSET('HARGA SATUAN'!$I$6,MATCH(RAB!C79,'HARGA SATUAN'!$C$7:$C$1492,0),0)),0,OFFSET('HARGA SATUAN'!$I$6,MATCH(RAB!C79,'HARGA SATUAN'!$C$7:$C$1492,0),0))</f>
        <v>1504200</v>
      </c>
      <c r="H79" s="361">
        <f t="shared" ref="H79:H102" ca="1" si="44">IF(OR(D79="MDU",D79="MDU-KD"),(IF($O$3="RAB NON MDU","PLN KD",G79*F79)),0)</f>
        <v>1504200</v>
      </c>
      <c r="I79" s="361">
        <f t="shared" ref="I79:I102" ca="1" si="45">IF(D79="HDW",G79*F79,0)</f>
        <v>0</v>
      </c>
      <c r="J79" s="361">
        <f t="shared" ref="J79:J102" ca="1" si="46">IF(D79="JASA",G79*F79,0)</f>
        <v>0</v>
      </c>
      <c r="K79" s="362">
        <f t="shared" ref="K79:K102" ca="1" si="47">SUM(H79:J79)</f>
        <v>1504200</v>
      </c>
    </row>
    <row r="80" spans="1:22">
      <c r="B80" s="518">
        <v>2</v>
      </c>
      <c r="C80" s="525" t="s">
        <v>515</v>
      </c>
      <c r="D80" s="358" t="str">
        <f ca="1">IF(ISERROR(OFFSET('HARGA SATUAN'!$D$6,MATCH(RAB!C80,'HARGA SATUAN'!$C$7:$C$1492,0),0)),"",OFFSET('HARGA SATUAN'!$D$6,MATCH(RAB!C80,'HARGA SATUAN'!$C$7:$C$1492,0),0))</f>
        <v>MDU-KD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4">
        <f>F78*1</f>
        <v>1</v>
      </c>
      <c r="G80" s="360">
        <f ca="1">IF(ISERROR(OFFSET('HARGA SATUAN'!$I$6,MATCH(RAB!C80,'HARGA SATUAN'!$C$7:$C$1492,0),0)),0,OFFSET('HARGA SATUAN'!$I$6,MATCH(RAB!C80,'HARGA SATUAN'!$C$7:$C$1492,0),0))</f>
        <v>13644300</v>
      </c>
      <c r="H80" s="361">
        <f t="shared" ca="1" si="44"/>
        <v>13644300</v>
      </c>
      <c r="I80" s="361">
        <f t="shared" ca="1" si="45"/>
        <v>0</v>
      </c>
      <c r="J80" s="361">
        <f t="shared" ca="1" si="46"/>
        <v>0</v>
      </c>
      <c r="K80" s="362">
        <f t="shared" ca="1" si="47"/>
        <v>13644300</v>
      </c>
    </row>
    <row r="81" spans="2:11">
      <c r="B81" s="518">
        <v>3</v>
      </c>
      <c r="C81" s="525" t="s">
        <v>1142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504">
        <f>F78*1</f>
        <v>1</v>
      </c>
      <c r="G81" s="360">
        <f ca="1">IF(ISERROR(OFFSET('HARGA SATUAN'!$I$6,MATCH(RAB!C81,'HARGA SATUAN'!$C$7:$C$1492,0),0)),0,OFFSET('HARGA SATUAN'!$I$6,MATCH(RAB!C81,'HARGA SATUAN'!$C$7:$C$1492,0),0))</f>
        <v>1113900</v>
      </c>
      <c r="H81" s="361">
        <f t="shared" ca="1" si="44"/>
        <v>0</v>
      </c>
      <c r="I81" s="361">
        <f t="shared" ca="1" si="45"/>
        <v>1113900</v>
      </c>
      <c r="J81" s="361">
        <f t="shared" ca="1" si="46"/>
        <v>0</v>
      </c>
      <c r="K81" s="362">
        <f t="shared" ca="1" si="47"/>
        <v>1113900</v>
      </c>
    </row>
    <row r="82" spans="2:11">
      <c r="B82" s="518">
        <v>4</v>
      </c>
      <c r="C82" s="109" t="s">
        <v>1462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Mtr</v>
      </c>
      <c r="F82" s="504">
        <v>30</v>
      </c>
      <c r="G82" s="360">
        <f ca="1">IF(ISERROR(OFFSET('HARGA SATUAN'!$I$6,MATCH(RAB!C82,'HARGA SATUAN'!$C$7:$C$1492,0),0)),0,OFFSET('HARGA SATUAN'!$I$6,MATCH(RAB!C82,'HARGA SATUAN'!$C$7:$C$1492,0),0))</f>
        <v>54500</v>
      </c>
      <c r="H82" s="361">
        <f t="shared" ca="1" si="44"/>
        <v>1635000</v>
      </c>
      <c r="I82" s="361">
        <f t="shared" ca="1" si="45"/>
        <v>0</v>
      </c>
      <c r="J82" s="361">
        <f t="shared" ca="1" si="46"/>
        <v>0</v>
      </c>
      <c r="K82" s="362">
        <f t="shared" ca="1" si="47"/>
        <v>1635000</v>
      </c>
    </row>
    <row r="83" spans="2:11">
      <c r="B83" s="518">
        <v>5</v>
      </c>
      <c r="C83" s="525" t="s">
        <v>799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04">
        <f>F78*1</f>
        <v>1</v>
      </c>
      <c r="G83" s="360">
        <f ca="1">IF(ISERROR(OFFSET('HARGA SATUAN'!$I$6,MATCH(RAB!C83,'HARGA SATUAN'!$C$7:$C$1492,0),0)),0,OFFSET('HARGA SATUAN'!$I$6,MATCH(RAB!C83,'HARGA SATUAN'!$C$7:$C$1492,0),0))</f>
        <v>106400</v>
      </c>
      <c r="H83" s="361">
        <f t="shared" ca="1" si="44"/>
        <v>0</v>
      </c>
      <c r="I83" s="361">
        <f t="shared" ca="1" si="45"/>
        <v>0</v>
      </c>
      <c r="J83" s="361">
        <f t="shared" ca="1" si="46"/>
        <v>106400</v>
      </c>
      <c r="K83" s="362">
        <f t="shared" ca="1" si="47"/>
        <v>106400</v>
      </c>
    </row>
    <row r="84" spans="2:11">
      <c r="B84" s="505"/>
      <c r="C84" s="506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483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4"/>
        <v>0</v>
      </c>
      <c r="I84" s="361">
        <f t="shared" ca="1" si="45"/>
        <v>0</v>
      </c>
      <c r="J84" s="361">
        <f t="shared" ca="1" si="46"/>
        <v>0</v>
      </c>
      <c r="K84" s="362">
        <f t="shared" ca="1" si="47"/>
        <v>0</v>
      </c>
    </row>
    <row r="85" spans="2:11">
      <c r="B85" s="514" t="s">
        <v>1035</v>
      </c>
      <c r="C85" s="515" t="s">
        <v>1623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516">
        <v>1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44"/>
        <v>0</v>
      </c>
      <c r="I85" s="361">
        <f t="shared" ca="1" si="45"/>
        <v>0</v>
      </c>
      <c r="J85" s="361">
        <f t="shared" ca="1" si="46"/>
        <v>0</v>
      </c>
      <c r="K85" s="362">
        <f t="shared" ca="1" si="47"/>
        <v>0</v>
      </c>
    </row>
    <row r="86" spans="2:11">
      <c r="B86" s="514">
        <v>1</v>
      </c>
      <c r="C86" s="515" t="s">
        <v>115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Set</v>
      </c>
      <c r="F86" s="516">
        <f>F85*1</f>
        <v>1</v>
      </c>
      <c r="G86" s="360">
        <f ca="1">IF(ISERROR(OFFSET('HARGA SATUAN'!$I$6,MATCH(RAB!C86,'HARGA SATUAN'!$C$7:$C$1492,0),0)),0,OFFSET('HARGA SATUAN'!$I$6,MATCH(RAB!C86,'HARGA SATUAN'!$C$7:$C$1492,0),0))</f>
        <v>11500</v>
      </c>
      <c r="H86" s="361">
        <f t="shared" ca="1" si="44"/>
        <v>0</v>
      </c>
      <c r="I86" s="361">
        <f t="shared" ca="1" si="45"/>
        <v>11500</v>
      </c>
      <c r="J86" s="361">
        <f t="shared" ca="1" si="46"/>
        <v>0</v>
      </c>
      <c r="K86" s="362">
        <f t="shared" ca="1" si="47"/>
        <v>11500</v>
      </c>
    </row>
    <row r="87" spans="2:11">
      <c r="B87" s="514">
        <v>2</v>
      </c>
      <c r="C87" s="515" t="s">
        <v>145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516">
        <f>F85*1</f>
        <v>1</v>
      </c>
      <c r="G87" s="360">
        <f ca="1">IF(ISERROR(OFFSET('HARGA SATUAN'!$I$6,MATCH(RAB!C87,'HARGA SATUAN'!$C$7:$C$1492,0),0)),0,OFFSET('HARGA SATUAN'!$I$6,MATCH(RAB!C87,'HARGA SATUAN'!$C$7:$C$1492,0),0))</f>
        <v>6200</v>
      </c>
      <c r="H87" s="361">
        <f t="shared" ca="1" si="44"/>
        <v>0</v>
      </c>
      <c r="I87" s="361">
        <f t="shared" ca="1" si="45"/>
        <v>6200</v>
      </c>
      <c r="J87" s="361">
        <f t="shared" ca="1" si="46"/>
        <v>0</v>
      </c>
      <c r="K87" s="362">
        <f t="shared" ca="1" si="47"/>
        <v>6200</v>
      </c>
    </row>
    <row r="88" spans="2:11">
      <c r="B88" s="514">
        <v>3</v>
      </c>
      <c r="C88" s="515" t="s">
        <v>587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Btg</v>
      </c>
      <c r="F88" s="516">
        <f>F85*1</f>
        <v>1</v>
      </c>
      <c r="G88" s="360">
        <f ca="1">IF(ISERROR(OFFSET('HARGA SATUAN'!$I$6,MATCH(RAB!C88,'HARGA SATUAN'!$C$7:$C$1492,0),0)),0,OFFSET('HARGA SATUAN'!$I$6,MATCH(RAB!C88,'HARGA SATUAN'!$C$7:$C$1492,0),0))</f>
        <v>45796</v>
      </c>
      <c r="H88" s="361">
        <f t="shared" ca="1" si="44"/>
        <v>0</v>
      </c>
      <c r="I88" s="361">
        <f t="shared" ca="1" si="45"/>
        <v>45796</v>
      </c>
      <c r="J88" s="361">
        <f t="shared" ca="1" si="46"/>
        <v>0</v>
      </c>
      <c r="K88" s="362">
        <f t="shared" ca="1" si="47"/>
        <v>45796</v>
      </c>
    </row>
    <row r="89" spans="2:11">
      <c r="B89" s="514">
        <v>4</v>
      </c>
      <c r="C89" s="515" t="s">
        <v>118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Set</v>
      </c>
      <c r="F89" s="516">
        <f>F85*1</f>
        <v>1</v>
      </c>
      <c r="G89" s="360">
        <f ca="1">IF(ISERROR(OFFSET('HARGA SATUAN'!$I$6,MATCH(RAB!C89,'HARGA SATUAN'!$C$7:$C$1492,0),0)),0,OFFSET('HARGA SATUAN'!$I$6,MATCH(RAB!C89,'HARGA SATUAN'!$C$7:$C$1492,0),0))</f>
        <v>5300</v>
      </c>
      <c r="H89" s="361">
        <f t="shared" ca="1" si="44"/>
        <v>0</v>
      </c>
      <c r="I89" s="361">
        <f t="shared" ca="1" si="45"/>
        <v>5300</v>
      </c>
      <c r="J89" s="361">
        <f t="shared" ca="1" si="46"/>
        <v>0</v>
      </c>
      <c r="K89" s="362">
        <f t="shared" ca="1" si="47"/>
        <v>5300</v>
      </c>
    </row>
    <row r="90" spans="2:11">
      <c r="B90" s="514">
        <v>5</v>
      </c>
      <c r="C90" s="515" t="s">
        <v>117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16">
        <f>F85*1</f>
        <v>1</v>
      </c>
      <c r="G90" s="360">
        <f ca="1">IF(ISERROR(OFFSET('HARGA SATUAN'!$I$6,MATCH(RAB!C90,'HARGA SATUAN'!$C$7:$C$1492,0),0)),0,OFFSET('HARGA SATUAN'!$I$6,MATCH(RAB!C90,'HARGA SATUAN'!$C$7:$C$1492,0),0))</f>
        <v>58600</v>
      </c>
      <c r="H90" s="361">
        <f t="shared" ca="1" si="44"/>
        <v>0</v>
      </c>
      <c r="I90" s="361">
        <f t="shared" ca="1" si="45"/>
        <v>58600</v>
      </c>
      <c r="J90" s="361">
        <f t="shared" ca="1" si="46"/>
        <v>0</v>
      </c>
      <c r="K90" s="362">
        <f t="shared" ca="1" si="47"/>
        <v>58600</v>
      </c>
    </row>
    <row r="91" spans="2:11">
      <c r="B91" s="514">
        <v>6</v>
      </c>
      <c r="C91" s="109" t="s">
        <v>1155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Set</v>
      </c>
      <c r="F91" s="516">
        <f>F85*2</f>
        <v>2</v>
      </c>
      <c r="G91" s="360">
        <f ca="1">IF(ISERROR(OFFSET('HARGA SATUAN'!$I$6,MATCH(RAB!C91,'HARGA SATUAN'!$C$7:$C$1492,0),0)),0,OFFSET('HARGA SATUAN'!$I$6,MATCH(RAB!C91,'HARGA SATUAN'!$C$7:$C$1492,0),0))</f>
        <v>2900</v>
      </c>
      <c r="H91" s="361">
        <f t="shared" ca="1" si="44"/>
        <v>0</v>
      </c>
      <c r="I91" s="361">
        <f t="shared" ca="1" si="45"/>
        <v>5800</v>
      </c>
      <c r="J91" s="361">
        <f t="shared" ca="1" si="46"/>
        <v>0</v>
      </c>
      <c r="K91" s="362">
        <f t="shared" ca="1" si="47"/>
        <v>5800</v>
      </c>
    </row>
    <row r="92" spans="2:11">
      <c r="B92" s="514">
        <v>7</v>
      </c>
      <c r="C92" s="515" t="s">
        <v>119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Set</v>
      </c>
      <c r="F92" s="516">
        <f>F85*4</f>
        <v>4</v>
      </c>
      <c r="G92" s="360">
        <f ca="1">IF(ISERROR(OFFSET('HARGA SATUAN'!$I$6,MATCH(RAB!C92,'HARGA SATUAN'!$C$7:$C$1492,0),0)),0,OFFSET('HARGA SATUAN'!$I$6,MATCH(RAB!C92,'HARGA SATUAN'!$C$7:$C$1492,0),0))</f>
        <v>8900</v>
      </c>
      <c r="H92" s="361">
        <f t="shared" ca="1" si="44"/>
        <v>0</v>
      </c>
      <c r="I92" s="361">
        <f t="shared" ca="1" si="45"/>
        <v>35600</v>
      </c>
      <c r="J92" s="361">
        <f t="shared" ca="1" si="46"/>
        <v>0</v>
      </c>
      <c r="K92" s="362">
        <f t="shared" ca="1" si="47"/>
        <v>35600</v>
      </c>
    </row>
    <row r="93" spans="2:11">
      <c r="B93" s="505"/>
      <c r="C93" s="506"/>
      <c r="D93" s="358"/>
      <c r="E93" s="359"/>
      <c r="F93" s="483"/>
      <c r="G93" s="360"/>
      <c r="H93" s="361"/>
      <c r="I93" s="361"/>
      <c r="J93" s="361"/>
      <c r="K93" s="362"/>
    </row>
    <row r="94" spans="2:11">
      <c r="B94" s="505" t="s">
        <v>1035</v>
      </c>
      <c r="C94" s="506" t="s">
        <v>1617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483">
        <v>1</v>
      </c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44"/>
        <v>0</v>
      </c>
      <c r="I94" s="361">
        <f t="shared" ca="1" si="45"/>
        <v>0</v>
      </c>
      <c r="J94" s="361">
        <f t="shared" ca="1" si="46"/>
        <v>0</v>
      </c>
      <c r="K94" s="362">
        <f t="shared" ca="1" si="47"/>
        <v>0</v>
      </c>
    </row>
    <row r="95" spans="2:11">
      <c r="B95" s="505">
        <v>1</v>
      </c>
      <c r="C95" s="506" t="s">
        <v>29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83">
        <f>F94*1</f>
        <v>1</v>
      </c>
      <c r="G95" s="360">
        <f ca="1">IF(ISERROR(OFFSET('HARGA SATUAN'!$I$6,MATCH(RAB!C95,'HARGA SATUAN'!$C$7:$C$1492,0),0)),0,OFFSET('HARGA SATUAN'!$I$6,MATCH(RAB!C95,'HARGA SATUAN'!$C$7:$C$1492,0),0))</f>
        <v>185200</v>
      </c>
      <c r="H95" s="361">
        <f t="shared" ca="1" si="44"/>
        <v>0</v>
      </c>
      <c r="I95" s="361">
        <f t="shared" ca="1" si="45"/>
        <v>185200</v>
      </c>
      <c r="J95" s="361">
        <f t="shared" ca="1" si="46"/>
        <v>0</v>
      </c>
      <c r="K95" s="362">
        <f t="shared" ca="1" si="47"/>
        <v>185200</v>
      </c>
    </row>
    <row r="96" spans="2:11">
      <c r="B96" s="505">
        <v>2</v>
      </c>
      <c r="C96" s="506" t="s">
        <v>30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83">
        <f>F94*1</f>
        <v>1</v>
      </c>
      <c r="G96" s="360">
        <f ca="1">IF(ISERROR(OFFSET('HARGA SATUAN'!$I$6,MATCH(RAB!C96,'HARGA SATUAN'!$C$7:$C$1492,0),0)),0,OFFSET('HARGA SATUAN'!$I$6,MATCH(RAB!C96,'HARGA SATUAN'!$C$7:$C$1492,0),0))</f>
        <v>47459</v>
      </c>
      <c r="H96" s="361">
        <f t="shared" ca="1" si="44"/>
        <v>0</v>
      </c>
      <c r="I96" s="361">
        <f t="shared" ca="1" si="45"/>
        <v>47459</v>
      </c>
      <c r="J96" s="361">
        <f t="shared" ca="1" si="46"/>
        <v>0</v>
      </c>
      <c r="K96" s="362">
        <f t="shared" ca="1" si="47"/>
        <v>47459</v>
      </c>
    </row>
    <row r="97" spans="2:13">
      <c r="B97" s="505">
        <v>3</v>
      </c>
      <c r="C97" s="506" t="s">
        <v>32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Mtr</v>
      </c>
      <c r="F97" s="483">
        <f>F94*1.5</f>
        <v>1.5</v>
      </c>
      <c r="G97" s="360">
        <f ca="1">IF(ISERROR(OFFSET('HARGA SATUAN'!$I$6,MATCH(RAB!C97,'HARGA SATUAN'!$C$7:$C$1492,0),0)),0,OFFSET('HARGA SATUAN'!$I$6,MATCH(RAB!C97,'HARGA SATUAN'!$C$7:$C$1492,0),0))</f>
        <v>30000</v>
      </c>
      <c r="H97" s="361">
        <f t="shared" ca="1" si="44"/>
        <v>0</v>
      </c>
      <c r="I97" s="361">
        <f t="shared" ca="1" si="45"/>
        <v>45000</v>
      </c>
      <c r="J97" s="361">
        <f t="shared" ca="1" si="46"/>
        <v>0</v>
      </c>
      <c r="K97" s="362">
        <f t="shared" ca="1" si="47"/>
        <v>45000</v>
      </c>
    </row>
    <row r="98" spans="2:13">
      <c r="B98" s="505">
        <v>4</v>
      </c>
      <c r="C98" s="506" t="s">
        <v>33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83">
        <f>F94*2</f>
        <v>2</v>
      </c>
      <c r="G98" s="360">
        <f ca="1">IF(ISERROR(OFFSET('HARGA SATUAN'!$I$6,MATCH(RAB!C98,'HARGA SATUAN'!$C$7:$C$1492,0),0)),0,OFFSET('HARGA SATUAN'!$I$6,MATCH(RAB!C98,'HARGA SATUAN'!$C$7:$C$1492,0),0))</f>
        <v>9500</v>
      </c>
      <c r="H98" s="361">
        <f t="shared" ca="1" si="44"/>
        <v>0</v>
      </c>
      <c r="I98" s="361">
        <f t="shared" ca="1" si="45"/>
        <v>19000</v>
      </c>
      <c r="J98" s="361">
        <f t="shared" ca="1" si="46"/>
        <v>0</v>
      </c>
      <c r="K98" s="362">
        <f t="shared" ca="1" si="47"/>
        <v>19000</v>
      </c>
    </row>
    <row r="99" spans="2:13">
      <c r="B99" s="505">
        <v>5</v>
      </c>
      <c r="C99" s="506" t="s">
        <v>735</v>
      </c>
      <c r="D99" s="358" t="str">
        <f ca="1">IF(ISERROR(OFFSET('HARGA SATUAN'!$D$6,MATCH(RAB!C99,'HARGA SATUAN'!$C$7:$C$1492,0),0)),"",OFFSET('HARGA SATUAN'!$D$6,MATCH(RAB!C99,'HARGA SATUAN'!$C$7:$C$1492,0),0))</f>
        <v>JASA</v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483">
        <f>F94*1</f>
        <v>1</v>
      </c>
      <c r="G99" s="360">
        <f ca="1">IF(ISERROR(OFFSET('HARGA SATUAN'!$I$6,MATCH(RAB!C99,'HARGA SATUAN'!$C$7:$C$1492,0),0)),0,OFFSET('HARGA SATUAN'!$I$6,MATCH(RAB!C99,'HARGA SATUAN'!$C$7:$C$1492,0),0))</f>
        <v>56400</v>
      </c>
      <c r="H99" s="361">
        <f t="shared" ca="1" si="44"/>
        <v>0</v>
      </c>
      <c r="I99" s="361">
        <f t="shared" ca="1" si="45"/>
        <v>0</v>
      </c>
      <c r="J99" s="361">
        <f t="shared" ca="1" si="46"/>
        <v>56400</v>
      </c>
      <c r="K99" s="362">
        <f t="shared" ca="1" si="47"/>
        <v>56400</v>
      </c>
    </row>
    <row r="100" spans="2:13">
      <c r="B100" s="505"/>
      <c r="C100" s="506"/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483"/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44"/>
        <v>0</v>
      </c>
      <c r="I100" s="361">
        <f t="shared" ca="1" si="45"/>
        <v>0</v>
      </c>
      <c r="J100" s="361">
        <f t="shared" ca="1" si="46"/>
        <v>0</v>
      </c>
      <c r="K100" s="362">
        <f t="shared" ca="1" si="47"/>
        <v>0</v>
      </c>
    </row>
    <row r="101" spans="2:13">
      <c r="B101" s="373" t="s">
        <v>1550</v>
      </c>
      <c r="C101" s="374" t="s">
        <v>1611</v>
      </c>
      <c r="D101" s="358" t="str">
        <f ca="1">IF(ISERROR(OFFSET('HARGA SATUAN'!$D$6,MATCH(RAB!C101,'HARGA SATUAN'!$C$7:$C$1492,0),0)),"",OFFSET('HARGA SATUAN'!$D$6,MATCH(RAB!C101,'HARGA SATUAN'!$C$7:$C$1492,0),0))</f>
        <v/>
      </c>
      <c r="E101" s="359" t="str">
        <f ca="1">IF(B101="+","Unit",IF(ISERROR(OFFSET('HARGA SATUAN'!$E$6,MATCH(RAB!C101,'HARGA SATUAN'!$C$7:$C$1492,0),0)),"",OFFSET('HARGA SATUAN'!$E$6,MATCH(RAB!C101,'HARGA SATUAN'!$C$7:$C$1492,0),0)))</f>
        <v/>
      </c>
      <c r="F101" s="483"/>
      <c r="G101" s="360">
        <f ca="1">IF(ISERROR(OFFSET('HARGA SATUAN'!$I$6,MATCH(RAB!C101,'HARGA SATUAN'!$C$7:$C$1492,0),0)),0,OFFSET('HARGA SATUAN'!$I$6,MATCH(RAB!C101,'HARGA SATUAN'!$C$7:$C$1492,0),0))</f>
        <v>0</v>
      </c>
      <c r="H101" s="361">
        <f t="shared" ca="1" si="44"/>
        <v>0</v>
      </c>
      <c r="I101" s="361">
        <f t="shared" ca="1" si="45"/>
        <v>0</v>
      </c>
      <c r="J101" s="361">
        <f t="shared" ca="1" si="46"/>
        <v>0</v>
      </c>
      <c r="K101" s="362">
        <f t="shared" ca="1" si="47"/>
        <v>0</v>
      </c>
    </row>
    <row r="102" spans="2:13">
      <c r="B102" s="375"/>
      <c r="C102" s="109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83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44"/>
        <v>0</v>
      </c>
      <c r="I102" s="361">
        <f t="shared" ca="1" si="45"/>
        <v>0</v>
      </c>
      <c r="J102" s="361">
        <f t="shared" ca="1" si="46"/>
        <v>0</v>
      </c>
      <c r="K102" s="362">
        <f t="shared" ca="1" si="47"/>
        <v>0</v>
      </c>
    </row>
    <row r="103" spans="2:13">
      <c r="B103" s="376"/>
      <c r="C103" s="377" t="s">
        <v>475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83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36"/>
        <v>0</v>
      </c>
      <c r="I103" s="361">
        <f t="shared" ca="1" si="37"/>
        <v>0</v>
      </c>
      <c r="J103" s="361">
        <f t="shared" ca="1" si="38"/>
        <v>0</v>
      </c>
      <c r="K103" s="362">
        <f t="shared" ca="1" si="39"/>
        <v>0</v>
      </c>
    </row>
    <row r="104" spans="2:13">
      <c r="B104" s="379">
        <v>1</v>
      </c>
      <c r="C104" s="380" t="s">
        <v>1091</v>
      </c>
      <c r="D104" s="381" t="str">
        <f ca="1">IF(ISERROR(OFFSET('HARGA SATUAN'!$D$6,MATCH(RAB!C104,'HARGA SATUAN'!$C$7:$C$1492,0),0)),"",OFFSET('HARGA SATUAN'!$D$6,MATCH(RAB!C104,'HARGA SATUAN'!$C$7:$C$1492,0),0))</f>
        <v>JASA</v>
      </c>
      <c r="E104" s="382" t="str">
        <f ca="1">IF(ISERROR(OFFSET('HARGA SATUAN'!$E$6,MATCH(RAB!C104,'HARGA SATUAN'!$C$7:$C$1492,0),0)),"",OFFSET('HARGA SATUAN'!$E$6,MATCH(RAB!C104,'HARGA SATUAN'!$C$7:$C$1492,0),0))</f>
        <v>Lot</v>
      </c>
      <c r="F104" s="383">
        <v>1</v>
      </c>
      <c r="G104" s="384">
        <f ca="1">IF(ISERROR(OFFSET('HARGA SATUAN'!$I$6,MATCH(RAB!C104,'HARGA SATUAN'!$C$7:$C$1492,0),0)),0,OFFSET('HARGA SATUAN'!$I$6,MATCH(RAB!C104,'HARGA SATUAN'!$C$7:$C$1492,0),0))</f>
        <v>2.5000000000000001E-2</v>
      </c>
      <c r="H104" s="385">
        <f ca="1">2.5%*(SUM(H14:H103))</f>
        <v>2514990</v>
      </c>
      <c r="I104" s="385">
        <f t="shared" ref="I104" ca="1" si="48">2.5%*(SUM(I14:I103))</f>
        <v>1136713.875</v>
      </c>
      <c r="J104" s="385">
        <f ca="1">2.5%*(SUM(J14:J103))</f>
        <v>101485.41666666667</v>
      </c>
      <c r="K104" s="386">
        <f ca="1">SUM(H104:J104)</f>
        <v>3753189.2916666665</v>
      </c>
    </row>
    <row r="105" spans="2:13">
      <c r="B105" s="387"/>
      <c r="C105" s="388"/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IF(ISERROR(OFFSET('HARGA SATUAN'!$E$6,MATCH(RAB!C105,'HARGA SATUAN'!$C$7:$C$1492,0),0)),"",OFFSET('HARGA SATUAN'!$E$6,MATCH(RAB!C105,'HARGA SATUAN'!$C$7:$C$1492,0),0))</f>
        <v/>
      </c>
      <c r="F105" s="378"/>
      <c r="G105" s="360" t="str">
        <f ca="1">IF(ISERROR(OFFSET('HARGA SATUAN'!$I$6,MATCH(RAB!C105,'HARGA SATUAN'!$C$7:$C$1492,0),0)),"",OFFSET('HARGA SATUAN'!$I$6,MATCH(RAB!C105,'HARGA SATUAN'!$C$7:$C$1492,0),0))</f>
        <v/>
      </c>
      <c r="H105" s="361">
        <f ca="1">IF(OR(D105="MDU",D105="MDU-KD"),IF(G105="PLN",0,G105*F105),0)</f>
        <v>0</v>
      </c>
      <c r="I105" s="361">
        <f ca="1">IF(D105="HDW",IF(G105="PLN",0,G105*F105),0)</f>
        <v>0</v>
      </c>
      <c r="J105" s="361">
        <f ca="1">IF(D105="JASA",IF(G105="PLN",0,G105*F105),0)</f>
        <v>0</v>
      </c>
      <c r="K105" s="362">
        <f ca="1">SUM(H105:J105)</f>
        <v>0</v>
      </c>
    </row>
    <row r="106" spans="2:13" ht="15.75" thickBot="1">
      <c r="B106" s="389"/>
      <c r="C106" s="390"/>
      <c r="D106" s="391"/>
      <c r="E106" s="392"/>
      <c r="F106" s="392"/>
      <c r="G106" s="392"/>
      <c r="H106" s="393"/>
      <c r="I106" s="393"/>
      <c r="J106" s="393"/>
      <c r="K106" s="394"/>
    </row>
    <row r="107" spans="2:13">
      <c r="B107" s="395"/>
      <c r="C107" s="626" t="s">
        <v>1008</v>
      </c>
      <c r="D107" s="626"/>
      <c r="E107" s="626"/>
      <c r="F107" s="626"/>
      <c r="G107" s="396" t="s">
        <v>9</v>
      </c>
      <c r="H107" s="397">
        <f ca="1">SUM(H14:H105)</f>
        <v>103114590</v>
      </c>
      <c r="I107" s="397">
        <f ca="1">SUM(I14:I105)</f>
        <v>46605268.875</v>
      </c>
      <c r="J107" s="397">
        <f ca="1">SUM(J14:J105)</f>
        <v>4160902.083333333</v>
      </c>
      <c r="K107" s="397">
        <f ca="1">SUM(K14:K105)</f>
        <v>153880760.95833331</v>
      </c>
    </row>
    <row r="108" spans="2:13">
      <c r="B108" s="400"/>
      <c r="C108" s="642" t="s">
        <v>1460</v>
      </c>
      <c r="D108" s="642"/>
      <c r="E108" s="642"/>
      <c r="F108" s="642"/>
      <c r="G108" s="401" t="s">
        <v>9</v>
      </c>
      <c r="H108" s="402">
        <f ca="1">H107*0.11</f>
        <v>11342604.9</v>
      </c>
      <c r="I108" s="402">
        <f ca="1">I107*0.11</f>
        <v>5126579.5762499999</v>
      </c>
      <c r="J108" s="402">
        <f ca="1">J107*0.11</f>
        <v>457699.22916666663</v>
      </c>
      <c r="K108" s="402">
        <f ca="1">K107*0.11</f>
        <v>16926883.705416664</v>
      </c>
    </row>
    <row r="109" spans="2:13" ht="15.75" thickBot="1">
      <c r="B109" s="400"/>
      <c r="C109" s="640" t="s">
        <v>463</v>
      </c>
      <c r="D109" s="640"/>
      <c r="E109" s="640"/>
      <c r="F109" s="640"/>
      <c r="G109" s="404" t="s">
        <v>9</v>
      </c>
      <c r="H109" s="405">
        <f ca="1">SUM(H107:H108)</f>
        <v>114457194.90000001</v>
      </c>
      <c r="I109" s="405">
        <f ca="1">SUM(I107:I108)</f>
        <v>51731848.451250002</v>
      </c>
      <c r="J109" s="404">
        <f ca="1">SUM(J107:J108)</f>
        <v>4618601.3125</v>
      </c>
      <c r="K109" s="404">
        <f ca="1">SUM(K107:K108)</f>
        <v>170807644.66374999</v>
      </c>
      <c r="M109" s="488"/>
    </row>
    <row r="110" spans="2:13">
      <c r="B110" s="643" t="str">
        <f ca="1">"Terbilang : "&amp;PROPER(IF(K109=0,"nol",IF(K109&lt;0,"minus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IF(--MID(TEXT(ABS(K109),"000000000000000"),1,3)=0,"",MID(TEXT(ABS(K109),"000000000000000"),1,1)&amp;" ratus "&amp;MID(TEXT(ABS(K109),"000000000000000"),2,1)&amp;" puluh "&amp;MID(TEXT(ABS(K109),"000000000000000"),3,1)&amp;" trilyun ")&amp; IF(--MID(TEXT(ABS(K109),"000000000000000"),4,3)=0,"",MID(TEXT(ABS(K109),"000000000000000"),4,1)&amp;" ratus "&amp;MID(TEXT(ABS(K109),"000000000000000"),5,1)&amp;" puluh "&amp;MID(TEXT(ABS(K109),"000000000000000"),6,1)&amp;" milyar ")&amp; IF(--MID(TEXT(ABS(K109),"000000000000000"),7,3)=0,"",MID(TEXT(ABS(K109),"000000000000000"),7,1)&amp;" ratus "&amp;MID(TEXT(ABS(K109),"000000000000000"),8,1)&amp;" puluh "&amp;MID(TEXT(ABS(K109),"000000000000000"),9,1)&amp;" juta ")&amp; IF(--MID(TEXT(ABS(K109),"000000000000000"),10,3)=0,"",IF(--MID(TEXT(ABS(K109),"000000000000000"),10,3)=1,"*",MID(TEXT(ABS(K109),"000000000000000"),10,1)&amp;" ratus "&amp;MID(TEXT(ABS(K109),"000000000000000"),11,1)&amp;" puluh ")&amp;MID(TEXT(ABS(K109),"000000000000000"),12,1)&amp;" ribu ")&amp; IF(--MID(TEXT(ABS(K109),"000000000000000"),13,3)=0,"",MID(TEXT(ABS(K109),"000000000000000"),13,1)&amp;" ratus "&amp;MID(TEXT(ABS(K109),"000000000000000"),14,1)&amp;" puluh "&amp;MID(TEXT(ABS(K109),"000000000000000"),15,1)),1,"satu"),2,"dua"),3,"tiga"),4,"empat"),5,"lima"),6,"enam"),7,"tujuh"),8,"delapan"),9,"sembilan"),"0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Juta Delapan Ratus Tujuh Ribu Enam Ratus Empat Puluh Lima Rupiah</v>
      </c>
      <c r="C110" s="644"/>
      <c r="D110" s="644"/>
      <c r="E110" s="644"/>
      <c r="F110" s="644"/>
      <c r="G110" s="644"/>
      <c r="H110" s="644"/>
      <c r="I110" s="644"/>
      <c r="J110" s="644"/>
      <c r="K110" s="645"/>
    </row>
    <row r="111" spans="2:13">
      <c r="B111" s="646"/>
      <c r="C111" s="647"/>
      <c r="D111" s="647"/>
      <c r="E111" s="647"/>
      <c r="F111" s="647"/>
      <c r="G111" s="647"/>
      <c r="H111" s="647"/>
      <c r="I111" s="647"/>
      <c r="J111" s="647"/>
      <c r="K111" s="648"/>
    </row>
    <row r="112" spans="2:13" ht="15.75" thickBot="1">
      <c r="B112" s="406" t="str">
        <f>"Harga yang dipakai adalah "&amp;'HARGA SATUAN'!I5&amp;""</f>
        <v>Harga yang dipakai adalah RAB HSS 2023</v>
      </c>
      <c r="C112" s="407"/>
      <c r="D112" s="408"/>
      <c r="E112" s="408"/>
      <c r="F112" s="408"/>
      <c r="G112" s="409"/>
      <c r="H112" s="409"/>
      <c r="I112" s="409"/>
      <c r="J112" s="409"/>
      <c r="K112" s="410"/>
    </row>
    <row r="113" spans="3:11">
      <c r="C113" s="411"/>
      <c r="E113" s="413"/>
      <c r="F113" s="413"/>
      <c r="G113" s="413"/>
    </row>
    <row r="114" spans="3:11">
      <c r="C114" s="337"/>
      <c r="E114" s="413"/>
      <c r="F114" s="413"/>
      <c r="G114" s="413"/>
      <c r="H114" s="649"/>
      <c r="I114" s="649"/>
      <c r="J114" s="650"/>
      <c r="K114" s="650"/>
    </row>
    <row r="115" spans="3:11">
      <c r="C115" s="337"/>
      <c r="E115" s="413"/>
      <c r="F115" s="413"/>
      <c r="G115" s="413"/>
      <c r="H115" s="414"/>
      <c r="I115" s="639" t="s">
        <v>1641</v>
      </c>
      <c r="J115" s="639"/>
      <c r="K115" s="639"/>
    </row>
    <row r="116" spans="3:11">
      <c r="C116" s="337"/>
      <c r="E116" s="413"/>
      <c r="F116" s="413"/>
      <c r="G116" s="413"/>
      <c r="H116" s="414"/>
      <c r="I116" s="639" t="s">
        <v>1642</v>
      </c>
      <c r="J116" s="639"/>
      <c r="K116" s="639"/>
    </row>
    <row r="117" spans="3:11">
      <c r="C117" s="337"/>
      <c r="E117" s="413"/>
      <c r="F117" s="413"/>
      <c r="G117" s="413"/>
      <c r="H117" s="415"/>
      <c r="I117" s="416"/>
      <c r="J117" s="416"/>
      <c r="K117" s="416"/>
    </row>
    <row r="118" spans="3:11">
      <c r="C118" s="337"/>
      <c r="E118" s="413"/>
      <c r="F118" s="413"/>
      <c r="G118" s="413"/>
      <c r="H118" s="415"/>
      <c r="I118" s="415"/>
      <c r="J118" s="415"/>
      <c r="K118" s="415"/>
    </row>
    <row r="119" spans="3:11">
      <c r="C119" s="337"/>
      <c r="E119" s="413"/>
      <c r="F119" s="413"/>
      <c r="G119" s="413"/>
      <c r="H119" s="415"/>
      <c r="I119" s="415"/>
      <c r="J119" s="415"/>
      <c r="K119" s="415"/>
    </row>
    <row r="120" spans="3:11">
      <c r="C120" s="337"/>
      <c r="E120" s="413"/>
      <c r="F120" s="413"/>
      <c r="G120" s="413"/>
      <c r="H120" s="415"/>
      <c r="I120" s="415"/>
      <c r="J120" s="415"/>
      <c r="K120" s="415"/>
    </row>
    <row r="121" spans="3:11">
      <c r="C121" s="337"/>
      <c r="E121" s="413"/>
      <c r="F121" s="413"/>
      <c r="G121" s="413"/>
      <c r="H121" s="417"/>
      <c r="I121" s="639" t="s">
        <v>1643</v>
      </c>
      <c r="J121" s="639"/>
      <c r="K121" s="639"/>
    </row>
    <row r="122" spans="3:11">
      <c r="C122" s="411"/>
      <c r="E122" s="413"/>
      <c r="F122" s="413"/>
      <c r="G122" s="413"/>
      <c r="H122" s="415"/>
      <c r="I122" s="415"/>
      <c r="J122" s="415"/>
      <c r="K122" s="415"/>
    </row>
    <row r="123" spans="3:11">
      <c r="C123" s="411"/>
      <c r="E123" s="413"/>
      <c r="F123" s="413"/>
      <c r="G123" s="413"/>
      <c r="H123" s="415"/>
      <c r="I123" s="415"/>
      <c r="J123" s="415"/>
      <c r="K123" s="415"/>
    </row>
    <row r="124" spans="3:11">
      <c r="C124" s="411"/>
      <c r="E124" s="413"/>
      <c r="F124" s="413"/>
      <c r="G124" s="413"/>
      <c r="H124" s="415"/>
      <c r="I124" s="415"/>
      <c r="J124" s="415"/>
      <c r="K124" s="415"/>
    </row>
  </sheetData>
  <sheetProtection sort="0" autoFilter="0"/>
  <protectedRanges>
    <protectedRange sqref="B102 B75" name="Range1_1"/>
    <protectedRange sqref="B101:C101 B44:B45 B43:C43 B69:C70 B76:C76 B46:C62 C75" name="Range1_1_1"/>
    <protectedRange sqref="C102" name="Range1_1_3_12"/>
    <protectedRange sqref="F18" name="Range1_1_2_2_1_1"/>
    <protectedRange sqref="C44" name="Range1_1_3"/>
    <protectedRange sqref="C45" name="Range1_1_3_1"/>
    <protectedRange sqref="G73" name="Range1_3_7_1"/>
    <protectedRange sqref="G74" name="Range1_3_7_2"/>
    <protectedRange sqref="C82" name="Range1_1_3_2"/>
    <protectedRange sqref="C72" name="Range1_1_3_3"/>
  </protectedRanges>
  <mergeCells count="22">
    <mergeCell ref="I116:K116"/>
    <mergeCell ref="I121:K121"/>
    <mergeCell ref="C109:F109"/>
    <mergeCell ref="G6:K6"/>
    <mergeCell ref="I115:K115"/>
    <mergeCell ref="C108:F108"/>
    <mergeCell ref="B110:K111"/>
    <mergeCell ref="H114:K114"/>
    <mergeCell ref="H11:K11"/>
    <mergeCell ref="H12:H13"/>
    <mergeCell ref="J12:J13"/>
    <mergeCell ref="K12:K13"/>
    <mergeCell ref="O3:P4"/>
    <mergeCell ref="B4:K4"/>
    <mergeCell ref="C107:F107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17:C18">
    <cfRule type="cellIs" dxfId="15" priority="476" operator="equal">
      <formula>0</formula>
    </cfRule>
  </conditionalFormatting>
  <conditionalFormatting sqref="C44:C45">
    <cfRule type="cellIs" dxfId="14" priority="15" operator="equal">
      <formula>0</formula>
    </cfRule>
  </conditionalFormatting>
  <conditionalFormatting sqref="C75">
    <cfRule type="cellIs" dxfId="12" priority="67" operator="equal">
      <formula>0</formula>
    </cfRule>
  </conditionalFormatting>
  <conditionalFormatting sqref="C91">
    <cfRule type="cellIs" dxfId="11" priority="13" operator="equal">
      <formula>0</formula>
    </cfRule>
  </conditionalFormatting>
  <conditionalFormatting sqref="C102">
    <cfRule type="cellIs" dxfId="10" priority="74" operator="equal">
      <formula>0</formula>
    </cfRule>
  </conditionalFormatting>
  <conditionalFormatting sqref="E1:E3 G1:G13 E5:E13 H12:I12 O13 E104:G104 H104:K106 E105:H105 E106:F106 E14:K35 E36:E41 G36:K41 S14:V42 E42:K72 E79:K103 E75:G78 H73:K78">
    <cfRule type="cellIs" dxfId="9" priority="1056" stopIfTrue="1" operator="equal">
      <formula>0</formula>
    </cfRule>
  </conditionalFormatting>
  <conditionalFormatting sqref="G105:G65571 E110:E65571">
    <cfRule type="cellIs" dxfId="8" priority="190" stopIfTrue="1" operator="equal">
      <formula>0</formula>
    </cfRule>
  </conditionalFormatting>
  <conditionalFormatting sqref="F36:F41">
    <cfRule type="cellIs" dxfId="7" priority="8" stopIfTrue="1" operator="equal">
      <formula>0</formula>
    </cfRule>
  </conditionalFormatting>
  <conditionalFormatting sqref="G73">
    <cfRule type="cellIs" dxfId="6" priority="6" operator="equal">
      <formula>0</formula>
    </cfRule>
  </conditionalFormatting>
  <conditionalFormatting sqref="C73:F73">
    <cfRule type="cellIs" dxfId="5" priority="7" operator="equal">
      <formula>0</formula>
    </cfRule>
  </conditionalFormatting>
  <conditionalFormatting sqref="G74">
    <cfRule type="cellIs" dxfId="4" priority="4" operator="equal">
      <formula>0</formula>
    </cfRule>
  </conditionalFormatting>
  <conditionalFormatting sqref="C74:F74">
    <cfRule type="cellIs" dxfId="3" priority="5" operator="equal">
      <formula>0</formula>
    </cfRule>
  </conditionalFormatting>
  <conditionalFormatting sqref="C79">
    <cfRule type="cellIs" dxfId="2" priority="3" operator="equal">
      <formula>0</formula>
    </cfRule>
  </conditionalFormatting>
  <conditionalFormatting sqref="C82">
    <cfRule type="cellIs" dxfId="1" priority="2" operator="equal">
      <formula>0</formula>
    </cfRule>
  </conditionalFormatting>
  <conditionalFormatting sqref="C72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84 F93:F103 F44:F59 F22:F34 F36:F41 F61:F72 F75:F77 H14:K10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73:D74" xr:uid="{340508A2-93D9-42B9-9691-B347BE4C989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1" zoomScale="115" zoomScaleNormal="115" zoomScaleSheetLayoutView="115" workbookViewId="0">
      <selection activeCell="T40" sqref="T40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3" t="s">
        <v>1439</v>
      </c>
      <c r="X2" s="654"/>
      <c r="Y2" s="654"/>
      <c r="Z2" s="654"/>
      <c r="AA2" s="654"/>
      <c r="AB2" s="654"/>
      <c r="AC2" s="654"/>
      <c r="AD2" s="655"/>
    </row>
    <row r="3" spans="3:30">
      <c r="C3" s="238"/>
      <c r="W3" s="656"/>
      <c r="X3" s="657"/>
      <c r="Y3" s="657"/>
      <c r="Z3" s="657"/>
      <c r="AA3" s="657"/>
      <c r="AB3" s="657"/>
      <c r="AC3" s="657"/>
      <c r="AD3" s="65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238"/>
      <c r="W6" s="241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238"/>
      <c r="E7" s="494" t="s">
        <v>1626</v>
      </c>
      <c r="W7" s="241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238"/>
      <c r="W8" s="241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>
      <c r="C9" s="238"/>
      <c r="W9" s="241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238"/>
      <c r="W10" s="241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238"/>
      <c r="W11" s="241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238"/>
      <c r="W12" s="241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238"/>
      <c r="W13" s="241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238"/>
      <c r="W14" s="241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238"/>
      <c r="W15" s="241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238"/>
      <c r="W16" s="241">
        <v>11</v>
      </c>
      <c r="X16" s="659" t="s">
        <v>1458</v>
      </c>
      <c r="Y16" s="659"/>
      <c r="Z16" s="659"/>
      <c r="AA16" s="659"/>
      <c r="AB16" s="659"/>
      <c r="AC16" s="659"/>
      <c r="AD16" s="660"/>
    </row>
    <row r="17" spans="3:30">
      <c r="C17" s="238"/>
      <c r="S17" s="242"/>
      <c r="W17" s="241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243"/>
      <c r="D18" s="244"/>
      <c r="E18" s="244"/>
      <c r="W18" s="241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1" t="s">
        <v>992</v>
      </c>
      <c r="X20" s="662"/>
      <c r="Y20" s="662"/>
      <c r="Z20" s="662"/>
      <c r="AA20" s="662"/>
      <c r="AB20" s="662"/>
      <c r="AC20" s="662"/>
      <c r="AD20" s="663"/>
    </row>
    <row r="21" spans="3:30">
      <c r="C21" s="238"/>
      <c r="W21" s="664" t="s">
        <v>985</v>
      </c>
      <c r="X21" s="665"/>
      <c r="Y21" s="665"/>
      <c r="Z21" s="666"/>
      <c r="AA21" s="667" t="s">
        <v>986</v>
      </c>
      <c r="AB21" s="668"/>
      <c r="AC21" s="668"/>
      <c r="AD21" s="669"/>
    </row>
    <row r="22" spans="3:30">
      <c r="C22" s="238"/>
      <c r="W22" s="670" t="s">
        <v>1631</v>
      </c>
      <c r="X22" s="671"/>
      <c r="Y22" s="496">
        <v>1</v>
      </c>
      <c r="Z22" s="501"/>
      <c r="AA22" s="672" t="s">
        <v>1632</v>
      </c>
      <c r="AB22" s="673"/>
      <c r="AC22" s="248"/>
      <c r="AD22" s="249"/>
    </row>
    <row r="23" spans="3:30">
      <c r="C23" s="238"/>
      <c r="W23" s="670" t="s">
        <v>1629</v>
      </c>
      <c r="X23" s="671"/>
      <c r="Y23" s="496">
        <v>7</v>
      </c>
      <c r="Z23" s="501"/>
      <c r="AA23" s="674"/>
      <c r="AB23" s="675"/>
      <c r="AC23" s="248"/>
      <c r="AD23" s="249"/>
    </row>
    <row r="24" spans="3:30">
      <c r="C24" s="238"/>
      <c r="W24" s="680" t="s">
        <v>1624</v>
      </c>
      <c r="X24" s="681"/>
      <c r="Y24" s="246">
        <v>5</v>
      </c>
      <c r="Z24" s="247"/>
      <c r="AA24" s="682"/>
      <c r="AB24" s="683"/>
      <c r="AC24" s="248"/>
      <c r="AD24" s="249"/>
    </row>
    <row r="25" spans="3:30">
      <c r="C25" s="238"/>
      <c r="W25" s="680" t="s">
        <v>1625</v>
      </c>
      <c r="X25" s="681"/>
      <c r="Y25" s="246">
        <v>8</v>
      </c>
      <c r="Z25" s="247"/>
      <c r="AA25" s="674"/>
      <c r="AB25" s="675"/>
      <c r="AC25" s="248"/>
      <c r="AD25" s="249"/>
    </row>
    <row r="26" spans="3:30">
      <c r="C26" s="238"/>
      <c r="W26" s="484" t="s">
        <v>1630</v>
      </c>
      <c r="X26" s="485"/>
      <c r="Y26" s="246">
        <v>1</v>
      </c>
      <c r="Z26" s="247"/>
      <c r="AA26" s="674"/>
      <c r="AB26" s="675"/>
      <c r="AC26" s="248"/>
      <c r="AD26" s="249"/>
    </row>
    <row r="27" spans="3:30">
      <c r="C27" s="238"/>
      <c r="W27" s="484" t="s">
        <v>1619</v>
      </c>
      <c r="X27" s="485"/>
      <c r="Y27" s="246">
        <v>2</v>
      </c>
      <c r="Z27" s="247"/>
      <c r="AA27" s="678"/>
      <c r="AB27" s="679"/>
      <c r="AC27" s="248"/>
      <c r="AD27" s="249"/>
    </row>
    <row r="28" spans="3:30">
      <c r="C28" s="238"/>
      <c r="W28" s="484" t="s">
        <v>1620</v>
      </c>
      <c r="X28" s="485"/>
      <c r="Y28" s="246">
        <f>Y27</f>
        <v>2</v>
      </c>
      <c r="Z28" s="247"/>
      <c r="AA28" s="678"/>
      <c r="AB28" s="679"/>
      <c r="AC28" s="248"/>
      <c r="AD28" s="249"/>
    </row>
    <row r="29" spans="3:30">
      <c r="C29" s="238"/>
      <c r="W29" s="484" t="s">
        <v>1621</v>
      </c>
      <c r="X29" s="485"/>
      <c r="Y29" s="246">
        <f>Y27</f>
        <v>2</v>
      </c>
      <c r="Z29" s="247"/>
      <c r="AA29" s="678"/>
      <c r="AB29" s="679"/>
      <c r="AC29" s="248"/>
      <c r="AD29" s="249"/>
    </row>
    <row r="30" spans="3:30" ht="11.25" customHeight="1">
      <c r="C30" s="238"/>
      <c r="W30" s="486"/>
      <c r="X30" s="487"/>
      <c r="Y30" s="246"/>
      <c r="Z30" s="247"/>
      <c r="AA30" s="678"/>
      <c r="AB30" s="679"/>
      <c r="AC30" s="248"/>
      <c r="AD30" s="249"/>
    </row>
    <row r="31" spans="3:30">
      <c r="C31" s="238"/>
      <c r="U31" s="250"/>
      <c r="W31" s="484"/>
      <c r="X31" s="485"/>
      <c r="Y31" s="246"/>
      <c r="Z31" s="247"/>
      <c r="AA31" s="678"/>
      <c r="AB31" s="679"/>
      <c r="AC31" s="248"/>
      <c r="AD31" s="249"/>
    </row>
    <row r="32" spans="3:30">
      <c r="C32" s="238"/>
      <c r="U32" s="250"/>
      <c r="W32" s="484"/>
      <c r="X32" s="485"/>
      <c r="Y32" s="246"/>
      <c r="Z32" s="247"/>
      <c r="AA32" s="678"/>
      <c r="AB32" s="679"/>
      <c r="AC32" s="248"/>
      <c r="AD32" s="249"/>
    </row>
    <row r="33" spans="3:30">
      <c r="C33" s="238"/>
      <c r="W33" s="484"/>
      <c r="X33" s="485"/>
      <c r="Y33" s="246"/>
      <c r="Z33" s="247"/>
      <c r="AA33" s="678"/>
      <c r="AB33" s="679"/>
      <c r="AC33" s="248"/>
      <c r="AD33" s="249"/>
    </row>
    <row r="34" spans="3:30">
      <c r="C34" s="238"/>
      <c r="W34" s="484"/>
      <c r="X34" s="485"/>
      <c r="Y34" s="246"/>
      <c r="Z34" s="247"/>
      <c r="AA34" s="678"/>
      <c r="AB34" s="679"/>
      <c r="AC34" s="248"/>
      <c r="AD34" s="249"/>
    </row>
    <row r="35" spans="3:30">
      <c r="C35" s="238"/>
      <c r="W35" s="680"/>
      <c r="X35" s="693"/>
      <c r="Y35" s="246"/>
      <c r="Z35" s="247"/>
      <c r="AA35" s="678"/>
      <c r="AB35" s="679"/>
      <c r="AC35" s="248"/>
      <c r="AD35" s="249"/>
    </row>
    <row r="36" spans="3:30">
      <c r="C36" s="238"/>
      <c r="W36" s="684"/>
      <c r="X36" s="685"/>
      <c r="Y36" s="246"/>
      <c r="Z36" s="251"/>
      <c r="AA36" s="686"/>
      <c r="AB36" s="679"/>
      <c r="AC36" s="248"/>
      <c r="AD36" s="249"/>
    </row>
    <row r="37" spans="3:30" ht="12.75" customHeight="1">
      <c r="C37" s="238"/>
      <c r="W37" s="687"/>
      <c r="X37" s="688"/>
      <c r="Y37" s="246"/>
      <c r="Z37" s="251"/>
      <c r="AA37" s="689"/>
      <c r="AB37" s="690"/>
      <c r="AC37" s="252"/>
      <c r="AD37" s="253"/>
    </row>
    <row r="38" spans="3:30" ht="12.75" customHeight="1">
      <c r="C38" s="238"/>
      <c r="W38" s="687"/>
      <c r="X38" s="68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7"/>
      <c r="X39" s="688"/>
      <c r="Y39" s="254"/>
      <c r="Z39" s="257"/>
      <c r="AA39" s="691"/>
      <c r="AB39" s="692"/>
      <c r="AC39" s="252"/>
      <c r="AD39" s="253"/>
    </row>
    <row r="40" spans="3:30" ht="12" customHeight="1">
      <c r="C40" s="238"/>
      <c r="W40" s="697"/>
      <c r="X40" s="69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9"/>
      <c r="X41" s="700"/>
      <c r="Y41" s="260"/>
      <c r="Z41" s="261"/>
      <c r="AA41" s="691"/>
      <c r="AB41" s="692"/>
      <c r="AC41" s="252"/>
      <c r="AD41" s="253"/>
    </row>
    <row r="42" spans="3:30" ht="12" customHeight="1">
      <c r="C42" s="238"/>
      <c r="W42" s="701" t="s">
        <v>1459</v>
      </c>
      <c r="X42" s="702"/>
      <c r="Y42" s="702"/>
      <c r="Z42" s="70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4" t="s">
        <v>11</v>
      </c>
      <c r="X44" s="695"/>
      <c r="Y44" s="659"/>
      <c r="Z44" s="659"/>
      <c r="AA44" s="659"/>
      <c r="AB44" s="659"/>
      <c r="AC44" s="659"/>
      <c r="AD44" s="66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4" t="s">
        <v>984</v>
      </c>
      <c r="X45" s="695"/>
      <c r="Y45" s="659">
        <v>1</v>
      </c>
      <c r="Z45" s="659"/>
      <c r="AA45" s="659"/>
      <c r="AB45" s="659" t="s">
        <v>12</v>
      </c>
      <c r="AC45" s="65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4" t="s">
        <v>15</v>
      </c>
      <c r="X46" s="695"/>
      <c r="Y46" s="696"/>
      <c r="Z46" s="696"/>
      <c r="AA46" s="696"/>
      <c r="AB46" s="659" t="s">
        <v>16</v>
      </c>
      <c r="AC46" s="65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7" t="s">
        <v>17</v>
      </c>
      <c r="X47" s="707"/>
      <c r="Y47" s="707"/>
      <c r="Z47" s="707"/>
      <c r="AA47" s="707"/>
      <c r="AB47" s="707"/>
      <c r="AC47" s="707"/>
      <c r="AD47" s="70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9" t="str">
        <f>RAB!G6</f>
        <v>LAS SUTIYOSO</v>
      </c>
      <c r="X48" s="709"/>
      <c r="Y48" s="709"/>
      <c r="Z48" s="709"/>
      <c r="AA48" s="709"/>
      <c r="AB48" s="709"/>
      <c r="AC48" s="709"/>
      <c r="AD48" s="71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9"/>
      <c r="X49" s="709"/>
      <c r="Y49" s="709"/>
      <c r="Z49" s="709"/>
      <c r="AA49" s="709"/>
      <c r="AB49" s="709"/>
      <c r="AC49" s="709"/>
      <c r="AD49" s="71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9"/>
      <c r="X50" s="709"/>
      <c r="Y50" s="709"/>
      <c r="Z50" s="709"/>
      <c r="AA50" s="709"/>
      <c r="AB50" s="709"/>
      <c r="AC50" s="709"/>
      <c r="AD50" s="71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1"/>
      <c r="X51" s="711"/>
      <c r="Y51" s="711"/>
      <c r="Z51" s="711"/>
      <c r="AA51" s="711"/>
      <c r="AB51" s="711"/>
      <c r="AC51" s="711"/>
      <c r="AD51" s="71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4" t="s">
        <v>18</v>
      </c>
      <c r="X52" s="695"/>
      <c r="Y52" s="659" t="s">
        <v>1612</v>
      </c>
      <c r="Z52" s="659"/>
      <c r="AA52" s="659"/>
      <c r="AB52" s="659"/>
      <c r="AC52" s="659"/>
      <c r="AD52" s="66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4" t="s">
        <v>19</v>
      </c>
      <c r="X53" s="695"/>
      <c r="Y53" s="659" t="s">
        <v>1613</v>
      </c>
      <c r="Z53" s="659"/>
      <c r="AA53" s="659"/>
      <c r="AB53" s="659"/>
      <c r="AC53" s="659"/>
      <c r="AD53" s="66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4" t="s">
        <v>20</v>
      </c>
      <c r="X54" s="695"/>
      <c r="Y54" s="703" t="s">
        <v>1614</v>
      </c>
      <c r="Z54" s="703"/>
      <c r="AA54" s="703"/>
      <c r="AB54" s="659"/>
      <c r="AC54" s="659"/>
      <c r="AD54" s="66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4" t="s">
        <v>21</v>
      </c>
      <c r="X55" s="705"/>
      <c r="Y55" s="703" t="s">
        <v>1640</v>
      </c>
      <c r="Z55" s="703"/>
      <c r="AA55" s="703"/>
      <c r="AB55" s="703"/>
      <c r="AC55" s="703"/>
      <c r="AD55" s="706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C36" sqref="AC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3" t="s">
        <v>1531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17"/>
      <c r="AE4" s="216"/>
      <c r="AF4" s="216"/>
    </row>
    <row r="5" spans="2:32" ht="13.5" customHeight="1">
      <c r="B5" s="215"/>
      <c r="C5" s="215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17"/>
      <c r="AE5" s="216"/>
      <c r="AF5" s="216"/>
    </row>
    <row r="6" spans="2:32" ht="12.75" customHeight="1">
      <c r="B6" s="215"/>
      <c r="C6" s="215"/>
      <c r="D6" s="716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  <c r="P6" s="717"/>
      <c r="Q6" s="717"/>
      <c r="R6" s="717"/>
      <c r="S6" s="717"/>
      <c r="T6" s="717"/>
      <c r="U6" s="717"/>
      <c r="V6" s="717"/>
      <c r="W6" s="717"/>
      <c r="X6" s="717"/>
      <c r="Y6" s="717"/>
      <c r="Z6" s="717"/>
      <c r="AA6" s="717"/>
      <c r="AB6" s="717"/>
      <c r="AC6" s="718"/>
      <c r="AE6" s="216"/>
      <c r="AF6" s="216"/>
    </row>
    <row r="7" spans="2:32" ht="12.75" customHeight="1" thickBot="1">
      <c r="B7" s="215"/>
      <c r="C7" s="215"/>
      <c r="D7" s="719"/>
      <c r="E7" s="720"/>
      <c r="F7" s="720"/>
      <c r="G7" s="720"/>
      <c r="H7" s="720"/>
      <c r="I7" s="720"/>
      <c r="J7" s="720"/>
      <c r="K7" s="720"/>
      <c r="L7" s="720"/>
      <c r="M7" s="720"/>
      <c r="N7" s="720"/>
      <c r="O7" s="720"/>
      <c r="P7" s="720"/>
      <c r="Q7" s="720"/>
      <c r="R7" s="720"/>
      <c r="S7" s="720"/>
      <c r="T7" s="720"/>
      <c r="U7" s="720"/>
      <c r="V7" s="720"/>
      <c r="W7" s="720"/>
      <c r="X7" s="720"/>
      <c r="Y7" s="720"/>
      <c r="Z7" s="720"/>
      <c r="AA7" s="720"/>
      <c r="AB7" s="720"/>
      <c r="AC7" s="72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3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Z90" sqref="Z90"/>
    </sheetView>
  </sheetViews>
  <sheetFormatPr defaultColWidth="9.140625" defaultRowHeight="12.75"/>
  <cols>
    <col min="1" max="1" width="1.7109375" style="428" customWidth="1"/>
    <col min="2" max="2" width="10.7109375" style="428" customWidth="1"/>
    <col min="3" max="3" width="2.5703125" style="428" customWidth="1"/>
    <col min="4" max="20" width="9.140625" style="428"/>
    <col min="21" max="21" width="14.5703125" style="428" customWidth="1"/>
    <col min="22" max="22" width="3.140625" style="428" customWidth="1"/>
    <col min="23" max="26" width="9.140625" style="428"/>
    <col min="27" max="27" width="2.85546875" style="428" customWidth="1"/>
    <col min="28" max="30" width="4.7109375" style="428" customWidth="1"/>
    <col min="31" max="31" width="1.7109375" style="428" customWidth="1"/>
    <col min="32" max="16384" width="9.140625" style="428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7" t="s">
        <v>1530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182"/>
      <c r="X3" s="439"/>
      <c r="Y3" s="439"/>
      <c r="Z3" s="439"/>
      <c r="AA3" s="439"/>
      <c r="AB3" s="439"/>
      <c r="AC3" s="429"/>
    </row>
    <row r="4" spans="1:29" ht="18.75" customHeight="1">
      <c r="A4" s="181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182"/>
      <c r="X4" s="439"/>
      <c r="Y4" s="439"/>
      <c r="Z4" s="439"/>
      <c r="AA4" s="439"/>
      <c r="AB4" s="439"/>
      <c r="AC4" s="429"/>
    </row>
    <row r="5" spans="1:29" ht="12.75" customHeight="1">
      <c r="A5" s="181"/>
      <c r="C5" s="430"/>
      <c r="W5" s="182"/>
    </row>
    <row r="6" spans="1:29" ht="12.75" customHeight="1">
      <c r="A6" s="181"/>
      <c r="C6" s="722" t="str">
        <f>GAMBAR!E7</f>
        <v>KOORDINAT : -6.858227, 110.787909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182"/>
      <c r="Y6" s="431"/>
      <c r="Z6" s="431"/>
      <c r="AA6" s="431"/>
      <c r="AB6" s="432"/>
      <c r="AC6" s="432"/>
    </row>
    <row r="7" spans="1:29" ht="18" customHeight="1">
      <c r="A7" s="181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182"/>
      <c r="Y7" s="431"/>
      <c r="Z7" s="431"/>
      <c r="AA7" s="431"/>
      <c r="AB7" s="432"/>
      <c r="AC7" s="432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3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4"/>
      <c r="S54" s="434"/>
      <c r="T54" s="434"/>
      <c r="U54" s="435"/>
      <c r="V54" s="435"/>
      <c r="W54" s="183"/>
      <c r="X54" s="435"/>
      <c r="Y54" s="435"/>
      <c r="Z54" s="435"/>
      <c r="AA54" s="435"/>
      <c r="AB54" s="435"/>
      <c r="AC54" s="435"/>
      <c r="AD54" s="435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0"/>
      <c r="S55" s="441"/>
      <c r="T55" s="441"/>
      <c r="U55" s="186"/>
      <c r="V55" s="187"/>
      <c r="W55" s="188"/>
      <c r="X55" s="435"/>
      <c r="Y55" s="435"/>
      <c r="Z55" s="435"/>
      <c r="AA55" s="436"/>
      <c r="AB55" s="436"/>
      <c r="AC55" s="436"/>
      <c r="AD55" s="436"/>
    </row>
    <row r="56" spans="1:30">
      <c r="U56" s="435"/>
      <c r="V56" s="436"/>
      <c r="W56" s="435"/>
      <c r="X56" s="435"/>
      <c r="Y56" s="435"/>
      <c r="Z56" s="435"/>
      <c r="AA56" s="436"/>
      <c r="AB56" s="435"/>
      <c r="AC56" s="435"/>
      <c r="AD56" s="435"/>
    </row>
    <row r="57" spans="1:30">
      <c r="U57" s="435"/>
      <c r="V57" s="436"/>
      <c r="W57" s="435"/>
      <c r="X57" s="435"/>
      <c r="Y57" s="435"/>
      <c r="Z57" s="435"/>
      <c r="AA57" s="435"/>
      <c r="AB57" s="435"/>
      <c r="AC57" s="435"/>
      <c r="AD57" s="435"/>
    </row>
    <row r="58" spans="1:30">
      <c r="U58" s="435"/>
      <c r="V58" s="436"/>
      <c r="W58" s="435"/>
      <c r="X58" s="435"/>
      <c r="Y58" s="435"/>
      <c r="Z58" s="435"/>
      <c r="AA58" s="435"/>
      <c r="AB58" s="435"/>
      <c r="AC58" s="435"/>
      <c r="AD58" s="435"/>
    </row>
    <row r="59" spans="1:30">
      <c r="U59" s="435"/>
      <c r="V59" s="436"/>
      <c r="W59" s="435"/>
      <c r="X59" s="435"/>
      <c r="Y59" s="435"/>
      <c r="Z59" s="435"/>
      <c r="AA59" s="435"/>
      <c r="AB59" s="435"/>
      <c r="AC59" s="435"/>
      <c r="AD59" s="435"/>
    </row>
    <row r="60" spans="1:30">
      <c r="U60" s="435"/>
      <c r="V60" s="436"/>
      <c r="W60" s="435"/>
      <c r="X60" s="435"/>
      <c r="Y60" s="435"/>
      <c r="Z60" s="435"/>
      <c r="AA60" s="436"/>
      <c r="AB60" s="435"/>
      <c r="AC60" s="435"/>
      <c r="AD60" s="435"/>
    </row>
    <row r="61" spans="1:30">
      <c r="U61" s="435"/>
      <c r="V61" s="436"/>
      <c r="W61" s="435"/>
      <c r="X61" s="435"/>
      <c r="Y61" s="435"/>
      <c r="Z61" s="435"/>
      <c r="AA61" s="435"/>
      <c r="AB61" s="435"/>
      <c r="AC61" s="435"/>
      <c r="AD61" s="435"/>
    </row>
    <row r="62" spans="1:30">
      <c r="U62" s="435"/>
      <c r="V62" s="436"/>
      <c r="W62" s="435"/>
      <c r="X62" s="435"/>
      <c r="Y62" s="435"/>
      <c r="Z62" s="435"/>
      <c r="AA62" s="435"/>
      <c r="AB62" s="435"/>
      <c r="AC62" s="435"/>
      <c r="AD62" s="435"/>
    </row>
    <row r="63" spans="1:30">
      <c r="U63" s="435"/>
      <c r="V63" s="436"/>
      <c r="W63" s="435"/>
      <c r="X63" s="435"/>
      <c r="Y63" s="435"/>
      <c r="Z63" s="435"/>
      <c r="AA63" s="435"/>
      <c r="AB63" s="435"/>
      <c r="AC63" s="435"/>
      <c r="AD63" s="435"/>
    </row>
    <row r="64" spans="1:30">
      <c r="U64" s="435"/>
      <c r="V64" s="436"/>
      <c r="W64" s="435"/>
      <c r="X64" s="435"/>
      <c r="Y64" s="435"/>
      <c r="Z64" s="435"/>
      <c r="AA64" s="435"/>
      <c r="AB64" s="435"/>
      <c r="AC64" s="435"/>
      <c r="AD64" s="435"/>
    </row>
    <row r="65" spans="5:30">
      <c r="U65" s="435"/>
      <c r="V65" s="436"/>
      <c r="W65" s="435"/>
      <c r="X65" s="435"/>
      <c r="Y65" s="435"/>
      <c r="Z65" s="435"/>
      <c r="AA65" s="435"/>
      <c r="AB65" s="435"/>
      <c r="AC65" s="435"/>
      <c r="AD65" s="435"/>
    </row>
    <row r="66" spans="5:30" ht="6" customHeight="1"/>
    <row r="73" spans="5:30">
      <c r="M73" s="437"/>
    </row>
    <row r="74" spans="5:30" ht="15" customHeight="1">
      <c r="E74" s="438"/>
      <c r="M74" s="437"/>
    </row>
    <row r="75" spans="5:30" ht="15" customHeight="1">
      <c r="E75" s="438"/>
      <c r="M75" s="437"/>
    </row>
    <row r="76" spans="5:30" ht="15" customHeight="1">
      <c r="E76" s="438"/>
      <c r="M76" s="437"/>
    </row>
    <row r="77" spans="5:30" ht="15" customHeight="1">
      <c r="E77" s="438"/>
      <c r="M77" s="437"/>
    </row>
    <row r="78" spans="5:30" ht="15" customHeight="1">
      <c r="E78" s="438"/>
      <c r="M78" s="437"/>
    </row>
    <row r="79" spans="5:30" ht="15" customHeight="1">
      <c r="E79" s="438"/>
      <c r="M79" s="437"/>
    </row>
    <row r="80" spans="5:30" ht="15" customHeight="1">
      <c r="E80" s="438"/>
      <c r="M80" s="437"/>
    </row>
    <row r="81" spans="5:13" ht="15" customHeight="1">
      <c r="E81" s="438"/>
      <c r="M81" s="437"/>
    </row>
    <row r="82" spans="5:13" ht="15" customHeight="1">
      <c r="E82" s="438"/>
      <c r="M82" s="437"/>
    </row>
    <row r="83" spans="5:13" ht="15" customHeight="1">
      <c r="E83" s="438"/>
      <c r="M83" s="437"/>
    </row>
    <row r="84" spans="5:13" ht="15" customHeight="1">
      <c r="E84" s="438"/>
      <c r="M84" s="437"/>
    </row>
    <row r="85" spans="5:13" ht="15" customHeight="1">
      <c r="E85" s="438"/>
      <c r="M85" s="437"/>
    </row>
    <row r="86" spans="5:13" ht="15" customHeight="1">
      <c r="E86" s="438"/>
      <c r="M86" s="437"/>
    </row>
    <row r="87" spans="5:13" ht="15" customHeight="1">
      <c r="E87" s="438"/>
      <c r="M87" s="437"/>
    </row>
    <row r="88" spans="5:13" ht="15" customHeight="1">
      <c r="E88" s="438"/>
      <c r="M88" s="437"/>
    </row>
    <row r="89" spans="5:13" ht="15" customHeight="1">
      <c r="E89" s="438"/>
      <c r="M89" s="437"/>
    </row>
    <row r="90" spans="5:13" ht="15" customHeight="1">
      <c r="E90" s="438"/>
      <c r="M90" s="437"/>
    </row>
    <row r="91" spans="5:13" ht="15" customHeight="1">
      <c r="E91" s="438"/>
      <c r="M91" s="437"/>
    </row>
    <row r="92" spans="5:13" ht="15" customHeight="1">
      <c r="E92" s="438"/>
      <c r="M92" s="437"/>
    </row>
    <row r="93" spans="5:13" ht="15" customHeight="1">
      <c r="E93" s="438"/>
      <c r="M93" s="437"/>
    </row>
    <row r="94" spans="5:13" ht="15" customHeight="1">
      <c r="E94" s="438"/>
      <c r="M94" s="437"/>
    </row>
    <row r="95" spans="5:13" ht="15" customHeight="1">
      <c r="E95" s="438"/>
      <c r="M95" s="437"/>
    </row>
    <row r="96" spans="5:13" ht="15" customHeight="1">
      <c r="E96" s="438"/>
    </row>
    <row r="97" spans="5:5" ht="15" customHeight="1">
      <c r="E97" s="438"/>
    </row>
    <row r="98" spans="5:5" ht="15" customHeight="1">
      <c r="E98" s="438"/>
    </row>
    <row r="99" spans="5:5" ht="15" customHeight="1">
      <c r="E99" s="438"/>
    </row>
    <row r="100" spans="5:5" ht="15" customHeight="1">
      <c r="E100" s="438"/>
    </row>
    <row r="101" spans="5:5" ht="15" customHeight="1">
      <c r="E101" s="438"/>
    </row>
    <row r="102" spans="5:5" ht="15" customHeight="1">
      <c r="E102" s="438"/>
    </row>
    <row r="103" spans="5:5" ht="15" customHeight="1">
      <c r="E103" s="438"/>
    </row>
    <row r="104" spans="5:5" ht="15" customHeight="1">
      <c r="E104" s="438"/>
    </row>
    <row r="105" spans="5:5" ht="15" customHeight="1">
      <c r="E105" s="438"/>
    </row>
    <row r="106" spans="5:5" ht="15" customHeight="1">
      <c r="E106" s="438"/>
    </row>
    <row r="107" spans="5:5" ht="15" customHeight="1">
      <c r="E107" s="438"/>
    </row>
    <row r="108" spans="5:5" ht="15" customHeight="1">
      <c r="E108" s="438"/>
    </row>
    <row r="109" spans="5:5" ht="15" customHeight="1">
      <c r="E109" s="438"/>
    </row>
    <row r="110" spans="5:5" ht="15" customHeight="1">
      <c r="E110" s="438"/>
    </row>
    <row r="111" spans="5:5" ht="15" customHeight="1">
      <c r="E111" s="438"/>
    </row>
    <row r="112" spans="5:5" ht="15" customHeight="1">
      <c r="E112" s="438"/>
    </row>
    <row r="113" spans="5:5" ht="15" customHeight="1">
      <c r="E113" s="438"/>
    </row>
    <row r="114" spans="5:5" ht="15" customHeight="1">
      <c r="E114" s="438"/>
    </row>
    <row r="115" spans="5:5" ht="15" customHeight="1">
      <c r="E115" s="438"/>
    </row>
    <row r="116" spans="5:5" ht="15" customHeight="1">
      <c r="E116" s="438"/>
    </row>
    <row r="117" spans="5:5" ht="15" customHeight="1">
      <c r="E117" s="438"/>
    </row>
    <row r="118" spans="5:5" ht="15" customHeight="1">
      <c r="E118" s="438"/>
    </row>
    <row r="119" spans="5:5" ht="15" customHeight="1">
      <c r="E119" s="438"/>
    </row>
    <row r="120" spans="5:5">
      <c r="E120" s="438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0">
        <v>1</v>
      </c>
    </row>
    <row r="2" spans="1:11" ht="48" customHeight="1">
      <c r="A2" s="460">
        <v>3</v>
      </c>
    </row>
    <row r="4" spans="1:11" ht="48" customHeight="1">
      <c r="C4" s="460">
        <v>1</v>
      </c>
    </row>
    <row r="5" spans="1:11" ht="48" customHeight="1">
      <c r="C5" s="460">
        <v>3</v>
      </c>
    </row>
    <row r="7" spans="1:11" ht="48" customHeight="1">
      <c r="E7" s="460">
        <v>1</v>
      </c>
    </row>
    <row r="8" spans="1:11" ht="48" customHeight="1">
      <c r="E8" s="460">
        <v>3</v>
      </c>
    </row>
    <row r="10" spans="1:11" ht="48" customHeight="1">
      <c r="G10" s="460">
        <v>3</v>
      </c>
    </row>
    <row r="11" spans="1:11" ht="48" customHeight="1">
      <c r="G11" s="460">
        <v>1</v>
      </c>
    </row>
    <row r="13" spans="1:11" ht="48" customHeight="1">
      <c r="I13" s="460">
        <v>3</v>
      </c>
    </row>
    <row r="14" spans="1:11" ht="48" customHeight="1">
      <c r="I14" s="460">
        <v>1</v>
      </c>
    </row>
    <row r="16" spans="1:11" ht="48" customHeight="1">
      <c r="K16" s="460">
        <v>3</v>
      </c>
    </row>
    <row r="17" spans="11:21" ht="48" customHeight="1">
      <c r="K17" s="460">
        <v>1</v>
      </c>
    </row>
    <row r="19" spans="11:21" ht="48" customHeight="1">
      <c r="M19" s="460">
        <v>3</v>
      </c>
    </row>
    <row r="20" spans="11:21" ht="48" customHeight="1">
      <c r="M20" s="460">
        <v>1</v>
      </c>
    </row>
    <row r="22" spans="11:21" ht="48" customHeight="1">
      <c r="O22" s="460">
        <v>3</v>
      </c>
    </row>
    <row r="23" spans="11:21" ht="48" customHeight="1">
      <c r="O23" s="460">
        <v>1</v>
      </c>
    </row>
    <row r="25" spans="11:21" ht="57" customHeight="1">
      <c r="Q25" s="460">
        <v>3</v>
      </c>
    </row>
    <row r="26" spans="11:21" ht="57" customHeight="1">
      <c r="Q26" s="460">
        <v>1</v>
      </c>
    </row>
    <row r="28" spans="11:21" ht="57" customHeight="1">
      <c r="S28" s="460">
        <v>3</v>
      </c>
    </row>
    <row r="29" spans="11:21" ht="57" customHeight="1">
      <c r="S29" s="460">
        <v>1</v>
      </c>
    </row>
    <row r="31" spans="11:21" ht="57" customHeight="1">
      <c r="U31" s="460">
        <v>3</v>
      </c>
    </row>
    <row r="32" spans="11:21" ht="57" customHeight="1">
      <c r="U32" s="46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2023-08-15T08:00:01Z</cp:lastPrinted>
  <dcterms:created xsi:type="dcterms:W3CDTF">2011-02-06T11:57:38Z</dcterms:created>
  <dcterms:modified xsi:type="dcterms:W3CDTF">2023-09-14T08:27:45Z</dcterms:modified>
</cp:coreProperties>
</file>