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PERSETUJUAN UP3\39. 14-09-2023\13 Sept\13 Sept\"/>
    </mc:Choice>
  </mc:AlternateContent>
  <xr:revisionPtr revIDLastSave="0" documentId="13_ncr:1_{01EBF3A8-A70D-4DAE-8874-16BD62032511}" xr6:coauthVersionLast="47" xr6:coauthVersionMax="47" xr10:uidLastSave="{00000000-0000-0000-0000-000000000000}"/>
  <bookViews>
    <workbookView xWindow="-120" yWindow="-120" windowWidth="24240" windowHeight="13140" tabRatio="859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RAB!$A$1:$K$123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00" i="11" l="1"/>
  <c r="F99" i="11"/>
  <c r="F98" i="11"/>
  <c r="F97" i="11"/>
  <c r="F96" i="11"/>
  <c r="F95" i="11"/>
  <c r="F94" i="11"/>
  <c r="D93" i="11"/>
  <c r="J93" i="11" s="1"/>
  <c r="E93" i="11"/>
  <c r="G93" i="11"/>
  <c r="D94" i="11"/>
  <c r="J94" i="11" s="1"/>
  <c r="E94" i="11"/>
  <c r="G94" i="11"/>
  <c r="D95" i="11"/>
  <c r="H95" i="11" s="1"/>
  <c r="E95" i="11"/>
  <c r="G95" i="11"/>
  <c r="D96" i="11"/>
  <c r="H96" i="11" s="1"/>
  <c r="E96" i="11"/>
  <c r="G96" i="11"/>
  <c r="D97" i="11"/>
  <c r="J97" i="11" s="1"/>
  <c r="E97" i="11"/>
  <c r="G97" i="11"/>
  <c r="D98" i="11"/>
  <c r="J98" i="11" s="1"/>
  <c r="E98" i="11"/>
  <c r="G98" i="11"/>
  <c r="D99" i="11"/>
  <c r="H99" i="11" s="1"/>
  <c r="E99" i="11"/>
  <c r="G99" i="11"/>
  <c r="D100" i="11"/>
  <c r="H100" i="11" s="1"/>
  <c r="E100" i="11"/>
  <c r="G100" i="11"/>
  <c r="F91" i="11"/>
  <c r="F89" i="11"/>
  <c r="F88" i="11"/>
  <c r="J96" i="11" l="1"/>
  <c r="I100" i="11"/>
  <c r="I99" i="11"/>
  <c r="I97" i="11"/>
  <c r="J95" i="11"/>
  <c r="I94" i="11"/>
  <c r="I93" i="11"/>
  <c r="J100" i="11"/>
  <c r="I96" i="11"/>
  <c r="K96" i="11" s="1"/>
  <c r="I95" i="11"/>
  <c r="H93" i="11"/>
  <c r="J99" i="11"/>
  <c r="I98" i="11"/>
  <c r="H97" i="11"/>
  <c r="H98" i="11"/>
  <c r="H94" i="11"/>
  <c r="K94" i="11" s="1"/>
  <c r="K100" i="11" l="1"/>
  <c r="K95" i="11"/>
  <c r="K99" i="11"/>
  <c r="K93" i="11"/>
  <c r="K98" i="11"/>
  <c r="K97" i="11"/>
  <c r="F80" i="11" l="1"/>
  <c r="F79" i="11"/>
  <c r="F78" i="11"/>
  <c r="F77" i="11"/>
  <c r="F76" i="11"/>
  <c r="D77" i="11"/>
  <c r="H77" i="11" s="1"/>
  <c r="E77" i="11"/>
  <c r="G77" i="11"/>
  <c r="D78" i="11"/>
  <c r="J78" i="11" s="1"/>
  <c r="E78" i="11"/>
  <c r="G78" i="11"/>
  <c r="D79" i="11"/>
  <c r="H79" i="11" s="1"/>
  <c r="E79" i="11"/>
  <c r="G79" i="11"/>
  <c r="D80" i="11"/>
  <c r="E80" i="11"/>
  <c r="G80" i="11"/>
  <c r="D81" i="11"/>
  <c r="H81" i="11" s="1"/>
  <c r="E81" i="11"/>
  <c r="G81" i="11"/>
  <c r="F73" i="11"/>
  <c r="F72" i="11"/>
  <c r="F71" i="11"/>
  <c r="F70" i="11"/>
  <c r="F69" i="11"/>
  <c r="F66" i="11"/>
  <c r="F65" i="11"/>
  <c r="F64" i="11"/>
  <c r="F63" i="11"/>
  <c r="F62" i="11"/>
  <c r="F59" i="11"/>
  <c r="F58" i="11"/>
  <c r="F57" i="11"/>
  <c r="F56" i="11"/>
  <c r="F55" i="11"/>
  <c r="D61" i="11"/>
  <c r="J61" i="11" s="1"/>
  <c r="E61" i="11"/>
  <c r="G61" i="11"/>
  <c r="D62" i="11"/>
  <c r="J62" i="11" s="1"/>
  <c r="E62" i="11"/>
  <c r="G62" i="11"/>
  <c r="D63" i="11"/>
  <c r="H63" i="11" s="1"/>
  <c r="E63" i="11"/>
  <c r="G63" i="11"/>
  <c r="D64" i="11"/>
  <c r="J64" i="11" s="1"/>
  <c r="E64" i="11"/>
  <c r="G64" i="11"/>
  <c r="D65" i="11"/>
  <c r="J65" i="11" s="1"/>
  <c r="E65" i="11"/>
  <c r="G65" i="11"/>
  <c r="D66" i="11"/>
  <c r="E66" i="11"/>
  <c r="G66" i="11"/>
  <c r="D67" i="11"/>
  <c r="H67" i="11" s="1"/>
  <c r="E67" i="11"/>
  <c r="G67" i="11"/>
  <c r="D68" i="11"/>
  <c r="J68" i="11" s="1"/>
  <c r="E68" i="11"/>
  <c r="G68" i="11"/>
  <c r="D69" i="11"/>
  <c r="J69" i="11" s="1"/>
  <c r="E69" i="11"/>
  <c r="G69" i="11"/>
  <c r="D70" i="11"/>
  <c r="J70" i="11" s="1"/>
  <c r="E70" i="11"/>
  <c r="G70" i="11"/>
  <c r="D71" i="11"/>
  <c r="H71" i="11" s="1"/>
  <c r="E71" i="11"/>
  <c r="G71" i="11"/>
  <c r="D72" i="11"/>
  <c r="J72" i="11" s="1"/>
  <c r="E72" i="11"/>
  <c r="G72" i="11"/>
  <c r="D73" i="11"/>
  <c r="H73" i="11" s="1"/>
  <c r="E73" i="11"/>
  <c r="G73" i="11"/>
  <c r="D74" i="11"/>
  <c r="J74" i="11" s="1"/>
  <c r="E74" i="11"/>
  <c r="G74" i="11"/>
  <c r="D75" i="11"/>
  <c r="H75" i="11" s="1"/>
  <c r="E75" i="11"/>
  <c r="G75" i="11"/>
  <c r="D76" i="11"/>
  <c r="H76" i="11" s="1"/>
  <c r="E76" i="11"/>
  <c r="G76" i="11"/>
  <c r="D53" i="11"/>
  <c r="J53" i="11" s="1"/>
  <c r="E53" i="11"/>
  <c r="G53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1" i="11"/>
  <c r="F50" i="11"/>
  <c r="F49" i="11"/>
  <c r="F48" i="11"/>
  <c r="F47" i="11"/>
  <c r="F46" i="11"/>
  <c r="F45" i="11"/>
  <c r="F44" i="11"/>
  <c r="F43" i="11"/>
  <c r="F42" i="11"/>
  <c r="I77" i="11" l="1"/>
  <c r="J81" i="11"/>
  <c r="J77" i="11"/>
  <c r="J76" i="11"/>
  <c r="I68" i="11"/>
  <c r="J80" i="11"/>
  <c r="I81" i="11"/>
  <c r="I80" i="11"/>
  <c r="J79" i="11"/>
  <c r="H80" i="11"/>
  <c r="I76" i="11"/>
  <c r="J75" i="11"/>
  <c r="I79" i="11"/>
  <c r="I78" i="11"/>
  <c r="H78" i="11"/>
  <c r="H68" i="11"/>
  <c r="J67" i="11"/>
  <c r="I75" i="11"/>
  <c r="I74" i="11"/>
  <c r="I73" i="11"/>
  <c r="I61" i="11"/>
  <c r="I72" i="11"/>
  <c r="J71" i="11"/>
  <c r="J63" i="11"/>
  <c r="H61" i="11"/>
  <c r="J73" i="11"/>
  <c r="H72" i="11"/>
  <c r="J66" i="11"/>
  <c r="I71" i="11"/>
  <c r="I70" i="11"/>
  <c r="I69" i="11"/>
  <c r="I65" i="11"/>
  <c r="I64" i="11"/>
  <c r="H69" i="11"/>
  <c r="I67" i="11"/>
  <c r="I66" i="11"/>
  <c r="H64" i="11"/>
  <c r="K64" i="11" s="1"/>
  <c r="I53" i="11"/>
  <c r="H65" i="11"/>
  <c r="I63" i="11"/>
  <c r="K63" i="11" s="1"/>
  <c r="I62" i="11"/>
  <c r="H53" i="11"/>
  <c r="K53" i="11" s="1"/>
  <c r="H74" i="11"/>
  <c r="K74" i="11" s="1"/>
  <c r="H70" i="11"/>
  <c r="H66" i="11"/>
  <c r="H62" i="11"/>
  <c r="K81" i="11" l="1"/>
  <c r="K77" i="11"/>
  <c r="K76" i="11"/>
  <c r="K79" i="11"/>
  <c r="K70" i="11"/>
  <c r="K68" i="11"/>
  <c r="K62" i="11"/>
  <c r="K75" i="11"/>
  <c r="K80" i="11"/>
  <c r="K73" i="11"/>
  <c r="K65" i="11"/>
  <c r="K67" i="11"/>
  <c r="K71" i="11"/>
  <c r="K78" i="11"/>
  <c r="K61" i="11"/>
  <c r="K72" i="11"/>
  <c r="K69" i="11"/>
  <c r="K66" i="11"/>
  <c r="D15" i="11" l="1"/>
  <c r="H15" i="11" s="1"/>
  <c r="E15" i="11"/>
  <c r="G15" i="11"/>
  <c r="D16" i="11"/>
  <c r="H16" i="11" s="1"/>
  <c r="E16" i="11"/>
  <c r="G16" i="11"/>
  <c r="D17" i="11"/>
  <c r="J17" i="11" s="1"/>
  <c r="E17" i="11"/>
  <c r="G17" i="11"/>
  <c r="D18" i="11"/>
  <c r="H18" i="11" s="1"/>
  <c r="E18" i="11"/>
  <c r="G18" i="11"/>
  <c r="D19" i="11"/>
  <c r="H19" i="11" s="1"/>
  <c r="E19" i="11"/>
  <c r="G19" i="11"/>
  <c r="D20" i="11"/>
  <c r="J20" i="11" s="1"/>
  <c r="E20" i="11"/>
  <c r="G20" i="11"/>
  <c r="D21" i="11"/>
  <c r="I21" i="11" s="1"/>
  <c r="E21" i="11"/>
  <c r="G21" i="11"/>
  <c r="D22" i="11"/>
  <c r="H22" i="11" s="1"/>
  <c r="E22" i="11"/>
  <c r="G22" i="11"/>
  <c r="D23" i="11"/>
  <c r="I23" i="11" s="1"/>
  <c r="E23" i="11"/>
  <c r="G23" i="11"/>
  <c r="D24" i="11"/>
  <c r="J24" i="11" s="1"/>
  <c r="E24" i="11"/>
  <c r="G24" i="11"/>
  <c r="D25" i="11"/>
  <c r="E25" i="11"/>
  <c r="G25" i="11"/>
  <c r="D26" i="11"/>
  <c r="E26" i="11"/>
  <c r="G26" i="11"/>
  <c r="D27" i="11"/>
  <c r="H27" i="11" s="1"/>
  <c r="E27" i="11"/>
  <c r="G27" i="11"/>
  <c r="D28" i="11"/>
  <c r="J28" i="11" s="1"/>
  <c r="E28" i="11"/>
  <c r="G28" i="11"/>
  <c r="D29" i="11"/>
  <c r="H29" i="11" s="1"/>
  <c r="E29" i="11"/>
  <c r="G29" i="11"/>
  <c r="D30" i="11"/>
  <c r="H30" i="11" s="1"/>
  <c r="E30" i="11"/>
  <c r="G30" i="11"/>
  <c r="D31" i="11"/>
  <c r="H31" i="11" s="1"/>
  <c r="E31" i="11"/>
  <c r="G31" i="11"/>
  <c r="D32" i="11"/>
  <c r="J32" i="11" s="1"/>
  <c r="E32" i="11"/>
  <c r="G32" i="11"/>
  <c r="D33" i="11"/>
  <c r="J33" i="11" s="1"/>
  <c r="E33" i="11"/>
  <c r="G33" i="11"/>
  <c r="D34" i="11"/>
  <c r="H34" i="11" s="1"/>
  <c r="E34" i="11"/>
  <c r="G34" i="11"/>
  <c r="D35" i="11"/>
  <c r="H35" i="11" s="1"/>
  <c r="E35" i="11"/>
  <c r="G35" i="11"/>
  <c r="D36" i="11"/>
  <c r="J36" i="11" s="1"/>
  <c r="E36" i="11"/>
  <c r="G36" i="11"/>
  <c r="D37" i="11"/>
  <c r="H37" i="11" s="1"/>
  <c r="E37" i="11"/>
  <c r="G37" i="11"/>
  <c r="D38" i="11"/>
  <c r="H38" i="11" s="1"/>
  <c r="E38" i="11"/>
  <c r="G38" i="11"/>
  <c r="D39" i="11"/>
  <c r="E39" i="11"/>
  <c r="G39" i="11"/>
  <c r="D40" i="11"/>
  <c r="J40" i="11" s="1"/>
  <c r="E40" i="11"/>
  <c r="G40" i="11"/>
  <c r="D41" i="11"/>
  <c r="H41" i="11" s="1"/>
  <c r="E41" i="11"/>
  <c r="G41" i="11"/>
  <c r="D42" i="11"/>
  <c r="H42" i="11" s="1"/>
  <c r="E42" i="11"/>
  <c r="G42" i="11"/>
  <c r="D43" i="11"/>
  <c r="J43" i="11" s="1"/>
  <c r="E43" i="11"/>
  <c r="G43" i="11"/>
  <c r="D44" i="11"/>
  <c r="J44" i="11" s="1"/>
  <c r="E44" i="11"/>
  <c r="G44" i="11"/>
  <c r="D45" i="11"/>
  <c r="H45" i="11" s="1"/>
  <c r="E45" i="11"/>
  <c r="G45" i="11"/>
  <c r="D46" i="11"/>
  <c r="H46" i="11" s="1"/>
  <c r="E46" i="11"/>
  <c r="G46" i="11"/>
  <c r="D47" i="11"/>
  <c r="H47" i="11" s="1"/>
  <c r="E47" i="11"/>
  <c r="G47" i="11"/>
  <c r="D48" i="11"/>
  <c r="J48" i="11" s="1"/>
  <c r="E48" i="11"/>
  <c r="G48" i="11"/>
  <c r="D49" i="11"/>
  <c r="H49" i="11" s="1"/>
  <c r="E49" i="11"/>
  <c r="G49" i="11"/>
  <c r="D50" i="11"/>
  <c r="H50" i="11" s="1"/>
  <c r="E50" i="11"/>
  <c r="G50" i="11"/>
  <c r="D51" i="11"/>
  <c r="H51" i="11" s="1"/>
  <c r="E51" i="11"/>
  <c r="G51" i="11"/>
  <c r="D52" i="11"/>
  <c r="J52" i="11" s="1"/>
  <c r="E52" i="11"/>
  <c r="G52" i="11"/>
  <c r="J21" i="11" l="1"/>
  <c r="H25" i="11"/>
  <c r="J29" i="11"/>
  <c r="I17" i="11"/>
  <c r="J47" i="11"/>
  <c r="J46" i="11"/>
  <c r="J39" i="11"/>
  <c r="J51" i="11"/>
  <c r="I19" i="11"/>
  <c r="H17" i="11"/>
  <c r="J16" i="11"/>
  <c r="J15" i="11"/>
  <c r="J25" i="11"/>
  <c r="I29" i="11"/>
  <c r="J42" i="11"/>
  <c r="J38" i="11"/>
  <c r="I33" i="11"/>
  <c r="I51" i="11"/>
  <c r="J50" i="11"/>
  <c r="I27" i="11"/>
  <c r="I25" i="11"/>
  <c r="I50" i="11"/>
  <c r="J49" i="11"/>
  <c r="I47" i="11"/>
  <c r="I43" i="11"/>
  <c r="I39" i="11"/>
  <c r="J35" i="11"/>
  <c r="I46" i="11"/>
  <c r="J45" i="11"/>
  <c r="I42" i="11"/>
  <c r="J41" i="11"/>
  <c r="I38" i="11"/>
  <c r="J37" i="11"/>
  <c r="H26" i="11"/>
  <c r="H23" i="11"/>
  <c r="H21" i="11"/>
  <c r="I15" i="11"/>
  <c r="I31" i="11"/>
  <c r="I52" i="11"/>
  <c r="I49" i="11"/>
  <c r="I48" i="11"/>
  <c r="H43" i="11"/>
  <c r="H39" i="11"/>
  <c r="H33" i="11"/>
  <c r="I32" i="11"/>
  <c r="J31" i="11"/>
  <c r="I28" i="11"/>
  <c r="J27" i="11"/>
  <c r="I24" i="11"/>
  <c r="J23" i="11"/>
  <c r="I20" i="11"/>
  <c r="J19" i="11"/>
  <c r="I45" i="11"/>
  <c r="I44" i="11"/>
  <c r="I41" i="11"/>
  <c r="I40" i="11"/>
  <c r="I37" i="11"/>
  <c r="I35" i="11"/>
  <c r="I34" i="11"/>
  <c r="I30" i="11"/>
  <c r="I26" i="11"/>
  <c r="I22" i="11"/>
  <c r="I18" i="11"/>
  <c r="I16" i="11"/>
  <c r="J34" i="11"/>
  <c r="H32" i="11"/>
  <c r="J30" i="11"/>
  <c r="H28" i="11"/>
  <c r="J26" i="11"/>
  <c r="H24" i="11"/>
  <c r="J22" i="11"/>
  <c r="H20" i="11"/>
  <c r="J18" i="11"/>
  <c r="I36" i="11"/>
  <c r="H52" i="11"/>
  <c r="H48" i="11"/>
  <c r="H44" i="11"/>
  <c r="H40" i="11"/>
  <c r="H36" i="11"/>
  <c r="F83" i="11"/>
  <c r="D91" i="11"/>
  <c r="E91" i="11"/>
  <c r="G91" i="11"/>
  <c r="D92" i="11"/>
  <c r="H92" i="11" s="1"/>
  <c r="E92" i="11"/>
  <c r="G92" i="11"/>
  <c r="D54" i="11"/>
  <c r="H54" i="11" s="1"/>
  <c r="E54" i="11"/>
  <c r="G54" i="11"/>
  <c r="D55" i="11"/>
  <c r="J55" i="11" s="1"/>
  <c r="E55" i="11"/>
  <c r="G55" i="11"/>
  <c r="D56" i="11"/>
  <c r="J56" i="11" s="1"/>
  <c r="E56" i="11"/>
  <c r="G56" i="11"/>
  <c r="D57" i="11"/>
  <c r="H57" i="11" s="1"/>
  <c r="E57" i="11"/>
  <c r="G57" i="11"/>
  <c r="D58" i="11"/>
  <c r="H58" i="11" s="1"/>
  <c r="E58" i="11"/>
  <c r="G58" i="11"/>
  <c r="D59" i="11"/>
  <c r="E59" i="11"/>
  <c r="G59" i="11"/>
  <c r="D60" i="11"/>
  <c r="J60" i="11" s="1"/>
  <c r="E60" i="11"/>
  <c r="G60" i="11"/>
  <c r="D82" i="11"/>
  <c r="E82" i="11"/>
  <c r="G82" i="11"/>
  <c r="D83" i="11"/>
  <c r="H83" i="11" s="1"/>
  <c r="E83" i="11"/>
  <c r="G83" i="11"/>
  <c r="K46" i="11" l="1"/>
  <c r="K16" i="11"/>
  <c r="K21" i="11"/>
  <c r="K35" i="11"/>
  <c r="K42" i="11"/>
  <c r="K50" i="11"/>
  <c r="K29" i="11"/>
  <c r="K26" i="11"/>
  <c r="K51" i="11"/>
  <c r="K18" i="11"/>
  <c r="K15" i="11"/>
  <c r="K17" i="11"/>
  <c r="K40" i="11"/>
  <c r="K23" i="11"/>
  <c r="K25" i="11"/>
  <c r="K48" i="11"/>
  <c r="K20" i="11"/>
  <c r="K27" i="11"/>
  <c r="K34" i="11"/>
  <c r="K37" i="11"/>
  <c r="K45" i="11"/>
  <c r="K43" i="11"/>
  <c r="K47" i="11"/>
  <c r="K19" i="11"/>
  <c r="K33" i="11"/>
  <c r="K44" i="11"/>
  <c r="K52" i="11"/>
  <c r="K30" i="11"/>
  <c r="K39" i="11"/>
  <c r="K38" i="11"/>
  <c r="K49" i="11"/>
  <c r="K24" i="11"/>
  <c r="K32" i="11"/>
  <c r="K41" i="11"/>
  <c r="K31" i="11"/>
  <c r="K28" i="11"/>
  <c r="K36" i="11"/>
  <c r="K22" i="11"/>
  <c r="H82" i="11"/>
  <c r="J59" i="11"/>
  <c r="J91" i="11"/>
  <c r="I92" i="11"/>
  <c r="I91" i="11"/>
  <c r="H91" i="11"/>
  <c r="J92" i="11"/>
  <c r="I59" i="11"/>
  <c r="I82" i="11"/>
  <c r="I57" i="11"/>
  <c r="I55" i="11"/>
  <c r="I83" i="11"/>
  <c r="J82" i="11"/>
  <c r="H59" i="11"/>
  <c r="I58" i="11"/>
  <c r="J57" i="11"/>
  <c r="H55" i="11"/>
  <c r="I54" i="11"/>
  <c r="I60" i="11"/>
  <c r="I56" i="11"/>
  <c r="J83" i="11"/>
  <c r="H60" i="11"/>
  <c r="J58" i="11"/>
  <c r="H56" i="11"/>
  <c r="J54" i="11"/>
  <c r="K54" i="11" l="1"/>
  <c r="K92" i="11"/>
  <c r="K91" i="11"/>
  <c r="K59" i="11"/>
  <c r="K55" i="11"/>
  <c r="K60" i="11"/>
  <c r="K82" i="11"/>
  <c r="K58" i="11"/>
  <c r="K57" i="11"/>
  <c r="K83" i="11"/>
  <c r="K56" i="11"/>
  <c r="D89" i="11" l="1"/>
  <c r="E89" i="11"/>
  <c r="G89" i="11"/>
  <c r="D90" i="11"/>
  <c r="E90" i="11"/>
  <c r="G90" i="11"/>
  <c r="H90" i="11" l="1"/>
  <c r="H89" i="11"/>
  <c r="I89" i="11"/>
  <c r="J90" i="11"/>
  <c r="J89" i="11"/>
  <c r="I90" i="11"/>
  <c r="K90" i="11" l="1"/>
  <c r="K89" i="11"/>
  <c r="D84" i="11" l="1"/>
  <c r="J84" i="11" s="1"/>
  <c r="E84" i="11"/>
  <c r="G84" i="11"/>
  <c r="D85" i="11"/>
  <c r="H85" i="11" s="1"/>
  <c r="E85" i="11"/>
  <c r="G85" i="11"/>
  <c r="D86" i="11"/>
  <c r="J86" i="11" s="1"/>
  <c r="E86" i="11"/>
  <c r="G86" i="11"/>
  <c r="D87" i="11"/>
  <c r="J87" i="11" s="1"/>
  <c r="E87" i="11"/>
  <c r="G87" i="11"/>
  <c r="D88" i="11"/>
  <c r="E88" i="11"/>
  <c r="G88" i="11"/>
  <c r="I85" i="11" l="1"/>
  <c r="J88" i="11"/>
  <c r="I87" i="11"/>
  <c r="I86" i="11"/>
  <c r="I88" i="11"/>
  <c r="H87" i="11"/>
  <c r="H88" i="11"/>
  <c r="H86" i="11"/>
  <c r="J85" i="11"/>
  <c r="I84" i="11"/>
  <c r="H84" i="11"/>
  <c r="K85" i="11" l="1"/>
  <c r="K86" i="11"/>
  <c r="K87" i="11"/>
  <c r="K88" i="11"/>
  <c r="K84" i="11"/>
  <c r="G6" i="11" l="1"/>
  <c r="D102" i="11"/>
  <c r="J102" i="11" s="1"/>
  <c r="E102" i="11"/>
  <c r="G102" i="11"/>
  <c r="D20" i="60"/>
  <c r="H102" i="11" l="1"/>
  <c r="I102" i="11"/>
  <c r="D14" i="11"/>
  <c r="J14" i="11" s="1"/>
  <c r="E14" i="11"/>
  <c r="G14" i="11"/>
  <c r="K19" i="60"/>
  <c r="D19" i="60"/>
  <c r="K102" i="11" l="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103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03" i="11"/>
  <c r="D104" i="11"/>
  <c r="H104" i="11" s="1"/>
  <c r="E104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04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11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03" i="11"/>
  <c r="J103" i="11" s="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04" i="11"/>
  <c r="I104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E299" i="29"/>
  <c r="F303" i="29"/>
  <c r="E239" i="29"/>
  <c r="E268" i="29"/>
  <c r="E277" i="29"/>
  <c r="E273" i="29"/>
  <c r="E236" i="29"/>
  <c r="F308" i="29"/>
  <c r="F292" i="29"/>
  <c r="E227" i="29"/>
  <c r="E265" i="29"/>
  <c r="F279" i="29"/>
  <c r="F246" i="29"/>
  <c r="F253" i="29"/>
  <c r="E264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104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06" i="11"/>
  <c r="H107" i="11" s="1"/>
  <c r="I106" i="11"/>
  <c r="I107" i="11" s="1"/>
  <c r="F337" i="29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89" i="29" l="1"/>
  <c r="F316" i="29"/>
  <c r="F286" i="29"/>
  <c r="F293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08" i="11"/>
  <c r="I108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103" i="11" l="1"/>
  <c r="K106" i="11" s="1"/>
  <c r="K107" i="11" s="1"/>
  <c r="K108" i="11" s="1"/>
  <c r="B109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06" i="11"/>
  <c r="J107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08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79" i="41" l="1"/>
  <c r="F776" i="41"/>
  <c r="F783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<sst xmlns="http://schemas.openxmlformats.org/spreadsheetml/2006/main" count="4771" uniqueCount="1632">
  <si>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</si>
  <si>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</si>
  <si>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</si>
  <si>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</si>
  <si>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</si>
  <si>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</si>
  <si>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</si>
  <si>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</si>
  <si>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</si>
  <si>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</si>
  <si>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</si>
  <si>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</si>
  <si>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</si>
  <si>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</si>
  <si>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</si>
  <si>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</si>
  <si>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</si>
  <si>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</si>
  <si>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</si>
  <si>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</si>
  <si>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</si>
  <si>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</si>
  <si>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</si>
  <si>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</si>
  <si>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</si>
  <si>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</si>
  <si>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</si>
  <si>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</si>
  <si>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</si>
  <si>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</si>
  <si>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</si>
  <si>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</si>
  <si>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</si>
  <si>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</si>
  <si>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</si>
  <si>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</si>
  <si>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</si>
  <si>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</si>
  <si>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</si>
  <si>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</si>
  <si>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</si>
  <si>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</si>
  <si>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</si>
  <si>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</si>
  <si>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</si>
  <si>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</si>
  <si>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</si>
  <si>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</si>
  <si>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</si>
  <si>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</si>
  <si>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</si>
  <si>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</si>
  <si>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</si>
  <si>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</si>
  <si>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</si>
  <si>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</si>
  <si>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</si>
  <si>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</si>
  <si>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</si>
  <si>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</si>
  <si>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</si>
  <si>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</si>
  <si>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</si>
  <si>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</si>
  <si>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</si>
  <si>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</si>
  <si>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</si>
  <si>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</si>
  <si>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</si>
  <si>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</si>
  <si>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</si>
  <si>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</si>
  <si>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</si>
  <si>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</si>
  <si>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</si>
  <si>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</si>
  <si>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</si>
  <si>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</si>
  <si>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</si>
  <si>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</si>
  <si>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</si>
  <si>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</si>
  <si>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</si>
  <si>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</si>
  <si>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</si>
  <si>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</si>
  <si>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</si>
  <si>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</si>
  <si>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</si>
  <si>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</si>
  <si>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</si>
  <si>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</si>
  <si>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</si>
  <si>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</si>
  <si>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</si>
  <si>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</si>
  <si>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</si>
  <si>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</si>
  <si>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</si>
  <si>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</si>
  <si>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</si>
  <si>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</si>
  <si>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</si>
  <si>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</si>
  <si>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</si>
  <si>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</si>
  <si>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</si>
  <si>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</si>
  <si>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</si>
  <si>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</si>
  <si>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</si>
  <si>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</si>
  <si>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</si>
  <si>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</si>
  <si>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</si>
  <si>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</si>
  <si>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</si>
  <si>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</si>
  <si>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</si>
  <si>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</si>
  <si>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</si>
  <si>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</si>
  <si>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</si>
  <si>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</si>
  <si>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</si>
  <si>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</si>
  <si>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</si>
  <si>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</si>
  <si>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</si>
  <si>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</si>
  <si>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</si>
  <si>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</si>
  <si>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</si>
  <si>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</si>
  <si>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</si>
  <si>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</si>
  <si>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</si>
  <si>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</si>
  <si>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</si>
  <si>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</si>
  <si>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</si>
  <si>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</si>
  <si>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</si>
  <si>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</si>
  <si>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</si>
  <si>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</si>
  <si>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</si>
  <si>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</si>
  <si>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</si>
  <si>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</si>
  <si>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</si>
  <si>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</si>
  <si>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</si>
  <si>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</si>
  <si>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</si>
  <si>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</si>
  <si>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</si>
  <si>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</si>
  <si>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</si>
  <si>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</si>
  <si>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</si>
  <si>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</si>
  <si>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</si>
  <si>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</si>
  <si>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</si>
  <si>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</si>
  <si>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</si>
  <si>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</si>
  <si>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</si>
  <si>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</si>
  <si>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</si>
  <si>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</si>
  <si>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</si>
  <si>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</si>
  <si>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</si>
  <si>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</si>
  <si>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</si>
  <si>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</si>
  <si>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</si>
  <si>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</si>
  <si>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</si>
  <si>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</si>
  <si>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</si>
  <si>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</si>
  <si>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</si>
  <si>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</si>
  <si>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</si>
  <si>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</si>
  <si>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</si>
  <si>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</si>
  <si>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</si>
  <si>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</si>
  <si>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</si>
  <si>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</si>
  <si>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</si>
  <si>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</si>
  <si>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</si>
  <si>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</si>
  <si>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</si>
  <si>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</si>
  <si>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</si>
  <si>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</si>
  <si>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</si>
  <si>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</si>
  <si>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</si>
  <si>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</si>
  <si>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</si>
  <si>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</si>
  <si>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</si>
  <si>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</si>
  <si>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</si>
  <si>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</si>
  <si>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</si>
  <si>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</si>
  <si>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</si>
  <si>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</si>
  <si>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</si>
  <si>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</si>
  <si>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</si>
  <si>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</si>
  <si>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</si>
  <si>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</si>
  <si>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</si>
  <si>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</si>
  <si>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</si>
  <si>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</si>
  <si>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</si>
  <si>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</si>
  <si>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</si>
  <si>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</si>
  <si>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</si>
  <si>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</si>
  <si>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</si>
  <si>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</si>
  <si>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</si>
  <si>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</si>
  <si>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</si>
  <si>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</si>
  <si>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</si>
  <si>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</si>
  <si>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</si>
  <si>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</si>
  <si>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</si>
  <si>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</si>
  <si>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</si>
  <si>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</si>
  <si>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</si>
  <si>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</si>
  <si>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</si>
  <si>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</si>
  <si>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</si>
  <si>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</si>
  <si>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</si>
  <si>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</si>
  <si>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</si>
  <si>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</si>
  <si>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</si>
  <si>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</si>
  <si>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</si>
  <si>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</si>
  <si>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</si>
  <si>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</si>
  <si>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</si>
  <si>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</si>
  <si>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</si>
  <si>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</si>
  <si>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</si>
  <si>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</si>
  <si>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</si>
  <si>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</si>
  <si>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</si>
  <si>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</si>
  <si>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</si>
  <si>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</si>
  <si>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</si>
  <si>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</si>
  <si>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</si>
  <si>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</si>
  <si>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</si>
  <si>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</si>
  <si>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</si>
  <si>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</si>
  <si>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</si>
  <si>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</si>
  <si>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</si>
  <si>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</si>
  <si>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</si>
  <si>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</si>
  <si>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</si>
  <si>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</si>
  <si>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</si>
  <si>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</si>
  <si>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</si>
  <si>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</si>
  <si>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</si>
  <si>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</si>
  <si>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</si>
  <si>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</si>
  <si>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</si>
  <si>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</si>
  <si>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</si>
  <si>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</si>
  <si>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</si>
  <si>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</si>
  <si>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</si>
  <si>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</si>
  <si>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</si>
  <si>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</si>
  <si>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</si>
  <si>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</si>
  <si>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</si>
  <si>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</si>
  <si>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</si>
  <si>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</si>
  <si>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</si>
  <si>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</si>
  <si>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</si>
  <si>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</si>
  <si>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</si>
  <si>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</si>
  <si>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</si>
  <si>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</si>
  <si>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</si>
  <si>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</si>
  <si>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</si>
  <si>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</si>
  <si>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</si>
  <si>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</si>
  <si>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</si>
  <si>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</si>
  <si>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</si>
  <si>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</si>
  <si>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</si>
  <si>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</si>
  <si>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</si>
  <si>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</si>
  <si>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</si>
  <si>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</si>
  <si>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</si>
  <si>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</si>
  <si>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</si>
  <si>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</si>
  <si>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</si>
  <si>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</si>
  <si>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</si>
  <si>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</si>
  <si>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</si>
  <si>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</si>
  <si>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</si>
  <si>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</si>
  <si>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</si>
  <si>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</si>
  <si>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</si>
  <si>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</si>
  <si>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</si>
  <si>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</si>
  <si>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</si>
  <si>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</si>
  <si>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</si>
  <si>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</si>
  <si>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</si>
  <si>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</si>
  <si>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</si>
  <si>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</si>
  <si>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</si>
  <si>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</si>
  <si>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</si>
  <si>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</si>
  <si>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</si>
  <si>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</si>
  <si>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</si>
  <si>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</si>
  <si>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</si>
  <si>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</si>
  <si>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</si>
  <si>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</si>
  <si>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</si>
  <si>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</si>
  <si>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</si>
  <si>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</si>
  <si>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</si>
  <si>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</si>
  <si>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</si>
  <si>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</si>
  <si>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</si>
  <si>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</si>
  <si>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</si>
  <si>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</si>
  <si>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</si>
  <si>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</si>
  <si>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</si>
  <si>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</si>
  <si>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</si>
  <si>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</si>
  <si>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</si>
  <si>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</si>
  <si>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</si>
  <si>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</si>
  <si>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</si>
  <si>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</si>
  <si>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</si>
  <si>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</si>
  <si>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</si>
  <si>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</si>
  <si>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</si>
  <si>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</si>
  <si>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</si>
  <si>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</si>
  <si>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</si>
  <si>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</si>
  <si>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</si>
  <si>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</si>
  <si>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</si>
  <si>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</si>
  <si>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</si>
  <si>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</si>
  <si>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</si>
  <si>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</si>
  <si>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</si>
  <si>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</si>
  <si>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</si>
  <si>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</si>
  <si>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</si>
  <si>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</si>
  <si>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</si>
  <si>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</si>
  <si>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</si>
  <si>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</si>
  <si>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</si>
  <si>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</si>
  <si>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</si>
  <si>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</si>
  <si>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</si>
  <si>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</si>
  <si>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</si>
  <si>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</si>
  <si>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</si>
  <si>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</si>
  <si>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</si>
  <si>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</si>
  <si>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</si>
  <si>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</si>
  <si>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</si>
  <si>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</si>
  <si>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</si>
  <si>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</si>
  <si>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</si>
  <si>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</si>
  <si>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</si>
  <si>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</si>
  <si>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</si>
  <si>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</si>
  <si>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</si>
  <si>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</si>
  <si>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</si>
  <si>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</si>
  <si>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</si>
  <si>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</si>
  <si>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</si>
  <si>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</si>
  <si>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</si>
  <si>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</si>
  <si>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</si>
  <si>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</si>
  <si>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</si>
  <si>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</si>
  <si>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</si>
  <si>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</si>
  <si>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</si>
  <si>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</si>
  <si>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</si>
  <si>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</si>
  <si>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</si>
  <si>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</si>
  <si>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</si>
  <si>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</si>
  <si>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</si>
  <si>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</si>
  <si>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</si>
  <si>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</si>
  <si>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</si>
  <si>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</si>
  <si>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</si>
  <si>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</si>
  <si>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</si>
  <si>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</si>
  <si>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</si>
  <si>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</si>
  <si>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</si>
  <si>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</si>
  <si>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</si>
  <si>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</si>
  <si>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</si>
  <si>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</si>
  <si>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</si>
  <si>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</si>
  <si>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</si>
  <si>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</si>
  <si>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</si>
  <si>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</si>
  <si>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</si>
  <si>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</si>
  <si>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</si>
  <si>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</si>
  <si>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</si>
  <si>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</si>
  <si>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</si>
  <si>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</si>
  <si>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</si>
  <si>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</si>
  <si>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</si>
  <si>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</si>
  <si>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</si>
  <si>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</si>
  <si>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</si>
  <si>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</si>
  <si>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</si>
  <si>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</si>
  <si>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</si>
  <si>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</si>
  <si>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</si>
  <si>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</si>
  <si>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</si>
  <si>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</si>
  <si>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</si>
  <si>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</si>
  <si>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</si>
  <si>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</si>
  <si>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</si>
  <si>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</si>
  <si>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</si>
  <si>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</si>
  <si>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</si>
  <si>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</si>
  <si>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</si>
  <si>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</si>
  <si>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</si>
  <si>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</si>
  <si>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</si>
  <si>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</si>
  <si>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</si>
  <si>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</si>
  <si>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</si>
  <si>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</si>
  <si>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</si>
  <si>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</si>
  <si>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</si>
  <si>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</si>
  <si>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</si>
  <si>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</si>
  <si>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</si>
  <si>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</si>
  <si>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</si>
  <si>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</si>
  <si>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</si>
  <si>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</si>
  <si>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</si>
  <si>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</si>
  <si>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</si>
  <si>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</si>
  <si>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</si>
  <si>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</si>
  <si>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</si>
  <si>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</si>
  <si>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</si>
  <si>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</si>
  <si>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</si>
  <si>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</si>
  <si>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</si>
  <si>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</si>
  <si>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</si>
  <si>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</si>
  <si>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</si>
  <si>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</si>
  <si>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</si>
  <si>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</si>
  <si>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</si>
  <si>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</si>
  <si>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</si>
  <si>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</si>
  <si>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</si>
  <si>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</si>
  <si>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</si>
  <si>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</si>
  <si>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</si>
  <si>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</si>
  <si>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</si>
  <si>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</si>
  <si>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</si>
  <si>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</si>
  <si>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</si>
  <si>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</si>
  <si>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</si>
  <si>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</si>
  <si>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</si>
  <si>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</si>
  <si>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</si>
  <si>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</si>
  <si>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</si>
  <si>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</si>
  <si>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</si>
  <si>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</si>
  <si>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</si>
  <si>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</si>
  <si>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</si>
  <si>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</si>
  <si>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</si>
  <si>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</si>
  <si>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</si>
  <si>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</si>
  <si>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</si>
  <si>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</si>
  <si>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</si>
  <si>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</si>
  <si>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</si>
  <si>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</si>
  <si>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</si>
  <si>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</si>
  <si>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</si>
  <si>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</si>
  <si>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</si>
  <si>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</si>
  <si>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</si>
  <si>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</si>
  <si>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</si>
  <si>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</si>
  <si>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</si>
  <si>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</si>
  <si>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</si>
  <si>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</si>
  <si>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</si>
  <si>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</si>
  <si>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</si>
  <si>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</si>
  <si>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</si>
  <si>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</si>
  <si>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</si>
  <si>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</si>
  <si>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</si>
  <si>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</si>
  <si>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</si>
  <si>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</si>
  <si>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</si>
  <si>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</si>
  <si>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</si>
  <si>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</si>
  <si>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</si>
  <si>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</si>
  <si>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</si>
  <si>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</si>
  <si>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</si>
  <si>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</si>
  <si>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</si>
  <si>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</si>
  <si>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</si>
  <si>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</si>
  <si>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</si>
  <si>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</si>
  <si>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</si>
  <si>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</si>
  <si>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</si>
  <si>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</si>
  <si>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</si>
  <si>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</si>
  <si>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</si>
  <si>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</si>
  <si>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</si>
  <si>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</si>
  <si>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</si>
  <si>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</si>
  <si>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</si>
  <si>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</si>
  <si>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</si>
  <si>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</si>
  <si>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</si>
  <si>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</si>
  <si>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</si>
  <si>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</si>
  <si>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</si>
  <si>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</si>
  <si>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</si>
  <si>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</si>
  <si>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</si>
  <si>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</si>
  <si>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</si>
  <si>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</si>
  <si>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</si>
  <si>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</si>
  <si>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</si>
  <si>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</si>
  <si>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</si>
  <si>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</si>
  <si>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</si>
  <si>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</si>
  <si>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</si>
  <si>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</si>
  <si>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</si>
  <si>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</si>
  <si>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</si>
  <si>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</si>
  <si>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</si>
  <si>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</si>
  <si>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</si>
  <si>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</si>
  <si>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</si>
  <si>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</si>
  <si>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</si>
  <si>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</si>
  <si>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</si>
  <si>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</si>
  <si>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</si>
  <si>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</si>
  <si>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</si>
  <si>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</si>
  <si>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</si>
  <si>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</si>
  <si>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</si>
  <si>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</si>
  <si>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</si>
  <si>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</si>
  <si>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</si>
  <si>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</si>
  <si>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</si>
  <si>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</si>
  <si>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</si>
  <si>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</si>
  <si>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</si>
  <si>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</si>
  <si>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</si>
  <si>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</si>
  <si>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</si>
  <si>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</si>
  <si>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</si>
  <si>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</si>
  <si>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</si>
  <si>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</si>
  <si>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</si>
  <si>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</si>
  <si>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</si>
  <si>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</si>
  <si>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</si>
  <si>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</si>
  <si>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</si>
  <si>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</si>
  <si>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</si>
  <si>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</si>
  <si>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</si>
  <si>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</si>
  <si>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</si>
  <si>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</si>
  <si>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</si>
  <si>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</si>
  <si>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</si>
  <si>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</si>
  <si>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</si>
  <si>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</si>
  <si>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</si>
  <si>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</si>
  <si>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</si>
  <si>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</si>
  <si>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</si>
  <si>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</si>
  <si>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</si>
  <si>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</si>
  <si>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</si>
  <si>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</si>
  <si>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</si>
  <si>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</si>
  <si>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</si>
  <si>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</si>
  <si>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</si>
  <si>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</si>
  <si>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</si>
  <si>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</si>
  <si>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</si>
  <si>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</si>
  <si>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</si>
  <si>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</si>
  <si>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</si>
  <si>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</si>
  <si>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</si>
  <si>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</si>
  <si>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</si>
  <si>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</si>
  <si>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</si>
  <si>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</si>
  <si>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</si>
  <si>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</si>
  <si>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</si>
  <si>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</si>
  <si>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</si>
  <si>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</si>
  <si>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</si>
  <si>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</si>
  <si>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</si>
  <si>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</si>
  <si>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</si>
  <si>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</si>
  <si>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</si>
  <si>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</si>
  <si>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</si>
  <si>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</si>
  <si>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</si>
  <si>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</si>
  <si>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</si>
  <si>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</si>
  <si>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</si>
  <si>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</si>
  <si>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</si>
  <si>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</si>
  <si>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</si>
  <si>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</si>
  <si>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</si>
  <si>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</si>
  <si>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</si>
  <si>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</si>
  <si>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</si>
  <si>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</si>
  <si>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</si>
  <si>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</si>
  <si>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</si>
  <si>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</si>
  <si>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</si>
  <si>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</si>
  <si>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</si>
  <si>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</si>
  <si>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</si>
  <si>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</si>
  <si>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</si>
  <si>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</si>
  <si>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</si>
  <si>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</si>
  <si>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</si>
  <si>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</si>
  <si>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</si>
  <si>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</si>
  <si>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</si>
  <si>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</si>
  <si>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</si>
  <si>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</si>
  <si>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</si>
  <si>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</si>
  <si>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</si>
  <si>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</si>
  <si>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</si>
  <si>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</si>
  <si>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</si>
  <si>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</si>
  <si>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</si>
  <si>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</si>
  <si>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</si>
  <si>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</si>
  <si>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</si>
  <si>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</si>
  <si>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</si>
  <si>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</si>
  <si>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</si>
  <si>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</si>
  <si>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</si>
  <si>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</si>
  <si>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</si>
  <si>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</si>
  <si>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</si>
  <si>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</si>
  <si>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</si>
  <si>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</si>
  <si>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</si>
  <si>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</si>
  <si>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</si>
  <si>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</si>
  <si>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</si>
  <si>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</si>
  <si>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</si>
  <si>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</si>
  <si>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</si>
  <si>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</si>
  <si>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</si>
  <si>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</si>
  <si>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</si>
  <si>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</si>
  <si>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</si>
  <si>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</si>
  <si>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</si>
  <si>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</si>
  <si>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</si>
  <si>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</si>
  <si>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</si>
  <si>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</si>
  <si>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</si>
  <si>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</si>
  <si>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</si>
  <si>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</si>
  <si>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</si>
  <si>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</si>
  <si>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</si>
  <si>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</si>
  <si>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</si>
  <si>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</si>
  <si>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</si>
  <si>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</si>
  <si>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</si>
  <si>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</si>
  <si>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</si>
  <si>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</si>
  <si>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</si>
  <si>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</si>
  <si>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</si>
  <si>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</si>
  <si>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</si>
  <si>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</si>
  <si>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</si>
  <si>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</si>
  <si>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</si>
  <si>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</si>
  <si>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</si>
  <si>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</si>
  <si>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</si>
  <si>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</si>
  <si>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</si>
  <si>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</si>
  <si>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</si>
  <si>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</si>
  <si>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</si>
  <si>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</si>
  <si>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</si>
  <si>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</si>
  <si>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</si>
  <si>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</si>
  <si>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</si>
  <si>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</si>
  <si>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</si>
  <si>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</si>
  <si>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</si>
  <si>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</si>
  <si>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</si>
  <si>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</si>
  <si>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</si>
  <si>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</si>
  <si>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</si>
  <si>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</si>
  <si>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</si>
  <si>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</si>
  <si>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</si>
  <si>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</si>
  <si>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</si>
  <si>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</si>
  <si>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</si>
  <si>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</si>
  <si>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</si>
  <si>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</si>
  <si>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</si>
  <si>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</si>
  <si>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</si>
  <si>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</si>
  <si>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</si>
  <si>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</si>
  <si>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</si>
  <si>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</si>
  <si>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</si>
  <si>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</si>
  <si>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</si>
  <si>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</si>
  <si>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</si>
  <si>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</si>
  <si>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</si>
  <si>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</si>
  <si>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</si>
  <si>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</si>
  <si>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</si>
  <si>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</si>
  <si>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</si>
  <si>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</si>
  <si>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</si>
  <si>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</si>
  <si>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</si>
  <si>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</si>
  <si>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</si>
  <si>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</si>
  <si>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</si>
  <si>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</si>
  <si>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</si>
  <si>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</si>
  <si>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</si>
  <si>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</si>
  <si>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</si>
  <si>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</si>
  <si>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</si>
  <si>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</si>
  <si>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</si>
  <si>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</si>
  <si>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</si>
  <si>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</si>
  <si>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</si>
  <si>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</si>
  <si>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</si>
  <si>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</si>
  <si>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</si>
  <si>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</si>
  <si>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</si>
  <si>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</si>
  <si>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</si>
  <si>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</si>
  <si>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</si>
  <si>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</si>
  <si>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</si>
  <si>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</si>
  <si>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</si>
  <si>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</si>
  <si>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</si>
  <si>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</si>
  <si>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</si>
  <si>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</si>
  <si>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</si>
  <si>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</si>
  <si>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</si>
  <si>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</si>
  <si>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</si>
  <si>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</si>
  <si>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</si>
  <si>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</si>
  <si>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</si>
  <si>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</si>
  <si>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</si>
  <si>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</si>
  <si>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</si>
  <si>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</si>
  <si>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</si>
  <si>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</si>
  <si>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</si>
  <si>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</si>
  <si>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</si>
  <si>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</si>
  <si>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</si>
  <si>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</si>
  <si>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</si>
  <si>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</si>
  <si>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</si>
  <si>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</si>
  <si>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</si>
  <si>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</si>
  <si>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</si>
  <si>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</si>
  <si>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</si>
  <si>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</si>
  <si>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</si>
  <si>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</si>
  <si>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</si>
  <si>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</si>
  <si>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</si>
  <si>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</si>
  <si>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</si>
  <si>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</si>
  <si>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</si>
  <si>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</si>
  <si>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</si>
  <si>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</si>
  <si>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</si>
  <si>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</si>
  <si>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</si>
  <si>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</si>
  <si>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</si>
  <si>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</si>
  <si>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</si>
  <si>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</si>
  <si>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</si>
  <si>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</si>
  <si>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</si>
  <si>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</si>
  <si>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</si>
  <si>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</si>
  <si>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</si>
  <si>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</si>
  <si>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</si>
  <si>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</si>
  <si>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</si>
  <si>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</si>
  <si>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</si>
  <si>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</si>
  <si>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</si>
  <si>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</si>
  <si>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</si>
  <si>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</si>
  <si>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</si>
  <si>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</si>
  <si>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</si>
  <si>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</si>
  <si>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</si>
  <si>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</si>
  <si>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</si>
  <si>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</si>
  <si>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</si>
  <si>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</si>
  <si>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</si>
  <si>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</si>
  <si>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</si>
  <si>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</si>
  <si>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</si>
  <si>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</si>
  <si>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</si>
  <si>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</si>
  <si>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</si>
  <si>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</si>
  <si>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</si>
  <si>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</si>
  <si>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</si>
  <si>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</si>
  <si>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</si>
  <si>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</si>
  <si>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</si>
  <si>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</si>
  <si>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</si>
  <si>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</si>
  <si>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</si>
  <si>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</si>
  <si>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</si>
  <si>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</si>
  <si>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</si>
  <si>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</si>
  <si>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</si>
  <si>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</si>
  <si>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</si>
  <si>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</si>
  <si>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</si>
  <si>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</si>
  <si>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</si>
  <si>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</si>
  <si>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</si>
  <si>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</si>
  <si>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</si>
  <si>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</si>
  <si>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</si>
  <si>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</si>
  <si>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</si>
  <si>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</si>
  <si>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</si>
  <si>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</si>
  <si>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</si>
  <si>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</si>
  <si>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</si>
  <si>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</si>
  <si>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</si>
  <si>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</si>
  <si>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</si>
  <si>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</si>
  <si>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</si>
  <si>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</si>
  <si>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</si>
  <si>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</si>
  <si>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</si>
  <si>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</si>
  <si>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</si>
  <si>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</si>
  <si>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</si>
  <si>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</si>
  <si>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</si>
  <si>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</si>
  <si>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</si>
  <si>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</si>
  <si>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</si>
  <si>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</si>
  <si>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</si>
  <si>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</si>
  <si>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</si>
  <si>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</si>
  <si>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</si>
  <si>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</si>
  <si>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</si>
  <si>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</si>
  <si>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</si>
  <si>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</si>
  <si>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</si>
  <si>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</si>
  <si>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</si>
  <si>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</si>
  <si>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</si>
  <si>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</si>
  <si>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</si>
  <si>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</si>
  <si>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</si>
  <si>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</si>
  <si>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</si>
  <si>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</si>
  <si>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</si>
  <si>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</si>
  <si>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</si>
  <si>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</si>
  <si>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</si>
  <si>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</si>
  <si>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</si>
  <si>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</si>
  <si>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</si>
  <si>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</si>
  <si>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</si>
  <si>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</si>
  <si>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</si>
  <si>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</si>
  <si>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</si>
  <si>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</si>
  <si>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</si>
  <si>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</si>
  <si>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</si>
  <si>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</si>
  <si>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</si>
  <si>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</si>
  <si>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</si>
  <si>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</si>
  <si>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</si>
  <si>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</si>
  <si>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</si>
  <si>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</si>
  <si>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</si>
  <si>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</si>
  <si>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</si>
  <si>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</si>
  <si>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</si>
  <si>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</si>
  <si>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</si>
  <si>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</si>
  <si>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</si>
  <si>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</si>
  <si>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</si>
  <si>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</si>
  <si>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</si>
  <si>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</si>
  <si>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</si>
  <si>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</si>
  <si>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</si>
  <si>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</si>
  <si>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</si>
  <si>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</si>
  <si>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</si>
  <si>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</si>
  <si>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</si>
  <si>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</si>
  <si>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</si>
  <si>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</si>
  <si>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</si>
  <si>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</si>
  <si>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</si>
  <si>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</si>
  <si>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</si>
  <si>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</si>
  <si>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</si>
  <si>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</si>
  <si>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</si>
  <si>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</si>
  <si>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</si>
  <si>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</si>
  <si>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</si>
  <si>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</si>
  <si>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</si>
  <si>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</si>
  <si>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</si>
  <si>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</si>
  <si>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</si>
  <si>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</si>
  <si>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</si>
  <si>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</si>
  <si>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</si>
  <si>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</si>
  <si>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</si>
  <si>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</si>
  <si>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</si>
  <si>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</si>
  <si>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</si>
  <si>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</si>
  <si>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</si>
  <si>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</si>
  <si>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</si>
  <si>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</si>
  <si>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</si>
  <si>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</si>
  <si>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</si>
  <si>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</si>
  <si>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</si>
  <si>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</si>
  <si>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</si>
  <si>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</si>
  <si>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</si>
  <si>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</si>
  <si>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</si>
  <si>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</si>
  <si>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</si>
  <si>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</si>
  <si>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</si>
  <si>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</si>
  <si>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</si>
  <si>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</si>
  <si>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</si>
  <si>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</si>
  <si>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</si>
  <si>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</si>
  <si>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</si>
  <si>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</si>
  <si>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</si>
  <si>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</si>
  <si>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</si>
  <si>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</si>
  <si>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</si>
  <si>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</si>
  <si>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</si>
  <si>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</si>
  <si>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</si>
  <si>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</si>
  <si>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</si>
  <si>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</si>
  <si>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</si>
  <si>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</si>
  <si>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</si>
  <si>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</si>
  <si>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</si>
  <si>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</si>
  <si>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</si>
  <si>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</si>
  <si>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</si>
  <si>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</si>
  <si>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</si>
  <si>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</si>
  <si>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</si>
  <si>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</si>
  <si>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</si>
  <si>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</si>
  <si>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</si>
  <si>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</si>
  <si>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</si>
  <si>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</si>
  <si>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</si>
  <si>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</si>
  <si>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</si>
  <si>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</si>
  <si>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</si>
  <si>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</si>
  <si>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</si>
  <si>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</si>
  <si>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</si>
  <si>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</si>
  <si>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</si>
  <si>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</si>
  <si>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</si>
  <si>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</si>
  <si>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</si>
  <si>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</si>
  <si>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</si>
  <si>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</si>
  <si>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</si>
  <si>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</si>
  <si>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</si>
  <si>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</si>
  <si>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</si>
  <si>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</si>
  <si>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</si>
  <si>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</si>
  <si>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</si>
  <si>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</si>
  <si>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</si>
  <si>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</si>
  <si>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</si>
  <si>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</si>
  <si>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</si>
  <si>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</si>
  <si>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</si>
  <si>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</si>
  <si>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</si>
  <si>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</si>
  <si>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</si>
  <si>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</si>
  <si>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</si>
  <si>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</si>
  <si>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</si>
  <si>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</si>
  <si>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</si>
  <si>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</si>
  <si>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</si>
  <si>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</si>
  <si>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</si>
  <si>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</si>
  <si>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</si>
  <si>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</si>
  <si>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</si>
  <si>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</si>
  <si>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</si>
  <si>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</si>
  <si>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</si>
  <si>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</si>
  <si>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</si>
  <si>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</si>
  <si>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</si>
  <si>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</si>
  <si>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</si>
  <si>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</si>
  <si>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</si>
  <si>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</si>
  <si>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</si>
  <si>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</si>
  <si>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</si>
  <si>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</si>
  <si>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</si>
  <si>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</si>
  <si>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</si>
  <si>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</si>
  <si>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</si>
  <si>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</si>
  <si>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</si>
  <si>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</si>
  <si>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</si>
  <si>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</si>
  <si>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</si>
  <si>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</si>
  <si>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</si>
  <si>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</si>
  <si>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</si>
  <si>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</si>
  <si>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</si>
  <si>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</si>
  <si>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</si>
  <si>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</si>
  <si>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</si>
  <si>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</si>
  <si>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</si>
  <si>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</si>
  <si>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</si>
  <si>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</si>
  <si>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</si>
  <si>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</si>
  <si>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</si>
  <si>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</si>
  <si>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</si>
  <si>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</si>
  <si>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</si>
  <si>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</si>
  <si>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</si>
  <si>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</si>
  <si>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</si>
  <si>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</si>
  <si>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</si>
  <si>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</si>
  <si>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</si>
  <si>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</si>
  <si>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</si>
  <si>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</si>
  <si>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</si>
  <si>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</si>
  <si>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</si>
  <si>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</si>
  <si>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</si>
  <si>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</si>
  <si>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</si>
  <si>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</si>
  <si>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</si>
  <si>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</si>
  <si>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</si>
  <si>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</si>
  <si>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</si>
  <si>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</si>
  <si>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</si>
  <si>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</si>
  <si>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</si>
  <si>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</si>
  <si>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</si>
  <si>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</si>
  <si>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</si>
  <si>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</si>
  <si>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</si>
  <si>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</si>
  <si>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</si>
  <si>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</si>
  <si>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</si>
  <si>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</si>
  <si>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</si>
  <si>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</si>
  <si>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</si>
  <si>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</si>
  <si>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</si>
  <si>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</si>
  <si>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</si>
  <si>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</si>
  <si>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</si>
  <si>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</si>
  <si>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</si>
  <si>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</si>
  <si>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</si>
  <si>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</si>
  <si>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</si>
  <si>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</si>
  <si>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</si>
  <si>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</si>
  <si>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</si>
  <si>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</si>
  <si>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</si>
  <si>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</si>
  <si>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</si>
  <si>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</si>
  <si>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</si>
  <si>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</si>
  <si>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</si>
  <si>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</si>
  <si>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</si>
  <si>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</si>
  <si>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</si>
  <si>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</si>
  <si>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</si>
  <si>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</si>
  <si>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</si>
  <si>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</si>
  <si>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</si>
  <si>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</si>
  <si>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</si>
  <si>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</si>
  <si>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</si>
  <si>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</si>
  <si>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</si>
  <si>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</si>
  <si>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</si>
  <si>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</si>
  <si>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</si>
  <si>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</si>
  <si>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</si>
  <si>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</si>
  <si>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</si>
  <si>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</si>
  <si>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</si>
  <si>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</si>
  <si>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</si>
  <si>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</si>
  <si>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</si>
  <si>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</si>
  <si>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</si>
  <si>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</si>
  <si>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</si>
  <si>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</si>
  <si>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</si>
  <si>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</si>
  <si>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</si>
  <si>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</si>
  <si>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</si>
  <si>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</si>
  <si>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</si>
  <si>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</si>
  <si>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</si>
  <si>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</si>
  <si>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</si>
  <si>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</si>
  <si>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</si>
  <si>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</si>
  <si>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</si>
  <si>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</si>
  <si>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</si>
  <si>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</si>
  <si>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</si>
  <si>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</si>
  <si>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</si>
  <si>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</si>
  <si>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</si>
  <si>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</si>
  <si>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</si>
  <si>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</si>
  <si>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</si>
  <si>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</si>
  <si>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</si>
  <si>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</si>
  <si>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</si>
  <si>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</si>
  <si>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</si>
  <si>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</si>
  <si>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</si>
  <si>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</si>
  <si>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</si>
  <si>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</si>
  <si>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</si>
  <si>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</si>
  <si>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</si>
  <si>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</si>
  <si>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</si>
  <si>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</si>
  <si>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</si>
  <si>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</si>
  <si>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</si>
  <si>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</si>
  <si>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</si>
  <si>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</si>
  <si>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</si>
  <si>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</si>
  <si>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</si>
  <si>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</si>
  <si>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</si>
  <si>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</si>
  <si>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</si>
  <si>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</si>
  <si>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</si>
  <si>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</si>
  <si>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</si>
  <si>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</si>
  <si>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</si>
  <si>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</si>
  <si>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</si>
  <si>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</si>
  <si>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</si>
  <si>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</si>
  <si>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</si>
  <si>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</si>
  <si>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</si>
  <si>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</si>
  <si>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</si>
  <si>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</si>
  <si>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</si>
  <si>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</si>
  <si>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</si>
  <si>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PEKERJAAN PEMASANGAN KONSTRUKSI TM</t>
  </si>
  <si>
    <t>KONSTRUKSI TRAFO</t>
  </si>
  <si>
    <t>PEKERJAAN PEMASANGAN APP</t>
  </si>
  <si>
    <t>CJ6-T</t>
  </si>
  <si>
    <t>SYG 10</t>
  </si>
  <si>
    <t>-6.964296, 110.508889</t>
  </si>
  <si>
    <t>Trafo 3 Fasa 50 KVA 1 Tiang (G312-A)</t>
  </si>
  <si>
    <t xml:space="preserve">Jumper Wire : </t>
  </si>
  <si>
    <t>CM2-11M</t>
  </si>
  <si>
    <t>Stainless Steel Strap 20 X 0.7 mm</t>
  </si>
  <si>
    <t>PB MUHLISIN</t>
  </si>
  <si>
    <t>CJ5-T</t>
  </si>
  <si>
    <t>CJ7-T</t>
  </si>
  <si>
    <t>MJ6-T</t>
  </si>
  <si>
    <t>DK KRAJAN SELATAN, DS KALI SARI SAYUNG</t>
  </si>
  <si>
    <t>Pemasangan APP 3 Fasa Di Bangunan</t>
  </si>
  <si>
    <t>Demak, 03Agustus 2023</t>
  </si>
  <si>
    <t>MANAGER ULP</t>
  </si>
  <si>
    <t>ACHMAD SUHENDRO</t>
  </si>
  <si>
    <t>Staff Teknik</t>
  </si>
  <si>
    <t>TL Teknik</t>
  </si>
  <si>
    <t>Manager ULP</t>
  </si>
  <si>
    <t>Manager Perencanaan</t>
  </si>
  <si>
    <t>Daya 33000 VA</t>
  </si>
  <si>
    <t>I2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</si>
</sst>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8"/>
      <name val="Times New Roman"/>
      <family val="1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3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10"/>
      </bottom>
      <diagonal/>
    </border>
    <border>
      <left/>
      <right style="thin">
        <color indexed="10"/>
      </right>
      <top style="thin">
        <color indexed="64"/>
      </top>
      <bottom style="thin">
        <color indexed="1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</borders>
  <cellStyleXfs count="5128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62" fillId="0" borderId="0" applyFont="0" applyFill="0" applyBorder="0" applyAlignment="0" applyProtection="0"/>
    <xf numFmtId="41" fontId="174" fillId="0" borderId="0" applyFont="0" applyFill="0" applyBorder="0" applyAlignment="0" applyProtection="0"/>
    <xf numFmtId="0" fontId="21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6" fillId="0" borderId="0"/>
    <xf numFmtId="41" fontId="21" fillId="0" borderId="0" applyFont="0" applyFill="0" applyBorder="0" applyAlignment="0" applyProtection="0"/>
    <xf numFmtId="0" fontId="6" fillId="0" borderId="0"/>
    <xf numFmtId="43" fontId="21" fillId="0" borderId="0" applyFont="0" applyFill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11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87" fillId="0" borderId="95"/>
    <xf numFmtId="0" fontId="88" fillId="0" borderId="96"/>
    <xf numFmtId="43" fontId="21" fillId="0" borderId="0" applyFont="0" applyFill="0" applyBorder="0" applyAlignment="0" applyProtection="0"/>
    <xf numFmtId="0" fontId="36" fillId="20" borderId="103" applyNumberFormat="0" applyAlignment="0" applyProtection="0"/>
    <xf numFmtId="0" fontId="15" fillId="27" borderId="102" applyNumberFormat="0" applyFont="0" applyAlignment="0" applyProtection="0"/>
    <xf numFmtId="0" fontId="21" fillId="27" borderId="102" applyNumberFormat="0" applyFont="0" applyAlignment="0" applyProtection="0"/>
    <xf numFmtId="0" fontId="15" fillId="27" borderId="102" applyNumberFormat="0" applyFont="0" applyAlignment="0" applyProtection="0"/>
    <xf numFmtId="0" fontId="15" fillId="27" borderId="102" applyNumberFormat="0" applyFont="0" applyAlignment="0" applyProtection="0"/>
    <xf numFmtId="0" fontId="15" fillId="27" borderId="102" applyNumberFormat="0" applyFont="0" applyAlignment="0" applyProtection="0"/>
    <xf numFmtId="0" fontId="15" fillId="27" borderId="102" applyNumberFormat="0" applyFont="0" applyAlignment="0" applyProtection="0"/>
    <xf numFmtId="0" fontId="15" fillId="27" borderId="102" applyNumberFormat="0" applyFont="0" applyAlignment="0" applyProtection="0"/>
    <xf numFmtId="0" fontId="15" fillId="27" borderId="102" applyNumberFormat="0" applyFont="0" applyAlignment="0" applyProtection="0"/>
    <xf numFmtId="0" fontId="15" fillId="27" borderId="102" applyNumberFormat="0" applyFont="0" applyAlignment="0" applyProtection="0"/>
    <xf numFmtId="0" fontId="15" fillId="27" borderId="102" applyNumberFormat="0" applyFont="0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26" fillId="21" borderId="99" applyNumberFormat="0" applyAlignment="0" applyProtection="0"/>
    <xf numFmtId="0" fontId="32" fillId="7" borderId="107" applyNumberFormat="0" applyAlignment="0" applyProtection="0"/>
    <xf numFmtId="0" fontId="38" fillId="0" borderId="104" applyNumberFormat="0" applyFill="0" applyAlignment="0" applyProtection="0"/>
    <xf numFmtId="0" fontId="5" fillId="0" borderId="0"/>
    <xf numFmtId="0" fontId="5" fillId="0" borderId="0"/>
    <xf numFmtId="0" fontId="87" fillId="0" borderId="106"/>
    <xf numFmtId="0" fontId="21" fillId="27" borderId="108" applyNumberFormat="0" applyFont="0" applyAlignment="0" applyProtection="0"/>
    <xf numFmtId="0" fontId="36" fillId="20" borderId="109" applyNumberFormat="0" applyAlignment="0" applyProtection="0"/>
    <xf numFmtId="0" fontId="38" fillId="0" borderId="110" applyNumberFormat="0" applyFill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194" fontId="42" fillId="28" borderId="102" applyAlignment="0" applyProtection="0"/>
    <xf numFmtId="0" fontId="21" fillId="27" borderId="102" applyNumberFormat="0" applyFont="0" applyAlignment="0" applyProtection="0"/>
    <xf numFmtId="194" fontId="42" fillId="28" borderId="102" applyAlignment="0" applyProtection="0"/>
    <xf numFmtId="0" fontId="21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21" fillId="27" borderId="102" applyNumberFormat="0" applyFont="0" applyAlignment="0" applyProtection="0"/>
    <xf numFmtId="194" fontId="42" fillId="28" borderId="102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21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21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21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21" fillId="27" borderId="102" applyNumberFormat="0" applyFont="0" applyAlignment="0" applyProtection="0"/>
    <xf numFmtId="0" fontId="21" fillId="27" borderId="102" applyNumberFormat="0" applyFont="0" applyAlignment="0" applyProtection="0"/>
    <xf numFmtId="0" fontId="21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194" fontId="42" fillId="28" borderId="102" applyAlignment="0" applyProtection="0"/>
    <xf numFmtId="0" fontId="15" fillId="27" borderId="102" applyNumberFormat="0" applyFont="0" applyAlignment="0" applyProtection="0"/>
    <xf numFmtId="0" fontId="21" fillId="27" borderId="102" applyNumberFormat="0" applyFont="0" applyAlignment="0" applyProtection="0"/>
    <xf numFmtId="194" fontId="42" fillId="28" borderId="102" applyAlignment="0" applyProtection="0"/>
    <xf numFmtId="0" fontId="21" fillId="27" borderId="102" applyNumberFormat="0" applyFont="0" applyAlignment="0" applyProtection="0"/>
    <xf numFmtId="194" fontId="42" fillId="28" borderId="102" applyAlignment="0" applyProtection="0"/>
    <xf numFmtId="0" fontId="21" fillId="27" borderId="102" applyNumberFormat="0" applyFont="0" applyAlignment="0" applyProtection="0"/>
    <xf numFmtId="194" fontId="42" fillId="28" borderId="102" applyAlignment="0" applyProtection="0"/>
    <xf numFmtId="0" fontId="21" fillId="27" borderId="102" applyNumberFormat="0" applyFont="0" applyAlignment="0" applyProtection="0"/>
    <xf numFmtId="194" fontId="42" fillId="28" borderId="102" applyAlignment="0" applyProtection="0"/>
    <xf numFmtId="0" fontId="21" fillId="27" borderId="102" applyNumberFormat="0" applyFont="0" applyAlignment="0" applyProtection="0"/>
    <xf numFmtId="194" fontId="42" fillId="28" borderId="102" applyAlignment="0" applyProtection="0"/>
    <xf numFmtId="0" fontId="21" fillId="27" borderId="102" applyNumberFormat="0" applyFont="0" applyAlignment="0" applyProtection="0"/>
    <xf numFmtId="0" fontId="5" fillId="0" borderId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43" fontId="5" fillId="0" borderId="0" applyFont="0" applyFill="0" applyBorder="0" applyAlignment="0" applyProtection="0"/>
    <xf numFmtId="0" fontId="78" fillId="23" borderId="105"/>
    <xf numFmtId="0" fontId="78" fillId="0" borderId="105"/>
    <xf numFmtId="0" fontId="78" fillId="0" borderId="100"/>
    <xf numFmtId="0" fontId="78" fillId="0" borderId="100"/>
    <xf numFmtId="0" fontId="73" fillId="0" borderId="105"/>
    <xf numFmtId="0" fontId="73" fillId="0" borderId="105"/>
    <xf numFmtId="0" fontId="73" fillId="0" borderId="111"/>
    <xf numFmtId="0" fontId="73" fillId="0" borderId="111"/>
    <xf numFmtId="0" fontId="78" fillId="0" borderId="111"/>
    <xf numFmtId="0" fontId="78" fillId="23" borderId="111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5" fillId="0" borderId="0"/>
    <xf numFmtId="0" fontId="5" fillId="0" borderId="0"/>
    <xf numFmtId="0" fontId="21" fillId="27" borderId="108" applyNumberFormat="0" applyFont="0" applyAlignment="0" applyProtection="0"/>
    <xf numFmtId="194" fontId="42" fillId="28" borderId="108" applyAlignment="0" applyProtection="0"/>
    <xf numFmtId="0" fontId="21" fillId="27" borderId="108" applyNumberFormat="0" applyFont="0" applyAlignment="0" applyProtection="0"/>
    <xf numFmtId="194" fontId="42" fillId="28" borderId="108" applyAlignment="0" applyProtection="0"/>
    <xf numFmtId="0" fontId="21" fillId="27" borderId="108" applyNumberFormat="0" applyFont="0" applyAlignment="0" applyProtection="0"/>
    <xf numFmtId="194" fontId="42" fillId="28" borderId="108" applyAlignment="0" applyProtection="0"/>
    <xf numFmtId="0" fontId="21" fillId="27" borderId="108" applyNumberFormat="0" applyFont="0" applyAlignment="0" applyProtection="0"/>
    <xf numFmtId="0" fontId="21" fillId="27" borderId="108" applyNumberFormat="0" applyFont="0" applyAlignment="0" applyProtection="0"/>
    <xf numFmtId="194" fontId="42" fillId="28" borderId="108" applyAlignment="0" applyProtection="0"/>
    <xf numFmtId="0" fontId="21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0" fontId="21" fillId="27" borderId="108" applyNumberFormat="0" applyFont="0" applyAlignment="0" applyProtection="0"/>
    <xf numFmtId="0" fontId="21" fillId="27" borderId="108" applyNumberFormat="0" applyFont="0" applyAlignment="0" applyProtection="0"/>
    <xf numFmtId="0" fontId="21" fillId="27" borderId="108" applyNumberFormat="0" applyFont="0" applyAlignment="0" applyProtection="0"/>
    <xf numFmtId="0" fontId="15" fillId="27" borderId="108" applyNumberFormat="0" applyFont="0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194" fontId="42" fillId="28" borderId="108" applyAlignment="0" applyProtection="0"/>
    <xf numFmtId="0" fontId="36" fillId="20" borderId="103" applyNumberFormat="0" applyAlignment="0" applyProtection="0"/>
    <xf numFmtId="0" fontId="21" fillId="27" borderId="102" applyNumberFormat="0" applyFont="0" applyAlignment="0" applyProtection="0"/>
    <xf numFmtId="0" fontId="32" fillId="7" borderId="101" applyNumberFormat="0" applyAlignment="0" applyProtection="0"/>
    <xf numFmtId="0" fontId="25" fillId="20" borderId="101" applyNumberFormat="0" applyAlignment="0" applyProtection="0"/>
    <xf numFmtId="194" fontId="42" fillId="28" borderId="108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32" fillId="7" borderId="107" applyNumberFormat="0" applyAlignment="0" applyProtection="0"/>
    <xf numFmtId="0" fontId="25" fillId="20" borderId="107" applyNumberFormat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21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21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21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21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21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21" fillId="27" borderId="108" applyNumberFormat="0" applyFont="0" applyAlignment="0" applyProtection="0"/>
    <xf numFmtId="194" fontId="42" fillId="28" borderId="108" applyAlignment="0" applyProtection="0"/>
    <xf numFmtId="0" fontId="21" fillId="27" borderId="108" applyNumberFormat="0" applyFont="0" applyAlignment="0" applyProtection="0"/>
    <xf numFmtId="194" fontId="42" fillId="28" borderId="108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87" fillId="0" borderId="112"/>
    <xf numFmtId="0" fontId="32" fillId="7" borderId="107" applyNumberFormat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2" fillId="7" borderId="107" applyNumberFormat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2" fillId="7" borderId="107" applyNumberFormat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73" fillId="0" borderId="111"/>
    <xf numFmtId="0" fontId="73" fillId="0" borderId="111"/>
    <xf numFmtId="0" fontId="78" fillId="0" borderId="100"/>
    <xf numFmtId="0" fontId="78" fillId="0" borderId="100"/>
    <xf numFmtId="0" fontId="78" fillId="0" borderId="111"/>
    <xf numFmtId="0" fontId="78" fillId="23" borderId="111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94" fontId="42" fillId="28" borderId="108" applyAlignment="0" applyProtection="0"/>
    <xf numFmtId="0" fontId="21" fillId="27" borderId="108" applyNumberFormat="0" applyFont="0" applyAlignment="0" applyProtection="0"/>
    <xf numFmtId="194" fontId="42" fillId="28" borderId="108" applyAlignment="0" applyProtection="0"/>
    <xf numFmtId="0" fontId="21" fillId="27" borderId="108" applyNumberFormat="0" applyFont="0" applyAlignment="0" applyProtection="0"/>
    <xf numFmtId="194" fontId="42" fillId="28" borderId="108" applyAlignment="0" applyProtection="0"/>
    <xf numFmtId="0" fontId="21" fillId="27" borderId="108" applyNumberFormat="0" applyFont="0" applyAlignment="0" applyProtection="0"/>
    <xf numFmtId="194" fontId="42" fillId="28" borderId="108" applyAlignment="0" applyProtection="0"/>
    <xf numFmtId="0" fontId="21" fillId="27" borderId="108" applyNumberFormat="0" applyFont="0" applyAlignment="0" applyProtection="0"/>
    <xf numFmtId="194" fontId="42" fillId="28" borderId="108" applyAlignment="0" applyProtection="0"/>
    <xf numFmtId="0" fontId="21" fillId="27" borderId="108" applyNumberFormat="0" applyFont="0" applyAlignment="0" applyProtection="0"/>
    <xf numFmtId="194" fontId="42" fillId="28" borderId="108" applyAlignment="0" applyProtection="0"/>
    <xf numFmtId="0" fontId="21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0" fontId="21" fillId="27" borderId="108" applyNumberFormat="0" applyFont="0" applyAlignment="0" applyProtection="0"/>
    <xf numFmtId="0" fontId="21" fillId="27" borderId="108" applyNumberFormat="0" applyFont="0" applyAlignment="0" applyProtection="0"/>
    <xf numFmtId="0" fontId="21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21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21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21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21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21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194" fontId="42" fillId="28" borderId="108" applyAlignment="0" applyProtection="0"/>
    <xf numFmtId="0" fontId="15" fillId="27" borderId="108" applyNumberFormat="0" applyFont="0" applyAlignment="0" applyProtection="0"/>
    <xf numFmtId="9" fontId="21" fillId="0" borderId="0" applyFont="0" applyFill="0" applyBorder="0" applyAlignment="0" applyProtection="0"/>
    <xf numFmtId="194" fontId="42" fillId="28" borderId="108" applyAlignment="0" applyProtection="0"/>
    <xf numFmtId="0" fontId="21" fillId="27" borderId="108" applyNumberFormat="0" applyFont="0" applyAlignment="0" applyProtection="0"/>
    <xf numFmtId="194" fontId="42" fillId="28" borderId="108" applyAlignment="0" applyProtection="0"/>
    <xf numFmtId="0" fontId="21" fillId="27" borderId="108" applyNumberFormat="0" applyFon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9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87" fillId="0" borderId="113"/>
    <xf numFmtId="0" fontId="87" fillId="0" borderId="113"/>
    <xf numFmtId="0" fontId="88" fillId="0" borderId="114"/>
    <xf numFmtId="0" fontId="88" fillId="0" borderId="114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11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6" fillId="20" borderId="119" applyNumberFormat="0" applyAlignment="0" applyProtection="0"/>
    <xf numFmtId="0" fontId="21" fillId="27" borderId="118" applyNumberFormat="0" applyFont="0" applyAlignment="0" applyProtection="0"/>
    <xf numFmtId="0" fontId="15" fillId="27" borderId="118" applyNumberFormat="0" applyFont="0" applyAlignment="0" applyProtection="0"/>
    <xf numFmtId="0" fontId="15" fillId="27" borderId="118" applyNumberFormat="0" applyFont="0" applyAlignment="0" applyProtection="0"/>
    <xf numFmtId="0" fontId="15" fillId="27" borderId="118" applyNumberFormat="0" applyFont="0" applyAlignment="0" applyProtection="0"/>
    <xf numFmtId="0" fontId="15" fillId="27" borderId="118" applyNumberFormat="0" applyFont="0" applyAlignment="0" applyProtection="0"/>
    <xf numFmtId="0" fontId="15" fillId="27" borderId="118" applyNumberFormat="0" applyFont="0" applyAlignment="0" applyProtection="0"/>
    <xf numFmtId="0" fontId="15" fillId="27" borderId="118" applyNumberFormat="0" applyFont="0" applyAlignment="0" applyProtection="0"/>
    <xf numFmtId="0" fontId="15" fillId="27" borderId="118" applyNumberFormat="0" applyFont="0" applyAlignment="0" applyProtection="0"/>
    <xf numFmtId="0" fontId="15" fillId="27" borderId="118" applyNumberFormat="0" applyFont="0" applyAlignment="0" applyProtection="0"/>
    <xf numFmtId="0" fontId="15" fillId="27" borderId="118" applyNumberFormat="0" applyFont="0" applyAlignment="0" applyProtection="0"/>
    <xf numFmtId="0" fontId="15" fillId="27" borderId="118" applyNumberFormat="0" applyFont="0" applyAlignment="0" applyProtection="0"/>
    <xf numFmtId="0" fontId="21" fillId="27" borderId="118" applyNumberFormat="0" applyFont="0" applyAlignment="0" applyProtection="0"/>
    <xf numFmtId="194" fontId="42" fillId="28" borderId="118" applyAlignment="0" applyProtection="0"/>
    <xf numFmtId="194" fontId="42" fillId="28" borderId="130" applyAlignment="0" applyProtection="0"/>
    <xf numFmtId="0" fontId="32" fillId="7" borderId="107" applyNumberFormat="0" applyAlignment="0" applyProtection="0"/>
    <xf numFmtId="0" fontId="32" fillId="7" borderId="123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38" fillId="0" borderId="120" applyNumberFormat="0" applyFill="0" applyAlignment="0" applyProtection="0"/>
    <xf numFmtId="0" fontId="3" fillId="0" borderId="0"/>
    <xf numFmtId="0" fontId="32" fillId="7" borderId="123" applyNumberFormat="0" applyAlignment="0" applyProtection="0"/>
    <xf numFmtId="0" fontId="25" fillId="20" borderId="117" applyNumberFormat="0" applyAlignment="0" applyProtection="0"/>
    <xf numFmtId="0" fontId="3" fillId="0" borderId="0"/>
    <xf numFmtId="0" fontId="21" fillId="27" borderId="124" applyNumberFormat="0" applyFont="0" applyAlignment="0" applyProtection="0"/>
    <xf numFmtId="0" fontId="32" fillId="7" borderId="123" applyNumberFormat="0" applyAlignment="0" applyProtection="0"/>
    <xf numFmtId="0" fontId="36" fillId="20" borderId="119" applyNumberFormat="0" applyAlignment="0" applyProtection="0"/>
    <xf numFmtId="0" fontId="36" fillId="20" borderId="119" applyNumberFormat="0" applyAlignment="0" applyProtection="0"/>
    <xf numFmtId="0" fontId="36" fillId="20" borderId="119" applyNumberFormat="0" applyAlignment="0" applyProtection="0"/>
    <xf numFmtId="0" fontId="36" fillId="20" borderId="119" applyNumberFormat="0" applyAlignment="0" applyProtection="0"/>
    <xf numFmtId="0" fontId="36" fillId="20" borderId="119" applyNumberFormat="0" applyAlignment="0" applyProtection="0"/>
    <xf numFmtId="0" fontId="36" fillId="20" borderId="119" applyNumberFormat="0" applyAlignment="0" applyProtection="0"/>
    <xf numFmtId="0" fontId="36" fillId="20" borderId="119" applyNumberFormat="0" applyAlignment="0" applyProtection="0"/>
    <xf numFmtId="0" fontId="36" fillId="20" borderId="119" applyNumberFormat="0" applyAlignment="0" applyProtection="0"/>
    <xf numFmtId="0" fontId="36" fillId="20" borderId="119" applyNumberFormat="0" applyAlignment="0" applyProtection="0"/>
    <xf numFmtId="0" fontId="36" fillId="20" borderId="119" applyNumberFormat="0" applyAlignment="0" applyProtection="0"/>
    <xf numFmtId="0" fontId="36" fillId="20" borderId="119" applyNumberFormat="0" applyAlignment="0" applyProtection="0"/>
    <xf numFmtId="0" fontId="36" fillId="20" borderId="119" applyNumberFormat="0" applyAlignment="0" applyProtection="0"/>
    <xf numFmtId="0" fontId="36" fillId="20" borderId="119" applyNumberFormat="0" applyAlignment="0" applyProtection="0"/>
    <xf numFmtId="0" fontId="36" fillId="20" borderId="119" applyNumberFormat="0" applyAlignment="0" applyProtection="0"/>
    <xf numFmtId="0" fontId="36" fillId="20" borderId="119" applyNumberFormat="0" applyAlignment="0" applyProtection="0"/>
    <xf numFmtId="0" fontId="36" fillId="20" borderId="119" applyNumberFormat="0" applyAlignment="0" applyProtection="0"/>
    <xf numFmtId="194" fontId="42" fillId="28" borderId="118" applyAlignment="0" applyProtection="0"/>
    <xf numFmtId="194" fontId="42" fillId="28" borderId="118" applyAlignment="0" applyProtection="0"/>
    <xf numFmtId="0" fontId="21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21" fillId="27" borderId="118" applyNumberFormat="0" applyFont="0" applyAlignment="0" applyProtection="0"/>
    <xf numFmtId="194" fontId="42" fillId="28" borderId="118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21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21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21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194" fontId="42" fillId="28" borderId="118" applyAlignment="0" applyProtection="0"/>
    <xf numFmtId="0" fontId="21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0" fontId="21" fillId="27" borderId="118" applyNumberFormat="0" applyFont="0" applyAlignment="0" applyProtection="0"/>
    <xf numFmtId="0" fontId="21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15" fillId="27" borderId="118" applyNumberFormat="0" applyFont="0" applyAlignment="0" applyProtection="0"/>
    <xf numFmtId="194" fontId="42" fillId="28" borderId="118" applyAlignment="0" applyProtection="0"/>
    <xf numFmtId="0" fontId="21" fillId="27" borderId="118" applyNumberFormat="0" applyFont="0" applyAlignment="0" applyProtection="0"/>
    <xf numFmtId="0" fontId="21" fillId="27" borderId="118" applyNumberFormat="0" applyFont="0" applyAlignment="0" applyProtection="0"/>
    <xf numFmtId="194" fontId="42" fillId="28" borderId="118" applyAlignment="0" applyProtection="0"/>
    <xf numFmtId="0" fontId="21" fillId="27" borderId="118" applyNumberFormat="0" applyFont="0" applyAlignment="0" applyProtection="0"/>
    <xf numFmtId="194" fontId="42" fillId="28" borderId="118" applyAlignment="0" applyProtection="0"/>
    <xf numFmtId="0" fontId="21" fillId="27" borderId="118" applyNumberFormat="0" applyFont="0" applyAlignment="0" applyProtection="0"/>
    <xf numFmtId="194" fontId="42" fillId="28" borderId="118" applyAlignment="0" applyProtection="0"/>
    <xf numFmtId="0" fontId="21" fillId="27" borderId="118" applyNumberFormat="0" applyFont="0" applyAlignment="0" applyProtection="0"/>
    <xf numFmtId="194" fontId="42" fillId="28" borderId="118" applyAlignment="0" applyProtection="0"/>
    <xf numFmtId="0" fontId="21" fillId="27" borderId="118" applyNumberFormat="0" applyFont="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21" fillId="27" borderId="130" applyNumberFormat="0" applyFont="0" applyAlignment="0" applyProtection="0"/>
    <xf numFmtId="194" fontId="42" fillId="28" borderId="130" applyAlignment="0" applyProtection="0"/>
    <xf numFmtId="0" fontId="21" fillId="27" borderId="130" applyNumberFormat="0" applyFont="0" applyAlignment="0" applyProtection="0"/>
    <xf numFmtId="194" fontId="42" fillId="28" borderId="130" applyAlignment="0" applyProtection="0"/>
    <xf numFmtId="0" fontId="21" fillId="27" borderId="130" applyNumberFormat="0" applyFont="0" applyAlignment="0" applyProtection="0"/>
    <xf numFmtId="194" fontId="42" fillId="28" borderId="130" applyAlignment="0" applyProtection="0"/>
    <xf numFmtId="0" fontId="21" fillId="27" borderId="130" applyNumberFormat="0" applyFont="0" applyAlignment="0" applyProtection="0"/>
    <xf numFmtId="194" fontId="42" fillId="28" borderId="130" applyAlignment="0" applyProtection="0"/>
    <xf numFmtId="0" fontId="21" fillId="27" borderId="130" applyNumberFormat="0" applyFont="0" applyAlignment="0" applyProtection="0"/>
    <xf numFmtId="0" fontId="21" fillId="27" borderId="130" applyNumberFormat="0" applyFont="0" applyAlignment="0" applyProtection="0"/>
    <xf numFmtId="0" fontId="25" fillId="20" borderId="123" applyNumberFormat="0" applyAlignment="0" applyProtection="0"/>
    <xf numFmtId="0" fontId="25" fillId="20" borderId="123" applyNumberFormat="0" applyAlignment="0" applyProtection="0"/>
    <xf numFmtId="0" fontId="25" fillId="20" borderId="123" applyNumberFormat="0" applyAlignment="0" applyProtection="0"/>
    <xf numFmtId="0" fontId="25" fillId="20" borderId="123" applyNumberFormat="0" applyAlignment="0" applyProtection="0"/>
    <xf numFmtId="0" fontId="25" fillId="20" borderId="123" applyNumberFormat="0" applyAlignment="0" applyProtection="0"/>
    <xf numFmtId="0" fontId="25" fillId="20" borderId="123" applyNumberFormat="0" applyAlignment="0" applyProtection="0"/>
    <xf numFmtId="0" fontId="25" fillId="20" borderId="123" applyNumberFormat="0" applyAlignment="0" applyProtection="0"/>
    <xf numFmtId="0" fontId="25" fillId="20" borderId="123" applyNumberFormat="0" applyAlignment="0" applyProtection="0"/>
    <xf numFmtId="0" fontId="25" fillId="20" borderId="123" applyNumberFormat="0" applyAlignment="0" applyProtection="0"/>
    <xf numFmtId="0" fontId="25" fillId="20" borderId="123" applyNumberFormat="0" applyAlignment="0" applyProtection="0"/>
    <xf numFmtId="0" fontId="25" fillId="20" borderId="123" applyNumberFormat="0" applyAlignment="0" applyProtection="0"/>
    <xf numFmtId="0" fontId="25" fillId="20" borderId="123" applyNumberFormat="0" applyAlignment="0" applyProtection="0"/>
    <xf numFmtId="0" fontId="25" fillId="20" borderId="123" applyNumberFormat="0" applyAlignment="0" applyProtection="0"/>
    <xf numFmtId="0" fontId="25" fillId="20" borderId="123" applyNumberFormat="0" applyAlignment="0" applyProtection="0"/>
    <xf numFmtId="0" fontId="25" fillId="20" borderId="123" applyNumberFormat="0" applyAlignment="0" applyProtection="0"/>
    <xf numFmtId="0" fontId="25" fillId="20" borderId="123" applyNumberFormat="0" applyAlignment="0" applyProtection="0"/>
    <xf numFmtId="0" fontId="25" fillId="20" borderId="123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43" fontId="3" fillId="0" borderId="0" applyFont="0" applyFill="0" applyBorder="0" applyAlignment="0" applyProtection="0"/>
    <xf numFmtId="0" fontId="78" fillId="23" borderId="121"/>
    <xf numFmtId="0" fontId="78" fillId="0" borderId="121"/>
    <xf numFmtId="0" fontId="78" fillId="23" borderId="133"/>
    <xf numFmtId="0" fontId="78" fillId="0" borderId="133"/>
    <xf numFmtId="0" fontId="73" fillId="0" borderId="121"/>
    <xf numFmtId="0" fontId="73" fillId="0" borderId="121"/>
    <xf numFmtId="0" fontId="73" fillId="0" borderId="133"/>
    <xf numFmtId="0" fontId="73" fillId="0" borderId="133"/>
    <xf numFmtId="0" fontId="73" fillId="0" borderId="127"/>
    <xf numFmtId="0" fontId="73" fillId="0" borderId="127"/>
    <xf numFmtId="0" fontId="78" fillId="0" borderId="127"/>
    <xf numFmtId="0" fontId="78" fillId="23" borderId="127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29" applyNumberFormat="0" applyAlignment="0" applyProtection="0"/>
    <xf numFmtId="0" fontId="25" fillId="20" borderId="129" applyNumberFormat="0" applyAlignment="0" applyProtection="0"/>
    <xf numFmtId="0" fontId="25" fillId="20" borderId="129" applyNumberFormat="0" applyAlignment="0" applyProtection="0"/>
    <xf numFmtId="0" fontId="25" fillId="20" borderId="129" applyNumberFormat="0" applyAlignment="0" applyProtection="0"/>
    <xf numFmtId="0" fontId="25" fillId="20" borderId="129" applyNumberFormat="0" applyAlignment="0" applyProtection="0"/>
    <xf numFmtId="0" fontId="25" fillId="20" borderId="129" applyNumberFormat="0" applyAlignment="0" applyProtection="0"/>
    <xf numFmtId="0" fontId="25" fillId="20" borderId="129" applyNumberFormat="0" applyAlignment="0" applyProtection="0"/>
    <xf numFmtId="0" fontId="25" fillId="20" borderId="129" applyNumberFormat="0" applyAlignment="0" applyProtection="0"/>
    <xf numFmtId="0" fontId="25" fillId="20" borderId="129" applyNumberFormat="0" applyAlignment="0" applyProtection="0"/>
    <xf numFmtId="0" fontId="25" fillId="20" borderId="129" applyNumberFormat="0" applyAlignment="0" applyProtection="0"/>
    <xf numFmtId="0" fontId="25" fillId="20" borderId="129" applyNumberFormat="0" applyAlignment="0" applyProtection="0"/>
    <xf numFmtId="0" fontId="25" fillId="20" borderId="129" applyNumberFormat="0" applyAlignment="0" applyProtection="0"/>
    <xf numFmtId="0" fontId="25" fillId="20" borderId="129" applyNumberFormat="0" applyAlignment="0" applyProtection="0"/>
    <xf numFmtId="0" fontId="25" fillId="20" borderId="129" applyNumberFormat="0" applyAlignment="0" applyProtection="0"/>
    <xf numFmtId="0" fontId="25" fillId="20" borderId="129" applyNumberFormat="0" applyAlignment="0" applyProtection="0"/>
    <xf numFmtId="0" fontId="25" fillId="20" borderId="129" applyNumberFormat="0" applyAlignment="0" applyProtection="0"/>
    <xf numFmtId="0" fontId="25" fillId="20" borderId="129" applyNumberFormat="0" applyAlignment="0" applyProtection="0"/>
    <xf numFmtId="0" fontId="3" fillId="0" borderId="0"/>
    <xf numFmtId="0" fontId="3" fillId="0" borderId="0"/>
    <xf numFmtId="0" fontId="21" fillId="27" borderId="124" applyNumberFormat="0" applyFont="0" applyAlignment="0" applyProtection="0"/>
    <xf numFmtId="194" fontId="42" fillId="28" borderId="124" applyAlignment="0" applyProtection="0"/>
    <xf numFmtId="0" fontId="21" fillId="27" borderId="124" applyNumberFormat="0" applyFont="0" applyAlignment="0" applyProtection="0"/>
    <xf numFmtId="194" fontId="42" fillId="28" borderId="124" applyAlignment="0" applyProtection="0"/>
    <xf numFmtId="0" fontId="21" fillId="27" borderId="124" applyNumberFormat="0" applyFont="0" applyAlignment="0" applyProtection="0"/>
    <xf numFmtId="194" fontId="42" fillId="28" borderId="124" applyAlignment="0" applyProtection="0"/>
    <xf numFmtId="0" fontId="21" fillId="27" borderId="124" applyNumberFormat="0" applyFont="0" applyAlignment="0" applyProtection="0"/>
    <xf numFmtId="194" fontId="42" fillId="28" borderId="124" applyAlignment="0" applyProtection="0"/>
    <xf numFmtId="194" fontId="42" fillId="28" borderId="124" applyAlignment="0" applyProtection="0"/>
    <xf numFmtId="0" fontId="21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21" fillId="27" borderId="124" applyNumberFormat="0" applyFont="0" applyAlignment="0" applyProtection="0"/>
    <xf numFmtId="0" fontId="21" fillId="27" borderId="124" applyNumberFormat="0" applyFont="0" applyAlignment="0" applyProtection="0"/>
    <xf numFmtId="0" fontId="21" fillId="27" borderId="124" applyNumberFormat="0" applyFont="0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0" fontId="21" fillId="27" borderId="130" applyNumberFormat="0" applyFont="0" applyAlignment="0" applyProtection="0"/>
    <xf numFmtId="0" fontId="87" fillId="0" borderId="115"/>
    <xf numFmtId="0" fontId="88" fillId="0" borderId="116"/>
    <xf numFmtId="0" fontId="36" fillId="20" borderId="119" applyNumberFormat="0" applyAlignment="0" applyProtection="0"/>
    <xf numFmtId="0" fontId="21" fillId="27" borderId="118" applyNumberFormat="0" applyFont="0" applyAlignment="0" applyProtection="0"/>
    <xf numFmtId="0" fontId="32" fillId="7" borderId="129" applyNumberFormat="0" applyAlignment="0" applyProtection="0"/>
    <xf numFmtId="0" fontId="32" fillId="7" borderId="117" applyNumberFormat="0" applyAlignment="0" applyProtection="0"/>
    <xf numFmtId="0" fontId="25" fillId="20" borderId="117" applyNumberFormat="0" applyAlignment="0" applyProtection="0"/>
    <xf numFmtId="194" fontId="42" fillId="28" borderId="124" applyAlignment="0" applyProtection="0"/>
    <xf numFmtId="194" fontId="42" fillId="28" borderId="124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21" fillId="27" borderId="130" applyNumberFormat="0" applyFont="0" applyAlignment="0" applyProtection="0"/>
    <xf numFmtId="0" fontId="21" fillId="27" borderId="130" applyNumberFormat="0" applyFont="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0" fontId="38" fillId="0" borderId="126" applyNumberFormat="0" applyFill="0" applyAlignment="0" applyProtection="0"/>
    <xf numFmtId="0" fontId="36" fillId="20" borderId="125" applyNumberFormat="0" applyAlignment="0" applyProtection="0"/>
    <xf numFmtId="0" fontId="21" fillId="27" borderId="124" applyNumberFormat="0" applyFont="0" applyAlignment="0" applyProtection="0"/>
    <xf numFmtId="0" fontId="87" fillId="0" borderId="122"/>
    <xf numFmtId="0" fontId="32" fillId="7" borderId="123" applyNumberFormat="0" applyAlignment="0" applyProtection="0"/>
    <xf numFmtId="0" fontId="25" fillId="20" borderId="123" applyNumberFormat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194" fontId="42" fillId="28" borderId="130" applyAlignment="0" applyProtection="0"/>
    <xf numFmtId="194" fontId="42" fillId="28" borderId="130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21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21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21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21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21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15" fillId="27" borderId="124" applyNumberFormat="0" applyFont="0" applyAlignment="0" applyProtection="0"/>
    <xf numFmtId="194" fontId="42" fillId="28" borderId="124" applyAlignment="0" applyProtection="0"/>
    <xf numFmtId="0" fontId="21" fillId="27" borderId="124" applyNumberFormat="0" applyFont="0" applyAlignment="0" applyProtection="0"/>
    <xf numFmtId="194" fontId="42" fillId="28" borderId="124" applyAlignment="0" applyProtection="0"/>
    <xf numFmtId="0" fontId="21" fillId="27" borderId="124" applyNumberFormat="0" applyFont="0" applyAlignment="0" applyProtection="0"/>
    <xf numFmtId="194" fontId="42" fillId="28" borderId="124" applyAlignment="0" applyProtection="0"/>
    <xf numFmtId="0" fontId="36" fillId="20" borderId="125" applyNumberFormat="0" applyAlignment="0" applyProtection="0"/>
    <xf numFmtId="0" fontId="36" fillId="20" borderId="125" applyNumberFormat="0" applyAlignment="0" applyProtection="0"/>
    <xf numFmtId="0" fontId="36" fillId="20" borderId="125" applyNumberFormat="0" applyAlignment="0" applyProtection="0"/>
    <xf numFmtId="0" fontId="36" fillId="20" borderId="125" applyNumberFormat="0" applyAlignment="0" applyProtection="0"/>
    <xf numFmtId="0" fontId="36" fillId="20" borderId="125" applyNumberFormat="0" applyAlignment="0" applyProtection="0"/>
    <xf numFmtId="0" fontId="36" fillId="20" borderId="125" applyNumberFormat="0" applyAlignment="0" applyProtection="0"/>
    <xf numFmtId="0" fontId="36" fillId="20" borderId="125" applyNumberFormat="0" applyAlignment="0" applyProtection="0"/>
    <xf numFmtId="0" fontId="36" fillId="20" borderId="125" applyNumberFormat="0" applyAlignment="0" applyProtection="0"/>
    <xf numFmtId="0" fontId="36" fillId="20" borderId="125" applyNumberFormat="0" applyAlignment="0" applyProtection="0"/>
    <xf numFmtId="0" fontId="36" fillId="20" borderId="125" applyNumberFormat="0" applyAlignment="0" applyProtection="0"/>
    <xf numFmtId="0" fontId="36" fillId="20" borderId="125" applyNumberFormat="0" applyAlignment="0" applyProtection="0"/>
    <xf numFmtId="0" fontId="36" fillId="20" borderId="125" applyNumberFormat="0" applyAlignment="0" applyProtection="0"/>
    <xf numFmtId="0" fontId="36" fillId="20" borderId="125" applyNumberFormat="0" applyAlignment="0" applyProtection="0"/>
    <xf numFmtId="0" fontId="36" fillId="20" borderId="125" applyNumberFormat="0" applyAlignment="0" applyProtection="0"/>
    <xf numFmtId="0" fontId="36" fillId="20" borderId="125" applyNumberFormat="0" applyAlignment="0" applyProtection="0"/>
    <xf numFmtId="0" fontId="36" fillId="20" borderId="125" applyNumberFormat="0" applyAlignment="0" applyProtection="0"/>
    <xf numFmtId="0" fontId="36" fillId="20" borderId="125" applyNumberFormat="0" applyAlignment="0" applyProtection="0"/>
    <xf numFmtId="0" fontId="38" fillId="0" borderId="132" applyNumberFormat="0" applyFill="0" applyAlignment="0" applyProtection="0"/>
    <xf numFmtId="0" fontId="36" fillId="20" borderId="131" applyNumberFormat="0" applyAlignment="0" applyProtection="0"/>
    <xf numFmtId="0" fontId="21" fillId="27" borderId="130" applyNumberFormat="0" applyFont="0" applyAlignment="0" applyProtection="0"/>
    <xf numFmtId="0" fontId="87" fillId="0" borderId="128"/>
    <xf numFmtId="0" fontId="32" fillId="7" borderId="129" applyNumberFormat="0" applyAlignment="0" applyProtection="0"/>
    <xf numFmtId="0" fontId="25" fillId="20" borderId="129" applyNumberFormat="0" applyAlignment="0" applyProtection="0"/>
    <xf numFmtId="0" fontId="38" fillId="0" borderId="126" applyNumberFormat="0" applyFill="0" applyAlignment="0" applyProtection="0"/>
    <xf numFmtId="0" fontId="38" fillId="0" borderId="126" applyNumberFormat="0" applyFill="0" applyAlignment="0" applyProtection="0"/>
    <xf numFmtId="0" fontId="38" fillId="0" borderId="126" applyNumberFormat="0" applyFill="0" applyAlignment="0" applyProtection="0"/>
    <xf numFmtId="0" fontId="38" fillId="0" borderId="126" applyNumberFormat="0" applyFill="0" applyAlignment="0" applyProtection="0"/>
    <xf numFmtId="0" fontId="38" fillId="0" borderId="126" applyNumberFormat="0" applyFill="0" applyAlignment="0" applyProtection="0"/>
    <xf numFmtId="0" fontId="38" fillId="0" borderId="126" applyNumberFormat="0" applyFill="0" applyAlignment="0" applyProtection="0"/>
    <xf numFmtId="0" fontId="38" fillId="0" borderId="126" applyNumberFormat="0" applyFill="0" applyAlignment="0" applyProtection="0"/>
    <xf numFmtId="0" fontId="38" fillId="0" borderId="126" applyNumberFormat="0" applyFill="0" applyAlignment="0" applyProtection="0"/>
    <xf numFmtId="0" fontId="38" fillId="0" borderId="126" applyNumberFormat="0" applyFill="0" applyAlignment="0" applyProtection="0"/>
    <xf numFmtId="0" fontId="38" fillId="0" borderId="126" applyNumberFormat="0" applyFill="0" applyAlignment="0" applyProtection="0"/>
    <xf numFmtId="0" fontId="38" fillId="0" borderId="126" applyNumberFormat="0" applyFill="0" applyAlignment="0" applyProtection="0"/>
    <xf numFmtId="0" fontId="38" fillId="0" borderId="126" applyNumberFormat="0" applyFill="0" applyAlignment="0" applyProtection="0"/>
    <xf numFmtId="0" fontId="38" fillId="0" borderId="126" applyNumberFormat="0" applyFill="0" applyAlignment="0" applyProtection="0"/>
    <xf numFmtId="0" fontId="38" fillId="0" borderId="126" applyNumberFormat="0" applyFill="0" applyAlignment="0" applyProtection="0"/>
    <xf numFmtId="0" fontId="38" fillId="0" borderId="126" applyNumberFormat="0" applyFill="0" applyAlignment="0" applyProtection="0"/>
    <xf numFmtId="0" fontId="38" fillId="0" borderId="126" applyNumberFormat="0" applyFill="0" applyAlignment="0" applyProtection="0"/>
    <xf numFmtId="0" fontId="38" fillId="0" borderId="126" applyNumberFormat="0" applyFill="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21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21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21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21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21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15" fillId="27" borderId="130" applyNumberFormat="0" applyFont="0" applyAlignment="0" applyProtection="0"/>
    <xf numFmtId="194" fontId="42" fillId="28" borderId="130" applyAlignment="0" applyProtection="0"/>
    <xf numFmtId="0" fontId="21" fillId="27" borderId="130" applyNumberFormat="0" applyFont="0" applyAlignment="0" applyProtection="0"/>
    <xf numFmtId="194" fontId="42" fillId="28" borderId="130" applyAlignment="0" applyProtection="0"/>
    <xf numFmtId="0" fontId="21" fillId="27" borderId="130" applyNumberFormat="0" applyFont="0" applyAlignment="0" applyProtection="0"/>
    <xf numFmtId="194" fontId="42" fillId="28" borderId="130" applyAlignment="0" applyProtection="0"/>
    <xf numFmtId="0" fontId="36" fillId="20" borderId="131" applyNumberFormat="0" applyAlignment="0" applyProtection="0"/>
    <xf numFmtId="0" fontId="36" fillId="20" borderId="131" applyNumberFormat="0" applyAlignment="0" applyProtection="0"/>
    <xf numFmtId="0" fontId="36" fillId="20" borderId="131" applyNumberFormat="0" applyAlignment="0" applyProtection="0"/>
    <xf numFmtId="0" fontId="36" fillId="20" borderId="131" applyNumberFormat="0" applyAlignment="0" applyProtection="0"/>
    <xf numFmtId="0" fontId="36" fillId="20" borderId="131" applyNumberFormat="0" applyAlignment="0" applyProtection="0"/>
    <xf numFmtId="0" fontId="36" fillId="20" borderId="131" applyNumberFormat="0" applyAlignment="0" applyProtection="0"/>
    <xf numFmtId="0" fontId="36" fillId="20" borderId="131" applyNumberFormat="0" applyAlignment="0" applyProtection="0"/>
    <xf numFmtId="0" fontId="36" fillId="20" borderId="131" applyNumberFormat="0" applyAlignment="0" applyProtection="0"/>
    <xf numFmtId="0" fontId="36" fillId="20" borderId="131" applyNumberFormat="0" applyAlignment="0" applyProtection="0"/>
    <xf numFmtId="0" fontId="36" fillId="20" borderId="131" applyNumberFormat="0" applyAlignment="0" applyProtection="0"/>
    <xf numFmtId="0" fontId="36" fillId="20" borderId="131" applyNumberFormat="0" applyAlignment="0" applyProtection="0"/>
    <xf numFmtId="0" fontId="36" fillId="20" borderId="131" applyNumberFormat="0" applyAlignment="0" applyProtection="0"/>
    <xf numFmtId="0" fontId="36" fillId="20" borderId="131" applyNumberFormat="0" applyAlignment="0" applyProtection="0"/>
    <xf numFmtId="0" fontId="36" fillId="20" borderId="131" applyNumberFormat="0" applyAlignment="0" applyProtection="0"/>
    <xf numFmtId="0" fontId="36" fillId="20" borderId="131" applyNumberFormat="0" applyAlignment="0" applyProtection="0"/>
    <xf numFmtId="0" fontId="36" fillId="20" borderId="131" applyNumberFormat="0" applyAlignment="0" applyProtection="0"/>
    <xf numFmtId="0" fontId="36" fillId="20" borderId="131" applyNumberFormat="0" applyAlignment="0" applyProtection="0"/>
    <xf numFmtId="0" fontId="87" fillId="0" borderId="134"/>
    <xf numFmtId="0" fontId="38" fillId="0" borderId="132" applyNumberFormat="0" applyFill="0" applyAlignment="0" applyProtection="0"/>
    <xf numFmtId="0" fontId="38" fillId="0" borderId="132" applyNumberFormat="0" applyFill="0" applyAlignment="0" applyProtection="0"/>
    <xf numFmtId="0" fontId="38" fillId="0" borderId="132" applyNumberFormat="0" applyFill="0" applyAlignment="0" applyProtection="0"/>
    <xf numFmtId="0" fontId="38" fillId="0" borderId="132" applyNumberFormat="0" applyFill="0" applyAlignment="0" applyProtection="0"/>
    <xf numFmtId="0" fontId="38" fillId="0" borderId="132" applyNumberFormat="0" applyFill="0" applyAlignment="0" applyProtection="0"/>
    <xf numFmtId="0" fontId="38" fillId="0" borderId="132" applyNumberFormat="0" applyFill="0" applyAlignment="0" applyProtection="0"/>
    <xf numFmtId="0" fontId="38" fillId="0" borderId="132" applyNumberFormat="0" applyFill="0" applyAlignment="0" applyProtection="0"/>
    <xf numFmtId="0" fontId="38" fillId="0" borderId="132" applyNumberFormat="0" applyFill="0" applyAlignment="0" applyProtection="0"/>
    <xf numFmtId="0" fontId="38" fillId="0" borderId="132" applyNumberFormat="0" applyFill="0" applyAlignment="0" applyProtection="0"/>
    <xf numFmtId="0" fontId="38" fillId="0" borderId="132" applyNumberFormat="0" applyFill="0" applyAlignment="0" applyProtection="0"/>
    <xf numFmtId="0" fontId="38" fillId="0" borderId="132" applyNumberFormat="0" applyFill="0" applyAlignment="0" applyProtection="0"/>
    <xf numFmtId="0" fontId="38" fillId="0" borderId="132" applyNumberFormat="0" applyFill="0" applyAlignment="0" applyProtection="0"/>
    <xf numFmtId="0" fontId="38" fillId="0" borderId="132" applyNumberFormat="0" applyFill="0" applyAlignment="0" applyProtection="0"/>
    <xf numFmtId="0" fontId="38" fillId="0" borderId="132" applyNumberFormat="0" applyFill="0" applyAlignment="0" applyProtection="0"/>
    <xf numFmtId="0" fontId="38" fillId="0" borderId="132" applyNumberFormat="0" applyFill="0" applyAlignment="0" applyProtection="0"/>
    <xf numFmtId="0" fontId="38" fillId="0" borderId="132" applyNumberFormat="0" applyFill="0" applyAlignment="0" applyProtection="0"/>
    <xf numFmtId="0" fontId="38" fillId="0" borderId="132" applyNumberFormat="0" applyFill="0" applyAlignment="0" applyProtection="0"/>
  </cellStyleXfs>
  <cellXfs count="701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165" fontId="95" fillId="0" borderId="0" xfId="1448" applyNumberFormat="1" applyFont="1" applyAlignment="1">
      <alignment wrapText="1"/>
    </xf>
    <xf numFmtId="165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167" fontId="129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15" fillId="33" borderId="0" xfId="0" applyFont="1" applyFill="1" applyAlignment="1">
      <alignment horizontal="center"/>
    </xf>
    <xf numFmtId="0" fontId="115" fillId="33" borderId="26" xfId="0" applyFont="1" applyFill="1" applyBorder="1" applyAlignment="1">
      <alignment horizontal="center"/>
    </xf>
    <xf numFmtId="0" fontId="115" fillId="33" borderId="36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5" fillId="33" borderId="37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37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5" fillId="33" borderId="38" xfId="0" applyFont="1" applyFill="1" applyBorder="1" applyAlignment="1">
      <alignment horizontal="center"/>
    </xf>
    <xf numFmtId="0" fontId="92" fillId="33" borderId="40" xfId="0" applyFont="1" applyFill="1" applyBorder="1" applyAlignment="1">
      <alignment horizontal="center" vertical="center"/>
    </xf>
    <xf numFmtId="0" fontId="92" fillId="33" borderId="47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/>
    </xf>
    <xf numFmtId="0" fontId="115" fillId="33" borderId="3" xfId="0" applyFont="1" applyFill="1" applyBorder="1" applyAlignment="1">
      <alignment vertical="top" wrapText="1"/>
    </xf>
    <xf numFmtId="0" fontId="115" fillId="33" borderId="39" xfId="0" applyFont="1" applyFill="1" applyBorder="1" applyAlignment="1">
      <alignment vertical="top" wrapText="1"/>
    </xf>
    <xf numFmtId="0" fontId="119" fillId="33" borderId="68" xfId="0" applyFont="1" applyFill="1" applyBorder="1" applyAlignment="1">
      <alignment horizontal="center" vertical="center"/>
    </xf>
    <xf numFmtId="0" fontId="119" fillId="33" borderId="69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20" fillId="33" borderId="70" xfId="0" applyFont="1" applyFill="1" applyBorder="1" applyAlignment="1">
      <alignment horizontal="center" vertical="top" wrapText="1"/>
    </xf>
    <xf numFmtId="0" fontId="120" fillId="33" borderId="71" xfId="0" applyFont="1" applyFill="1" applyBorder="1" applyAlignment="1">
      <alignment horizontal="center" vertical="top" wrapText="1"/>
    </xf>
    <xf numFmtId="0" fontId="115" fillId="33" borderId="0" xfId="0" applyFont="1" applyFill="1" applyAlignment="1">
      <alignment vertical="top" wrapText="1"/>
    </xf>
    <xf numFmtId="0" fontId="115" fillId="33" borderId="37" xfId="0" applyFont="1" applyFill="1" applyBorder="1" applyAlignment="1">
      <alignment vertical="top" wrapText="1"/>
    </xf>
    <xf numFmtId="0" fontId="115" fillId="33" borderId="42" xfId="0" applyFont="1" applyFill="1" applyBorder="1" applyAlignment="1">
      <alignment horizontal="center"/>
    </xf>
    <xf numFmtId="0" fontId="115" fillId="33" borderId="43" xfId="0" applyFont="1" applyFill="1" applyBorder="1" applyAlignment="1">
      <alignment vertical="top" wrapText="1"/>
    </xf>
    <xf numFmtId="0" fontId="115" fillId="33" borderId="44" xfId="0" applyFont="1" applyFill="1" applyBorder="1" applyAlignment="1">
      <alignment vertical="top" wrapText="1"/>
    </xf>
    <xf numFmtId="0" fontId="115" fillId="33" borderId="45" xfId="0" applyFont="1" applyFill="1" applyBorder="1" applyAlignment="1">
      <alignment vertical="top" wrapText="1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5" fillId="33" borderId="39" xfId="0" applyFont="1" applyFill="1" applyBorder="1" applyAlignment="1">
      <alignment horizontal="center"/>
    </xf>
    <xf numFmtId="20" fontId="115" fillId="33" borderId="39" xfId="0" applyNumberFormat="1" applyFont="1" applyFill="1" applyBorder="1" applyAlignment="1">
      <alignment horizontal="center"/>
    </xf>
    <xf numFmtId="0" fontId="115" fillId="33" borderId="42" xfId="0" applyFont="1" applyFill="1" applyBorder="1" applyAlignment="1">
      <alignment horizontal="center" vertical="center" wrapText="1"/>
    </xf>
    <xf numFmtId="0" fontId="120" fillId="33" borderId="34" xfId="0" applyFont="1" applyFill="1" applyBorder="1" applyAlignment="1">
      <alignment horizontal="center"/>
    </xf>
    <xf numFmtId="0" fontId="120" fillId="33" borderId="19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5" fillId="33" borderId="46" xfId="0" applyFont="1" applyFill="1" applyBorder="1" applyAlignment="1">
      <alignment horizontal="center"/>
    </xf>
    <xf numFmtId="0" fontId="147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9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2" fillId="0" borderId="0" xfId="1538"/>
    <xf numFmtId="167" fontId="112" fillId="0" borderId="0" xfId="1538" applyNumberFormat="1"/>
    <xf numFmtId="0" fontId="61" fillId="0" borderId="0" xfId="1538" applyFont="1"/>
    <xf numFmtId="0" fontId="128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167" fontId="0" fillId="0" borderId="3" xfId="1026" applyFont="1" applyFill="1" applyBorder="1" applyProtection="1"/>
    <xf numFmtId="167" fontId="112" fillId="0" borderId="3" xfId="1538" applyNumberFormat="1" applyBorder="1"/>
    <xf numFmtId="167" fontId="140" fillId="0" borderId="3" xfId="1026" applyFont="1" applyBorder="1" applyProtection="1"/>
    <xf numFmtId="167" fontId="0" fillId="0" borderId="3" xfId="1026" applyFont="1" applyBorder="1" applyProtection="1"/>
    <xf numFmtId="167" fontId="128" fillId="0" borderId="3" xfId="1538" applyNumberFormat="1" applyFont="1" applyBorder="1"/>
    <xf numFmtId="0" fontId="61" fillId="0" borderId="3" xfId="1538" applyFont="1" applyBorder="1"/>
    <xf numFmtId="165" fontId="112" fillId="0" borderId="3" xfId="1538" applyNumberFormat="1" applyBorder="1"/>
    <xf numFmtId="167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2" fillId="29" borderId="3" xfId="1538" applyFill="1" applyBorder="1"/>
    <xf numFmtId="169" fontId="112" fillId="29" borderId="3" xfId="1538" applyNumberFormat="1" applyFill="1" applyBorder="1" applyAlignment="1">
      <alignment horizontal="right"/>
    </xf>
    <xf numFmtId="43" fontId="112" fillId="0" borderId="0" xfId="1538" applyNumberFormat="1"/>
    <xf numFmtId="167" fontId="112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167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2" fillId="0" borderId="21" xfId="1653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0" fillId="0" borderId="20" xfId="1652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7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3" fontId="150" fillId="0" borderId="39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37" fontId="150" fillId="0" borderId="0" xfId="1614" applyNumberFormat="1" applyFont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165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79" xfId="2670" applyFont="1" applyFill="1" applyBorder="1" applyAlignment="1">
      <alignment horizontal="left" vertical="center"/>
    </xf>
    <xf numFmtId="0" fontId="160" fillId="39" borderId="80" xfId="2670" applyFont="1" applyFill="1" applyBorder="1" applyAlignment="1">
      <alignment horizontal="center" vertical="center"/>
    </xf>
    <xf numFmtId="0" fontId="160" fillId="39" borderId="82" xfId="2670" applyFont="1" applyFill="1" applyBorder="1" applyAlignment="1">
      <alignment horizontal="left" vertical="center"/>
    </xf>
    <xf numFmtId="0" fontId="160" fillId="39" borderId="78" xfId="2670" applyFont="1" applyFill="1" applyBorder="1" applyAlignment="1">
      <alignment horizontal="center" vertical="center"/>
    </xf>
    <xf numFmtId="0" fontId="160" fillId="39" borderId="84" xfId="2670" applyFont="1" applyFill="1" applyBorder="1" applyAlignment="1">
      <alignment horizontal="left" vertical="center"/>
    </xf>
    <xf numFmtId="0" fontId="160" fillId="39" borderId="85" xfId="2670" applyFont="1" applyFill="1" applyBorder="1" applyAlignment="1">
      <alignment horizontal="center" vertical="center"/>
    </xf>
    <xf numFmtId="167" fontId="141" fillId="40" borderId="81" xfId="2672" applyFont="1" applyFill="1" applyBorder="1" applyAlignment="1" applyProtection="1">
      <alignment horizontal="right" vertical="center" wrapText="1"/>
      <protection locked="0"/>
    </xf>
    <xf numFmtId="167" fontId="141" fillId="40" borderId="83" xfId="2672" applyFont="1" applyFill="1" applyBorder="1" applyAlignment="1" applyProtection="1">
      <alignment horizontal="right" vertical="center"/>
      <protection locked="0"/>
    </xf>
    <xf numFmtId="169" fontId="141" fillId="40" borderId="83" xfId="2672" applyNumberFormat="1" applyFont="1" applyFill="1" applyBorder="1" applyAlignment="1" applyProtection="1">
      <alignment horizontal="right" vertical="center"/>
      <protection locked="0"/>
    </xf>
    <xf numFmtId="169" fontId="141" fillId="40" borderId="86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8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2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90" xfId="2673" applyFont="1" applyFill="1" applyBorder="1" applyAlignment="1">
      <alignment vertical="center" wrapText="1"/>
    </xf>
    <xf numFmtId="0" fontId="147" fillId="43" borderId="90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5" fillId="0" borderId="58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4" xfId="2673" applyFont="1" applyFill="1" applyBorder="1" applyAlignment="1">
      <alignment vertical="center" wrapText="1"/>
    </xf>
    <xf numFmtId="0" fontId="106" fillId="0" borderId="64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4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53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169" fontId="145" fillId="47" borderId="0" xfId="2672" applyNumberFormat="1" applyFont="1" applyFill="1" applyBorder="1" applyAlignment="1" applyProtection="1">
      <alignment horizontal="right" vertical="center"/>
    </xf>
    <xf numFmtId="0" fontId="10" fillId="0" borderId="21" xfId="1614" applyFont="1" applyBorder="1" applyAlignment="1">
      <alignment horizontal="center" vertical="center" wrapText="1"/>
    </xf>
    <xf numFmtId="0" fontId="92" fillId="0" borderId="97" xfId="1450" applyFont="1" applyBorder="1" applyAlignment="1">
      <alignment horizontal="left" vertical="center"/>
    </xf>
    <xf numFmtId="0" fontId="92" fillId="0" borderId="98" xfId="1450" applyFont="1" applyBorder="1" applyAlignment="1">
      <alignment horizontal="left" vertical="center"/>
    </xf>
    <xf numFmtId="0" fontId="92" fillId="0" borderId="40" xfId="1450" applyFont="1" applyBorder="1" applyAlignment="1">
      <alignment horizontal="center" vertical="center"/>
    </xf>
    <xf numFmtId="0" fontId="92" fillId="0" borderId="47" xfId="1450" applyFont="1" applyBorder="1" applyAlignment="1">
      <alignment horizontal="center" vertical="center"/>
    </xf>
    <xf numFmtId="0" fontId="43" fillId="0" borderId="20" xfId="1615" applyFont="1" applyBorder="1" applyAlignment="1">
      <alignment horizontal="center" vertical="center"/>
    </xf>
    <xf numFmtId="0" fontId="43" fillId="0" borderId="21" xfId="1615" applyFont="1" applyBorder="1" applyAlignment="1">
      <alignment horizontal="left" vertical="center" wrapText="1"/>
    </xf>
    <xf numFmtId="0" fontId="114" fillId="0" borderId="20" xfId="1653" applyFont="1" applyBorder="1" applyAlignment="1">
      <alignment horizontal="center" vertical="center"/>
    </xf>
    <xf numFmtId="0" fontId="175" fillId="0" borderId="20" xfId="1653" applyFont="1" applyBorder="1" applyAlignment="1">
      <alignment horizontal="center" vertical="center"/>
    </xf>
    <xf numFmtId="0" fontId="175" fillId="0" borderId="21" xfId="1653" applyFont="1" applyBorder="1" applyAlignment="1">
      <alignment vertical="center" wrapText="1"/>
    </xf>
    <xf numFmtId="0" fontId="128" fillId="0" borderId="20" xfId="1652" applyFont="1" applyBorder="1" applyAlignment="1">
      <alignment horizontal="center" vertical="center"/>
    </xf>
    <xf numFmtId="0" fontId="128" fillId="0" borderId="21" xfId="1652" applyFont="1" applyBorder="1" applyAlignment="1">
      <alignment horizontal="left"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21" fillId="0" borderId="21" xfId="1451" applyBorder="1" applyAlignment="1">
      <alignment horizontal="left" wrapText="1"/>
    </xf>
    <xf numFmtId="0" fontId="4" fillId="0" borderId="21" xfId="1652" applyFont="1" applyBorder="1" applyAlignment="1">
      <alignment horizontal="center" vertical="center"/>
    </xf>
    <xf numFmtId="0" fontId="10" fillId="0" borderId="21" xfId="1614" applyFont="1" applyBorder="1" applyAlignment="1">
      <alignment horizontal="center" vertical="center"/>
    </xf>
    <xf numFmtId="0" fontId="116" fillId="33" borderId="0" xfId="0" applyFont="1" applyFill="1" applyAlignment="1">
      <alignment horizontal="left"/>
    </xf>
    <xf numFmtId="0" fontId="115" fillId="33" borderId="0" xfId="0" quotePrefix="1" applyFont="1" applyFill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14" fillId="0" borderId="20" xfId="1652" applyFont="1" applyBorder="1" applyAlignment="1">
      <alignment horizontal="center" vertical="center"/>
    </xf>
    <xf numFmtId="0" fontId="44" fillId="0" borderId="21" xfId="0" applyFont="1" applyBorder="1" applyAlignment="1">
      <alignment horizontal="left" vertical="center" wrapText="1"/>
    </xf>
    <xf numFmtId="3" fontId="10" fillId="0" borderId="21" xfId="1599" applyNumberFormat="1" applyFont="1" applyBorder="1" applyAlignment="1">
      <alignment horizontal="center" vertical="center"/>
    </xf>
    <xf numFmtId="0" fontId="44" fillId="0" borderId="21" xfId="1450" applyFont="1" applyBorder="1" applyAlignment="1">
      <alignment vertical="center" wrapText="1"/>
    </xf>
    <xf numFmtId="0" fontId="114" fillId="0" borderId="21" xfId="1652" applyFont="1" applyBorder="1" applyAlignment="1">
      <alignment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7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2" fillId="0" borderId="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164" fillId="42" borderId="87" xfId="2673" applyFont="1" applyFill="1" applyBorder="1" applyAlignment="1">
      <alignment horizontal="center" vertical="center" wrapText="1"/>
    </xf>
    <xf numFmtId="0" fontId="164" fillId="42" borderId="88" xfId="2673" applyFont="1" applyFill="1" applyBorder="1" applyAlignment="1">
      <alignment horizontal="center" vertical="center" wrapText="1"/>
    </xf>
    <xf numFmtId="0" fontId="164" fillId="42" borderId="89" xfId="2673" applyFont="1" applyFill="1" applyBorder="1" applyAlignment="1">
      <alignment horizontal="center" vertical="center" wrapText="1"/>
    </xf>
    <xf numFmtId="43" fontId="147" fillId="43" borderId="7" xfId="2673" applyNumberFormat="1" applyFont="1" applyFill="1" applyBorder="1" applyAlignment="1">
      <alignment horizontal="center" vertical="center" wrapText="1"/>
    </xf>
    <xf numFmtId="0" fontId="147" fillId="43" borderId="58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8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8" xfId="2673" applyFont="1" applyFill="1" applyBorder="1" applyAlignment="1">
      <alignment horizontal="center" vertical="center" wrapText="1"/>
    </xf>
    <xf numFmtId="43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2" fontId="135" fillId="43" borderId="62" xfId="2673" applyNumberFormat="1" applyFont="1" applyFill="1" applyBorder="1" applyAlignment="1">
      <alignment horizontal="center" vertical="center" wrapText="1"/>
    </xf>
    <xf numFmtId="2" fontId="135" fillId="43" borderId="91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8" xfId="2673" applyFont="1" applyBorder="1" applyAlignment="1">
      <alignment horizontal="center" vertical="center" wrapText="1"/>
    </xf>
    <xf numFmtId="0" fontId="167" fillId="44" borderId="3" xfId="2673" applyFont="1" applyFill="1" applyBorder="1" applyAlignment="1">
      <alignment horizontal="center" vertical="center" wrapText="1"/>
    </xf>
    <xf numFmtId="0" fontId="167" fillId="44" borderId="39" xfId="2673" applyFont="1" applyFill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2" fontId="135" fillId="45" borderId="3" xfId="2673" applyNumberFormat="1" applyFont="1" applyFill="1" applyBorder="1" applyAlignment="1">
      <alignment horizontal="center" vertical="center" wrapText="1"/>
    </xf>
    <xf numFmtId="2" fontId="135" fillId="45" borderId="39" xfId="2673" applyNumberFormat="1" applyFont="1" applyFill="1" applyBorder="1" applyAlignment="1">
      <alignment horizontal="center" vertical="center" wrapText="1"/>
    </xf>
    <xf numFmtId="9" fontId="135" fillId="35" borderId="64" xfId="2675" applyFont="1" applyFill="1" applyBorder="1" applyAlignment="1">
      <alignment horizontal="center" vertical="center" wrapText="1"/>
    </xf>
    <xf numFmtId="9" fontId="135" fillId="35" borderId="65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8" fillId="0" borderId="92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93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43" fontId="147" fillId="35" borderId="7" xfId="2673" applyNumberFormat="1" applyFont="1" applyFill="1" applyBorder="1" applyAlignment="1">
      <alignment horizontal="center" vertical="center" wrapText="1"/>
    </xf>
    <xf numFmtId="0" fontId="147" fillId="35" borderId="58" xfId="2673" applyFont="1" applyFill="1" applyBorder="1" applyAlignment="1">
      <alignment horizontal="center" vertical="center" wrapText="1"/>
    </xf>
    <xf numFmtId="2" fontId="135" fillId="35" borderId="62" xfId="2673" applyNumberFormat="1" applyFont="1" applyFill="1" applyBorder="1" applyAlignment="1">
      <alignment horizontal="center" vertical="center" wrapText="1"/>
    </xf>
    <xf numFmtId="2" fontId="135" fillId="35" borderId="91" xfId="2673" applyNumberFormat="1" applyFont="1" applyFill="1" applyBorder="1" applyAlignment="1">
      <alignment horizontal="center" vertical="center" wrapText="1"/>
    </xf>
    <xf numFmtId="0" fontId="164" fillId="41" borderId="87" xfId="2673" applyFont="1" applyFill="1" applyBorder="1" applyAlignment="1">
      <alignment horizontal="center" vertical="center" wrapText="1"/>
    </xf>
    <xf numFmtId="0" fontId="164" fillId="41" borderId="88" xfId="2673" applyFont="1" applyFill="1" applyBorder="1" applyAlignment="1">
      <alignment horizontal="center" vertical="center" wrapText="1"/>
    </xf>
    <xf numFmtId="0" fontId="164" fillId="41" borderId="89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8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8" xfId="2673" applyNumberFormat="1" applyFont="1" applyFill="1" applyBorder="1" applyAlignment="1">
      <alignment horizontal="center" vertical="center" wrapText="1"/>
    </xf>
    <xf numFmtId="9" fontId="135" fillId="0" borderId="64" xfId="2675" applyFont="1" applyFill="1" applyBorder="1" applyAlignment="1">
      <alignment horizontal="center" vertical="center" wrapText="1"/>
    </xf>
    <xf numFmtId="9" fontId="135" fillId="0" borderId="65" xfId="2675" applyFont="1" applyFill="1" applyBorder="1" applyAlignment="1">
      <alignment horizontal="center" vertical="center" wrapText="1"/>
    </xf>
    <xf numFmtId="0" fontId="9" fillId="34" borderId="76" xfId="2670" applyFill="1" applyBorder="1" applyAlignment="1">
      <alignment horizontal="center" vertical="center"/>
    </xf>
    <xf numFmtId="0" fontId="139" fillId="0" borderId="77" xfId="2670" applyFont="1" applyBorder="1" applyAlignment="1">
      <alignment horizontal="left" vertical="center"/>
    </xf>
    <xf numFmtId="0" fontId="112" fillId="38" borderId="3" xfId="1538" applyFill="1" applyBorder="1" applyAlignment="1">
      <alignment horizontal="center" vertical="center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 wrapText="1"/>
    </xf>
    <xf numFmtId="0" fontId="52" fillId="0" borderId="44" xfId="1538" applyFont="1" applyBorder="1" applyAlignment="1">
      <alignment horizontal="left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6" fillId="35" borderId="3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15" fillId="33" borderId="7" xfId="0" applyFont="1" applyFill="1" applyBorder="1" applyAlignment="1">
      <alignment horizontal="center"/>
    </xf>
    <xf numFmtId="0" fontId="115" fillId="33" borderId="41" xfId="0" applyFont="1" applyFill="1" applyBorder="1" applyAlignment="1">
      <alignment horizontal="center"/>
    </xf>
    <xf numFmtId="0" fontId="115" fillId="33" borderId="64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15" fillId="33" borderId="39" xfId="0" applyFont="1" applyFill="1" applyBorder="1" applyAlignment="1">
      <alignment horizontal="center"/>
    </xf>
    <xf numFmtId="0" fontId="115" fillId="33" borderId="62" xfId="0" applyFont="1" applyFill="1" applyBorder="1" applyAlignment="1">
      <alignment horizontal="center"/>
    </xf>
    <xf numFmtId="0" fontId="115" fillId="33" borderId="63" xfId="0" applyFont="1" applyFill="1" applyBorder="1" applyAlignment="1">
      <alignment horizontal="center"/>
    </xf>
    <xf numFmtId="0" fontId="115" fillId="33" borderId="65" xfId="0" applyFont="1" applyFill="1" applyBorder="1" applyAlignment="1">
      <alignment horizontal="center"/>
    </xf>
    <xf numFmtId="0" fontId="115" fillId="33" borderId="56" xfId="0" applyFont="1" applyFill="1" applyBorder="1" applyAlignment="1">
      <alignment horizontal="center" vertical="center"/>
    </xf>
    <xf numFmtId="0" fontId="115" fillId="33" borderId="57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4" xfId="0" applyFont="1" applyFill="1" applyBorder="1" applyAlignment="1">
      <alignment horizontal="center" vertical="center" wrapText="1"/>
    </xf>
    <xf numFmtId="0" fontId="115" fillId="33" borderId="45" xfId="0" applyFont="1" applyFill="1" applyBorder="1" applyAlignment="1">
      <alignment horizontal="center" vertical="center" wrapText="1"/>
    </xf>
    <xf numFmtId="15" fontId="115" fillId="33" borderId="3" xfId="0" applyNumberFormat="1" applyFont="1" applyFill="1" applyBorder="1" applyAlignment="1">
      <alignment horizontal="center"/>
    </xf>
    <xf numFmtId="0" fontId="92" fillId="33" borderId="59" xfId="0" applyFont="1" applyFill="1" applyBorder="1" applyAlignment="1">
      <alignment horizontal="left" vertical="center"/>
    </xf>
    <xf numFmtId="0" fontId="92" fillId="33" borderId="40" xfId="0" applyFont="1" applyFill="1" applyBorder="1" applyAlignment="1">
      <alignment horizontal="left" vertical="center"/>
    </xf>
    <xf numFmtId="0" fontId="120" fillId="33" borderId="74" xfId="0" applyFont="1" applyFill="1" applyBorder="1" applyAlignment="1">
      <alignment horizontal="center" vertical="center" wrapText="1"/>
    </xf>
    <xf numFmtId="0" fontId="120" fillId="33" borderId="75" xfId="0" applyFont="1" applyFill="1" applyBorder="1" applyAlignment="1">
      <alignment horizontal="center" vertical="center" wrapText="1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16" fillId="33" borderId="18" xfId="0" applyFont="1" applyFill="1" applyBorder="1" applyAlignment="1">
      <alignment horizontal="left" vertical="top" wrapText="1"/>
    </xf>
    <xf numFmtId="0" fontId="116" fillId="33" borderId="0" xfId="0" applyFont="1" applyFill="1" applyAlignment="1">
      <alignment horizontal="left" vertical="top" wrapText="1"/>
    </xf>
    <xf numFmtId="0" fontId="92" fillId="0" borderId="60" xfId="1450" applyFont="1" applyBorder="1" applyAlignment="1">
      <alignment horizontal="left" vertical="center"/>
    </xf>
    <xf numFmtId="0" fontId="92" fillId="0" borderId="61" xfId="1450" applyFont="1" applyBorder="1" applyAlignment="1">
      <alignment horizontal="left" vertical="center"/>
    </xf>
    <xf numFmtId="49" fontId="115" fillId="33" borderId="3" xfId="0" applyNumberFormat="1" applyFont="1" applyFill="1" applyBorder="1" applyAlignment="1">
      <alignment horizontal="center" vertical="center"/>
    </xf>
    <xf numFmtId="0" fontId="119" fillId="33" borderId="72" xfId="0" applyFont="1" applyFill="1" applyBorder="1" applyAlignment="1">
      <alignment horizontal="left" vertical="center"/>
    </xf>
    <xf numFmtId="0" fontId="119" fillId="33" borderId="73" xfId="0" applyFont="1" applyFill="1" applyBorder="1" applyAlignment="1">
      <alignment horizontal="left" vertical="center"/>
    </xf>
    <xf numFmtId="49" fontId="115" fillId="33" borderId="3" xfId="0" applyNumberFormat="1" applyFont="1" applyFill="1" applyBorder="1" applyAlignment="1">
      <alignment horizontal="center" vertical="top" wrapText="1"/>
    </xf>
    <xf numFmtId="49" fontId="115" fillId="33" borderId="50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49" fontId="115" fillId="33" borderId="50" xfId="0" applyNumberFormat="1" applyFont="1" applyFill="1" applyBorder="1" applyAlignment="1">
      <alignment horizontal="center" vertical="center"/>
    </xf>
    <xf numFmtId="49" fontId="115" fillId="33" borderId="41" xfId="0" applyNumberFormat="1" applyFont="1" applyFill="1" applyBorder="1" applyAlignment="1">
      <alignment horizontal="center" vertical="center"/>
    </xf>
    <xf numFmtId="0" fontId="133" fillId="33" borderId="60" xfId="0" applyFont="1" applyFill="1" applyBorder="1" applyAlignment="1">
      <alignment horizontal="left" vertical="center"/>
    </xf>
    <xf numFmtId="0" fontId="133" fillId="33" borderId="61" xfId="0" applyFont="1" applyFill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left" vertical="center"/>
    </xf>
    <xf numFmtId="49" fontId="115" fillId="33" borderId="41" xfId="0" applyNumberFormat="1" applyFont="1" applyFill="1" applyBorder="1" applyAlignment="1">
      <alignment horizontal="left" vertical="center"/>
    </xf>
    <xf numFmtId="0" fontId="92" fillId="0" borderId="97" xfId="1450" applyFont="1" applyBorder="1" applyAlignment="1">
      <alignment horizontal="left" vertical="center"/>
    </xf>
    <xf numFmtId="0" fontId="92" fillId="0" borderId="98" xfId="1450" applyFont="1" applyBorder="1" applyAlignment="1">
      <alignment horizontal="left" vertical="center"/>
    </xf>
    <xf numFmtId="0" fontId="116" fillId="33" borderId="18" xfId="0" applyFont="1" applyFill="1" applyBorder="1" applyAlignment="1">
      <alignment horizontal="left"/>
    </xf>
    <xf numFmtId="0" fontId="116" fillId="33" borderId="0" xfId="0" applyFont="1" applyFill="1" applyAlignment="1">
      <alignment horizontal="left"/>
    </xf>
    <xf numFmtId="0" fontId="116" fillId="33" borderId="37" xfId="0" applyFont="1" applyFill="1" applyBorder="1" applyAlignment="1">
      <alignment horizontal="left"/>
    </xf>
    <xf numFmtId="0" fontId="132" fillId="33" borderId="50" xfId="0" applyFont="1" applyFill="1" applyBorder="1" applyAlignment="1">
      <alignment horizontal="center" vertical="center"/>
    </xf>
    <xf numFmtId="0" fontId="132" fillId="33" borderId="7" xfId="0" applyFont="1" applyFill="1" applyBorder="1" applyAlignment="1">
      <alignment horizontal="center" vertical="center"/>
    </xf>
    <xf numFmtId="0" fontId="132" fillId="33" borderId="41" xfId="0" applyFont="1" applyFill="1" applyBorder="1" applyAlignment="1">
      <alignment horizontal="center" vertical="center"/>
    </xf>
    <xf numFmtId="0" fontId="116" fillId="33" borderId="5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center"/>
    </xf>
    <xf numFmtId="0" fontId="116" fillId="33" borderId="58" xfId="0" applyFont="1" applyFill="1" applyBorder="1" applyAlignment="1">
      <alignment horizontal="center" vertical="center"/>
    </xf>
    <xf numFmtId="49" fontId="133" fillId="33" borderId="59" xfId="0" applyNumberFormat="1" applyFont="1" applyFill="1" applyBorder="1" applyAlignment="1">
      <alignment horizontal="left" vertical="center"/>
    </xf>
    <xf numFmtId="49" fontId="133" fillId="33" borderId="40" xfId="0" applyNumberFormat="1" applyFont="1" applyFill="1" applyBorder="1" applyAlignment="1">
      <alignment horizontal="left" vertical="center"/>
    </xf>
    <xf numFmtId="0" fontId="115" fillId="33" borderId="56" xfId="0" applyFont="1" applyFill="1" applyBorder="1" applyAlignment="1">
      <alignment horizontal="center"/>
    </xf>
    <xf numFmtId="0" fontId="115" fillId="33" borderId="57" xfId="0" applyFont="1" applyFill="1" applyBorder="1" applyAlignment="1">
      <alignment horizontal="center"/>
    </xf>
    <xf numFmtId="0" fontId="131" fillId="35" borderId="55" xfId="0" applyFont="1" applyFill="1" applyBorder="1" applyAlignment="1">
      <alignment horizontal="center" vertical="center"/>
    </xf>
    <xf numFmtId="0" fontId="131" fillId="35" borderId="36" xfId="0" applyFont="1" applyFill="1" applyBorder="1" applyAlignment="1">
      <alignment horizontal="center" vertical="center"/>
    </xf>
    <xf numFmtId="0" fontId="131" fillId="35" borderId="48" xfId="0" applyFont="1" applyFill="1" applyBorder="1" applyAlignment="1">
      <alignment horizontal="center" vertical="center"/>
    </xf>
    <xf numFmtId="0" fontId="131" fillId="35" borderId="43" xfId="0" applyFont="1" applyFill="1" applyBorder="1" applyAlignment="1">
      <alignment horizontal="center" vertical="center"/>
    </xf>
    <xf numFmtId="0" fontId="131" fillId="35" borderId="44" xfId="0" applyFont="1" applyFill="1" applyBorder="1" applyAlignment="1">
      <alignment horizontal="center" vertical="center"/>
    </xf>
    <xf numFmtId="0" fontId="131" fillId="35" borderId="45" xfId="0" applyFont="1" applyFill="1" applyBorder="1" applyAlignment="1">
      <alignment horizontal="center" vertical="center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0" xfId="1451" applyFont="1" applyFill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  <xf numFmtId="0" fontId="161" fillId="0" borderId="0" xfId="1451" applyFont="1" applyAlignment="1">
      <alignment horizontal="left"/>
    </xf>
  </cellXfs>
  <cellStyles count="512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2 2" xfId="3899" xr:uid="{8B7343C1-F3C4-4BE9-985F-798D0BC386AB}"/>
    <cellStyle name="Calculation 10 3" xfId="3682" xr:uid="{FC6AEF61-9B3A-4953-998C-0C6AFC45D5D2}"/>
    <cellStyle name="Calculation 10 4" xfId="3591" xr:uid="{B655F429-28BF-45C6-93BF-B407E7B9A907}"/>
    <cellStyle name="Calculation 10 5" xfId="4419" xr:uid="{3E592471-91F9-4CB2-8E02-85555E15D4F4}"/>
    <cellStyle name="Calculation 10 6" xfId="4601" xr:uid="{BD7201DA-B766-4AFA-A35B-995DFCE275CE}"/>
    <cellStyle name="Calculation 10 7" xfId="4728" xr:uid="{B6F45539-E456-4164-8C94-BE69290A6A9F}"/>
    <cellStyle name="Calculation 11" xfId="470" xr:uid="{00000000-0005-0000-0000-0000D5010000}"/>
    <cellStyle name="Calculation 11 2" xfId="471" xr:uid="{00000000-0005-0000-0000-0000D6010000}"/>
    <cellStyle name="Calculation 11 2 2" xfId="3900" xr:uid="{9143FD1F-3EA8-47AA-9109-26FFF37DE43B}"/>
    <cellStyle name="Calculation 11 3" xfId="3681" xr:uid="{49265FCD-15EE-4F3D-98E8-26B740BA12AD}"/>
    <cellStyle name="Calculation 11 4" xfId="3592" xr:uid="{E2179F3A-FB95-4FF9-A8A9-829217F6D160}"/>
    <cellStyle name="Calculation 11 5" xfId="4711" xr:uid="{D64260B7-FBEF-48B8-9CF7-7AFA3FF428F8}"/>
    <cellStyle name="Calculation 11 6" xfId="4602" xr:uid="{00BA2FCC-CC51-4E17-8741-E75C5F7AEAE7}"/>
    <cellStyle name="Calculation 11 7" xfId="4727" xr:uid="{C35DA139-53DB-417E-B7F7-1C705DB75E82}"/>
    <cellStyle name="Calculation 12" xfId="472" xr:uid="{00000000-0005-0000-0000-0000D7010000}"/>
    <cellStyle name="Calculation 12 2" xfId="473" xr:uid="{00000000-0005-0000-0000-0000D8010000}"/>
    <cellStyle name="Calculation 12 2 2" xfId="3901" xr:uid="{DE2F3277-782B-49E8-9673-02EB4CE56025}"/>
    <cellStyle name="Calculation 12 3" xfId="3680" xr:uid="{6B0320A4-A2D3-4406-89CB-8BDD606492C2}"/>
    <cellStyle name="Calculation 12 4" xfId="3593" xr:uid="{224B4B05-29BD-4E94-87A2-DC2338ADB2FE}"/>
    <cellStyle name="Calculation 12 5" xfId="4710" xr:uid="{163176CD-04D1-4303-91DA-BEAD47DB4E15}"/>
    <cellStyle name="Calculation 12 6" xfId="4603" xr:uid="{668CAA00-5EFF-4097-B644-4F4519166298}"/>
    <cellStyle name="Calculation 12 7" xfId="4726" xr:uid="{BA6DA858-AAE1-440A-A753-8F3AEFB218A2}"/>
    <cellStyle name="Calculation 13" xfId="474" xr:uid="{00000000-0005-0000-0000-0000D9010000}"/>
    <cellStyle name="Calculation 13 2" xfId="475" xr:uid="{00000000-0005-0000-0000-0000DA010000}"/>
    <cellStyle name="Calculation 13 2 2" xfId="3902" xr:uid="{B77AE749-D6E4-4E86-8ECB-1BE25A1015B3}"/>
    <cellStyle name="Calculation 13 3" xfId="3679" xr:uid="{FEAAD657-80FF-4B3F-A165-C830F32FE787}"/>
    <cellStyle name="Calculation 13 4" xfId="3594" xr:uid="{241B265A-9BBA-4E2E-9F9C-501A42D0E722}"/>
    <cellStyle name="Calculation 13 5" xfId="4423" xr:uid="{622CF4E8-D14D-4F08-9A1C-3D2C18D7B0B9}"/>
    <cellStyle name="Calculation 13 6" xfId="4604" xr:uid="{2567DD98-B3EA-44A2-ACB7-DC572E477203}"/>
    <cellStyle name="Calculation 13 7" xfId="4725" xr:uid="{EDA561DC-9B0B-4F05-87D3-02A507A6CD7C}"/>
    <cellStyle name="Calculation 14" xfId="476" xr:uid="{00000000-0005-0000-0000-0000DB010000}"/>
    <cellStyle name="Calculation 14 2" xfId="477" xr:uid="{00000000-0005-0000-0000-0000DC010000}"/>
    <cellStyle name="Calculation 14 2 2" xfId="3903" xr:uid="{25262283-DFEB-4D16-83D7-F81F16DAF05C}"/>
    <cellStyle name="Calculation 14 3" xfId="3678" xr:uid="{699905E9-41AD-4FDE-870F-27C8345502F9}"/>
    <cellStyle name="Calculation 14 4" xfId="3595" xr:uid="{90E91377-8151-4422-A0AD-88AE8F1187A2}"/>
    <cellStyle name="Calculation 14 5" xfId="4418" xr:uid="{ACB2DCE2-9A57-4E85-88F4-C4236A8A0C1B}"/>
    <cellStyle name="Calculation 14 6" xfId="4605" xr:uid="{4C8FDA69-3499-4DAA-B3C2-02645A90BD07}"/>
    <cellStyle name="Calculation 14 7" xfId="4724" xr:uid="{A19388A1-A2EA-4721-84D1-5DB09B8AB573}"/>
    <cellStyle name="Calculation 15" xfId="478" xr:uid="{00000000-0005-0000-0000-0000DD010000}"/>
    <cellStyle name="Calculation 15 2" xfId="479" xr:uid="{00000000-0005-0000-0000-0000DE010000}"/>
    <cellStyle name="Calculation 15 2 2" xfId="3904" xr:uid="{7F086C19-FCF3-410A-BB9F-D31AB64F6507}"/>
    <cellStyle name="Calculation 15 3" xfId="3677" xr:uid="{AE8EC5A1-839F-4732-86B7-46096DDCDE12}"/>
    <cellStyle name="Calculation 15 4" xfId="3596" xr:uid="{F6F418C4-4533-4F5F-82AD-3A41AEEC2F1A}"/>
    <cellStyle name="Calculation 15 5" xfId="4417" xr:uid="{975A673C-FFEC-494D-A941-BED90BDBB1A3}"/>
    <cellStyle name="Calculation 15 6" xfId="4606" xr:uid="{2E75ECCB-4F74-49DD-BB4D-E228A066BD10}"/>
    <cellStyle name="Calculation 15 7" xfId="4723" xr:uid="{27AB441A-D361-4D5F-9B05-18D2F1754CD7}"/>
    <cellStyle name="Calculation 16" xfId="480" xr:uid="{00000000-0005-0000-0000-0000DF010000}"/>
    <cellStyle name="Calculation 16 2" xfId="481" xr:uid="{00000000-0005-0000-0000-0000E0010000}"/>
    <cellStyle name="Calculation 16 2 2" xfId="3905" xr:uid="{68241C41-5093-4F87-8872-C6A2C6109EC7}"/>
    <cellStyle name="Calculation 16 3" xfId="3676" xr:uid="{04128D6D-B053-499F-A46D-04800D3E2238}"/>
    <cellStyle name="Calculation 16 4" xfId="3597" xr:uid="{3D44A7A2-C6CF-4D05-A0A9-C885E61A480F}"/>
    <cellStyle name="Calculation 16 5" xfId="4709" xr:uid="{19F88138-B624-4061-B2FC-B7683D2BFCB6}"/>
    <cellStyle name="Calculation 16 6" xfId="4607" xr:uid="{E638084A-6358-4B07-9C8E-ED17F1CF37AB}"/>
    <cellStyle name="Calculation 16 7" xfId="4722" xr:uid="{B5E77468-8608-4779-82AE-1A962300BDE0}"/>
    <cellStyle name="Calculation 17" xfId="3717" xr:uid="{E31DC55E-44B3-4C15-A94E-F3616F11BE52}"/>
    <cellStyle name="Calculation 18" xfId="3723" xr:uid="{EC2A906A-06C9-4A0E-94F7-4560E7890D96}"/>
    <cellStyle name="Calculation 19" xfId="4768" xr:uid="{0F757056-B196-48F2-AD21-CFE864EFC6DC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2 2 2" xfId="3906" xr:uid="{CE4D557F-EF5F-468F-B145-DA43C27B6E9F}"/>
    <cellStyle name="Calculation 2 2 3" xfId="3674" xr:uid="{1718B1CA-B296-4F88-91A1-CEFE7FA5ECD3}"/>
    <cellStyle name="Calculation 2 2 4" xfId="3599" xr:uid="{033BE833-D9EB-4371-8EBF-964B97BF4DAA}"/>
    <cellStyle name="Calculation 2 2 5" xfId="4707" xr:uid="{163E705B-693F-4419-9BCB-783B79A60FE0}"/>
    <cellStyle name="Calculation 2 2 6" xfId="4609" xr:uid="{8256E356-3991-4287-A30F-4F9F761DDF87}"/>
    <cellStyle name="Calculation 2 2 7" xfId="4720" xr:uid="{2293315F-51A1-4D41-B721-E4AA38F0F310}"/>
    <cellStyle name="Calculation 2 3" xfId="485" xr:uid="{00000000-0005-0000-0000-0000E4010000}"/>
    <cellStyle name="Calculation 2 3 2" xfId="486" xr:uid="{00000000-0005-0000-0000-0000E5010000}"/>
    <cellStyle name="Calculation 2 3 2 2" xfId="3907" xr:uid="{E4859FF2-1709-459E-A19B-D60D5D485667}"/>
    <cellStyle name="Calculation 2 3 3" xfId="3673" xr:uid="{31BF3874-959B-4CF2-B304-75AE18E9AE5B}"/>
    <cellStyle name="Calculation 2 3 4" xfId="3600" xr:uid="{2CB8C117-701D-45BB-A598-D9148D263A48}"/>
    <cellStyle name="Calculation 2 3 5" xfId="4706" xr:uid="{7734E199-B3B9-476B-9282-256354E2AD33}"/>
    <cellStyle name="Calculation 2 3 6" xfId="4610" xr:uid="{23CBF0D2-066D-471A-A6C3-45745DEA2E96}"/>
    <cellStyle name="Calculation 2 3 7" xfId="4719" xr:uid="{68920D80-3C00-4D76-BDF1-A4E972381C0B}"/>
    <cellStyle name="Calculation 2 4" xfId="487" xr:uid="{00000000-0005-0000-0000-0000E6010000}"/>
    <cellStyle name="Calculation 2 4 2" xfId="3908" xr:uid="{3A7BEF43-6E48-46CA-9B78-B8F34725A269}"/>
    <cellStyle name="Calculation 2 5" xfId="3675" xr:uid="{057B7AF0-40C9-4BD3-844F-72456D2A9274}"/>
    <cellStyle name="Calculation 2 6" xfId="3598" xr:uid="{035455AE-63C5-4666-9AFD-1E3A1F915273}"/>
    <cellStyle name="Calculation 2 7" xfId="4708" xr:uid="{09E28E25-6AF2-4C25-834E-EA3A177B2FE0}"/>
    <cellStyle name="Calculation 2 8" xfId="4608" xr:uid="{9E460217-80AD-45BC-B7DC-D73221FCCA0F}"/>
    <cellStyle name="Calculation 2 9" xfId="4721" xr:uid="{05F1DCFF-1953-4CFB-B534-5808CF4FAA7D}"/>
    <cellStyle name="Calculation 20" xfId="4789" xr:uid="{8DE1E537-898B-4B20-A3AB-90B2E45B3822}"/>
    <cellStyle name="Calculation 21" xfId="4953" xr:uid="{C1116C9C-6B04-4EFD-8763-5F873EC40686}"/>
    <cellStyle name="Calculation 3" xfId="488" xr:uid="{00000000-0005-0000-0000-0000E7010000}"/>
    <cellStyle name="Calculation 3 2" xfId="489" xr:uid="{00000000-0005-0000-0000-0000E8010000}"/>
    <cellStyle name="Calculation 3 2 2" xfId="3909" xr:uid="{394B37B6-9E2F-4657-9450-391AE35514F7}"/>
    <cellStyle name="Calculation 3 3" xfId="3672" xr:uid="{E5879892-07DD-4EBC-907F-C27620EC2FC3}"/>
    <cellStyle name="Calculation 3 4" xfId="3601" xr:uid="{C25E7B5E-8DDA-4350-B230-18D8A3EA4AF4}"/>
    <cellStyle name="Calculation 3 5" xfId="4705" xr:uid="{81ACEE78-AE42-406B-9E5C-86850B678770}"/>
    <cellStyle name="Calculation 3 6" xfId="4611" xr:uid="{FD5C4E7B-62FB-42F7-89AB-3226AD387C26}"/>
    <cellStyle name="Calculation 3 7" xfId="4718" xr:uid="{276B2D26-33E3-4716-9F2F-644224F6F2E8}"/>
    <cellStyle name="Calculation 4" xfId="490" xr:uid="{00000000-0005-0000-0000-0000E9010000}"/>
    <cellStyle name="Calculation 4 2" xfId="491" xr:uid="{00000000-0005-0000-0000-0000EA010000}"/>
    <cellStyle name="Calculation 4 2 2" xfId="3910" xr:uid="{5C3BDFBB-3A1C-4FE2-B201-E8974C8DA9DA}"/>
    <cellStyle name="Calculation 4 3" xfId="3671" xr:uid="{6AEAFCB9-5231-47F7-9505-42C8FB83BBF0}"/>
    <cellStyle name="Calculation 4 4" xfId="3602" xr:uid="{7D0D1C41-630E-42C8-9488-1F0788B8B9D7}"/>
    <cellStyle name="Calculation 4 5" xfId="4704" xr:uid="{2EFCFE79-F18E-42DA-892B-88733BE75690}"/>
    <cellStyle name="Calculation 4 6" xfId="4612" xr:uid="{5CC5BDEB-D324-42AC-857D-5B1B52CFB904}"/>
    <cellStyle name="Calculation 4 7" xfId="4717" xr:uid="{055503F5-683D-4CD9-BC47-9D13493D64A4}"/>
    <cellStyle name="Calculation 5" xfId="492" xr:uid="{00000000-0005-0000-0000-0000EB010000}"/>
    <cellStyle name="Calculation 5 2" xfId="493" xr:uid="{00000000-0005-0000-0000-0000EC010000}"/>
    <cellStyle name="Calculation 5 2 2" xfId="3911" xr:uid="{B3EA900B-7317-41E8-892B-E1367E2A2BD8}"/>
    <cellStyle name="Calculation 5 3" xfId="3670" xr:uid="{42D94F41-20DA-4CF7-92DB-85197F0B8661}"/>
    <cellStyle name="Calculation 5 4" xfId="3603" xr:uid="{9A06A685-528B-4267-AC6F-5615A807F909}"/>
    <cellStyle name="Calculation 5 5" xfId="4703" xr:uid="{A1965D98-5327-49EB-9330-CE47DB889C2D}"/>
    <cellStyle name="Calculation 5 6" xfId="4613" xr:uid="{E3F089EF-A417-4549-A2AA-7627E572123D}"/>
    <cellStyle name="Calculation 5 7" xfId="4716" xr:uid="{6163CF86-08C1-4C9F-A8D9-9B6D77C216C4}"/>
    <cellStyle name="Calculation 6" xfId="494" xr:uid="{00000000-0005-0000-0000-0000ED010000}"/>
    <cellStyle name="Calculation 6 2" xfId="495" xr:uid="{00000000-0005-0000-0000-0000EE010000}"/>
    <cellStyle name="Calculation 6 2 2" xfId="3912" xr:uid="{4F242CB9-9187-49EE-945A-0E88C4C80AF3}"/>
    <cellStyle name="Calculation 6 3" xfId="3669" xr:uid="{BF3E1D3E-2AE4-4054-BB93-CAA66C993C5B}"/>
    <cellStyle name="Calculation 6 4" xfId="3604" xr:uid="{7F337BCC-54FC-4C80-BBF0-FD9533CF61EE}"/>
    <cellStyle name="Calculation 6 5" xfId="4702" xr:uid="{4C113038-F5FD-4CC7-90CD-690C6289EA56}"/>
    <cellStyle name="Calculation 6 6" xfId="4614" xr:uid="{84D6A9E7-23EE-40A2-AB2B-EB66A59E087E}"/>
    <cellStyle name="Calculation 6 7" xfId="4715" xr:uid="{80129318-747D-461C-8F2E-019B320AD1F7}"/>
    <cellStyle name="Calculation 7" xfId="496" xr:uid="{00000000-0005-0000-0000-0000EF010000}"/>
    <cellStyle name="Calculation 7 2" xfId="497" xr:uid="{00000000-0005-0000-0000-0000F0010000}"/>
    <cellStyle name="Calculation 7 2 2" xfId="3913" xr:uid="{6CF4C8E7-7AD2-4315-8EFB-2271A8741966}"/>
    <cellStyle name="Calculation 7 3" xfId="3668" xr:uid="{C97DD6BA-705C-48D9-8EEF-EDD3731712CD}"/>
    <cellStyle name="Calculation 7 4" xfId="3605" xr:uid="{1503EC32-E1F2-4C0B-AA36-0DBB83DC29E3}"/>
    <cellStyle name="Calculation 7 5" xfId="4701" xr:uid="{0883A7BF-DE8A-49DB-B9E8-7D1977D05606}"/>
    <cellStyle name="Calculation 7 6" xfId="4615" xr:uid="{B8C7B53D-B539-413C-9895-A306E319125F}"/>
    <cellStyle name="Calculation 7 7" xfId="4714" xr:uid="{136C56C1-CD9F-464D-AC1B-6BA6ED04F218}"/>
    <cellStyle name="Calculation 8" xfId="498" xr:uid="{00000000-0005-0000-0000-0000F1010000}"/>
    <cellStyle name="Calculation 8 2" xfId="499" xr:uid="{00000000-0005-0000-0000-0000F2010000}"/>
    <cellStyle name="Calculation 8 2 2" xfId="3914" xr:uid="{9A278B34-F5F8-4D4D-8C25-A90527B0B7D4}"/>
    <cellStyle name="Calculation 8 3" xfId="3667" xr:uid="{0926AF0E-11A0-4E04-BAA4-9550DDF02D6A}"/>
    <cellStyle name="Calculation 8 4" xfId="3606" xr:uid="{C5DDA028-9262-402D-86D5-CCB9A838208A}"/>
    <cellStyle name="Calculation 8 5" xfId="4700" xr:uid="{EB88FBD7-FB1A-4C18-AFE7-D2D56A0D8614}"/>
    <cellStyle name="Calculation 8 6" xfId="4616" xr:uid="{B692DE36-0397-4E1C-82E1-BE88C49253BD}"/>
    <cellStyle name="Calculation 8 7" xfId="4713" xr:uid="{EBC7C8F9-4DED-43D8-B885-D5C5927D806A}"/>
    <cellStyle name="Calculation 9" xfId="500" xr:uid="{00000000-0005-0000-0000-0000F3010000}"/>
    <cellStyle name="Calculation 9 2" xfId="501" xr:uid="{00000000-0005-0000-0000-0000F4010000}"/>
    <cellStyle name="Calculation 9 2 2" xfId="3915" xr:uid="{21CDC14C-07EE-4A0E-A3CC-5E96540867F7}"/>
    <cellStyle name="Calculation 9 3" xfId="3666" xr:uid="{97810E95-0FDD-4506-8D83-5627D31ED025}"/>
    <cellStyle name="Calculation 9 4" xfId="3607" xr:uid="{D2758DFD-0E23-4403-9E33-3A55A33AD304}"/>
    <cellStyle name="Calculation 9 5" xfId="4699" xr:uid="{BAA57479-2313-4E22-AF22-29D9F094272C}"/>
    <cellStyle name="Calculation 9 6" xfId="4617" xr:uid="{6A2C8267-F976-4FCA-AFAA-CA796DC1CB80}"/>
    <cellStyle name="Calculation 9 7" xfId="4712" xr:uid="{46A38011-2BA6-43C6-82BD-B5EC686BCFAB}"/>
    <cellStyle name="Check Cell" xfId="502" builtinId="23" customBuiltin="1"/>
    <cellStyle name="Check Cell 10" xfId="503" xr:uid="{00000000-0005-0000-0000-0000F6010000}"/>
    <cellStyle name="Check Cell 10 2" xfId="3571" xr:uid="{F9175432-108B-4F94-8E36-7B71A82DDF7D}"/>
    <cellStyle name="Check Cell 11" xfId="504" xr:uid="{00000000-0005-0000-0000-0000F7010000}"/>
    <cellStyle name="Check Cell 11 2" xfId="3572" xr:uid="{30D6E002-6D3A-43A6-BEE2-33C8EA1DDAB6}"/>
    <cellStyle name="Check Cell 12" xfId="505" xr:uid="{00000000-0005-0000-0000-0000F8010000}"/>
    <cellStyle name="Check Cell 12 2" xfId="3573" xr:uid="{F4A5E138-06DC-435E-9FCA-6C8E6C64C51F}"/>
    <cellStyle name="Check Cell 13" xfId="506" xr:uid="{00000000-0005-0000-0000-0000F9010000}"/>
    <cellStyle name="Check Cell 13 2" xfId="3574" xr:uid="{8E8DC75F-90AC-44A4-A9A8-D96A05649197}"/>
    <cellStyle name="Check Cell 14" xfId="507" xr:uid="{00000000-0005-0000-0000-0000FA010000}"/>
    <cellStyle name="Check Cell 14 2" xfId="3575" xr:uid="{4314F60E-A4C4-4A13-A223-65C3E2BA4BDE}"/>
    <cellStyle name="Check Cell 15" xfId="508" xr:uid="{00000000-0005-0000-0000-0000FB010000}"/>
    <cellStyle name="Check Cell 15 2" xfId="3576" xr:uid="{D2C59BBE-2751-4E60-B08F-44B4174FA0AA}"/>
    <cellStyle name="Check Cell 16" xfId="509" xr:uid="{00000000-0005-0000-0000-0000FC010000}"/>
    <cellStyle name="Check Cell 16 2" xfId="3577" xr:uid="{C71C1D85-9BBF-4B34-BF58-5B4BCBC4C8D4}"/>
    <cellStyle name="Check Cell 17" xfId="3402" xr:uid="{5F1B2134-E229-4FC8-A286-73FDC44E26FF}"/>
    <cellStyle name="Check Cell 2" xfId="510" xr:uid="{00000000-0005-0000-0000-0000FD010000}"/>
    <cellStyle name="Check Cell 2 2" xfId="511" xr:uid="{00000000-0005-0000-0000-0000FE010000}"/>
    <cellStyle name="Check Cell 2 2 2" xfId="3579" xr:uid="{2753DF83-4DF0-4F5E-B3BC-500D8D06C4E5}"/>
    <cellStyle name="Check Cell 2 3" xfId="512" xr:uid="{00000000-0005-0000-0000-0000FF010000}"/>
    <cellStyle name="Check Cell 2 3 2" xfId="3580" xr:uid="{A8B0881A-D26E-4063-862B-F4554F77A10B}"/>
    <cellStyle name="Check Cell 2 4" xfId="3578" xr:uid="{BB5D98AB-5DB4-4CB1-AAF4-1721E8A694D2}"/>
    <cellStyle name="Check Cell 3" xfId="513" xr:uid="{00000000-0005-0000-0000-000000020000}"/>
    <cellStyle name="Check Cell 3 2" xfId="514" xr:uid="{00000000-0005-0000-0000-000001020000}"/>
    <cellStyle name="Check Cell 3 2 2" xfId="3582" xr:uid="{1423BFDE-C5DC-4E70-84DC-9FDF657A02C2}"/>
    <cellStyle name="Check Cell 3 3" xfId="3581" xr:uid="{A8955462-82EE-4963-8414-ACC9211067E1}"/>
    <cellStyle name="Check Cell 4" xfId="515" xr:uid="{00000000-0005-0000-0000-000002020000}"/>
    <cellStyle name="Check Cell 4 2" xfId="516" xr:uid="{00000000-0005-0000-0000-000003020000}"/>
    <cellStyle name="Check Cell 4 2 2" xfId="3584" xr:uid="{A0054F1E-2ADF-4BCA-8DC4-4B045DBDE110}"/>
    <cellStyle name="Check Cell 4 3" xfId="3583" xr:uid="{BBE46C10-8625-4E95-BBA4-A2C5B4958DAA}"/>
    <cellStyle name="Check Cell 5" xfId="517" xr:uid="{00000000-0005-0000-0000-000004020000}"/>
    <cellStyle name="Check Cell 5 2" xfId="518" xr:uid="{00000000-0005-0000-0000-000005020000}"/>
    <cellStyle name="Check Cell 5 2 2" xfId="3586" xr:uid="{D01BA67A-0121-469F-AB9A-910B5F6C6379}"/>
    <cellStyle name="Check Cell 5 3" xfId="3585" xr:uid="{FFEE0C97-A97A-4F59-8E27-9C732757909C}"/>
    <cellStyle name="Check Cell 6" xfId="519" xr:uid="{00000000-0005-0000-0000-000006020000}"/>
    <cellStyle name="Check Cell 6 2" xfId="3587" xr:uid="{DAF04E2F-A974-4261-9959-6362767D4D65}"/>
    <cellStyle name="Check Cell 7" xfId="520" xr:uid="{00000000-0005-0000-0000-000007020000}"/>
    <cellStyle name="Check Cell 7 2" xfId="3588" xr:uid="{B342E62D-A345-40D3-9606-D0659A916A84}"/>
    <cellStyle name="Check Cell 8" xfId="521" xr:uid="{00000000-0005-0000-0000-000008020000}"/>
    <cellStyle name="Check Cell 8 2" xfId="3589" xr:uid="{44E39672-F9EA-402B-99E7-E95E5043D9AB}"/>
    <cellStyle name="Check Cell 9" xfId="522" xr:uid="{00000000-0005-0000-0000-000009020000}"/>
    <cellStyle name="Check Cell 9 2" xfId="3590" xr:uid="{32CC6D5D-513B-43B1-91F4-0316037FFEA7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3 2" xfId="3917" xr:uid="{90A93EB2-3ADC-4516-B174-FD6E80A52096}"/>
    <cellStyle name="Comma [0] 10 4" xfId="531" xr:uid="{00000000-0005-0000-0000-000013020000}"/>
    <cellStyle name="Comma [0] 10 4 2" xfId="3918" xr:uid="{F772E21F-9027-4E73-A3F9-AE81B07C59F1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3919" xr:uid="{519243E2-CFFC-4424-81FC-12B007F2EFD8}"/>
    <cellStyle name="Comma [0] 11 2 3" xfId="2901" xr:uid="{56C809E9-E525-4D16-BC9E-FF2A892E9B54}"/>
    <cellStyle name="Comma [0] 11 3" xfId="535" xr:uid="{00000000-0005-0000-0000-000017020000}"/>
    <cellStyle name="Comma [0] 11 3 2" xfId="3920" xr:uid="{57D4A9E0-EDC8-4E93-B734-0944F3C42063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3922" xr:uid="{EFC5BE7E-B1F8-449C-9C3B-A9A0BA372D0F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2 2" xfId="3923" xr:uid="{09F138D4-1E85-424C-B1B5-1ED21FDF92B3}"/>
    <cellStyle name="Comma [0] 12 3 3" xfId="2904" xr:uid="{5C3B9A18-950F-4DE5-9C52-1F1296869748}"/>
    <cellStyle name="Comma [0] 12 4" xfId="2902" xr:uid="{99BCCA6F-4BFA-416A-9F12-8C5740FF3EE9}"/>
    <cellStyle name="Comma [0] 12 5" xfId="3921" xr:uid="{EC72B9BD-5F2F-4703-9275-38DFEDBB66C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3924" xr:uid="{B09FA9CE-AB25-40E8-A2FD-8E0331E6D129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3925" xr:uid="{80D8F924-06B5-406F-81EF-8AA80A0D1086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3926" xr:uid="{06425B00-70DA-43A8-9649-F77939FD92E1}"/>
    <cellStyle name="Comma [0] 18 2 3" xfId="2910" xr:uid="{7F54D159-D09E-4040-A8B6-00E4D5AA7A1B}"/>
    <cellStyle name="Comma [0] 18 3" xfId="557" xr:uid="{00000000-0005-0000-0000-00002D020000}"/>
    <cellStyle name="Comma [0] 18 3 2" xfId="3927" xr:uid="{C41054A4-762B-4322-943B-82FBEE42223A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3928" xr:uid="{42104538-6F54-4015-B1C1-DCF9315301E9}"/>
    <cellStyle name="Comma [0] 19 2 3" xfId="2912" xr:uid="{644C7D1C-7334-47CC-B8D6-A430430C29FC}"/>
    <cellStyle name="Comma [0] 19 3" xfId="561" xr:uid="{00000000-0005-0000-0000-000031020000}"/>
    <cellStyle name="Comma [0] 19 3 2" xfId="3929" xr:uid="{05E3206D-9ADF-4DFB-8D32-6B52B4B8F007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3930" xr:uid="{E9A291D6-AE8F-4AC3-BC23-D0F72C048C54}"/>
    <cellStyle name="Comma [0] 2 10 3" xfId="565" xr:uid="{00000000-0005-0000-0000-000035020000}"/>
    <cellStyle name="Comma [0] 2 10 3 2" xfId="3931" xr:uid="{4C96F3B5-27D9-4E5C-AB12-68CD4030E3D2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2 2" xfId="3932" xr:uid="{762FDF6C-1944-43CB-AF6D-83AC27881311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3935" xr:uid="{9D2CB8AF-E4CE-461B-9E9B-EB1BC9D1EDE2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3936" xr:uid="{DEB0D463-F7DF-42D5-B298-387B96A2B657}"/>
    <cellStyle name="Comma [0] 2 2 2 2 2 2 2 3 3" xfId="2922" xr:uid="{52EB1D73-9647-4505-B93F-CC969CD219C3}"/>
    <cellStyle name="Comma [0] 2 2 2 2 2 2 2 4" xfId="2920" xr:uid="{E692216F-B0B4-4BB9-A627-97233D982EC6}"/>
    <cellStyle name="Comma [0] 2 2 2 2 2 2 2 5" xfId="3934" xr:uid="{AD36B032-0670-4AF0-8471-845D9F3C6BC3}"/>
    <cellStyle name="Comma [0] 2 2 2 2 2 2 3" xfId="578" xr:uid="{00000000-0005-0000-0000-000042020000}"/>
    <cellStyle name="Comma [0] 2 2 2 2 2 2 3 2" xfId="2923" xr:uid="{A77F1E1E-9D60-4752-9DC0-CE5DC06E53B1}"/>
    <cellStyle name="Comma [0] 2 2 2 2 2 2 3 3" xfId="3937" xr:uid="{29539997-9D7C-423E-954B-5FEC753A8CFA}"/>
    <cellStyle name="Comma [0] 2 2 2 2 2 2 4" xfId="579" xr:uid="{00000000-0005-0000-0000-000043020000}"/>
    <cellStyle name="Comma [0] 2 2 2 2 2 2 4 2" xfId="3938" xr:uid="{29FCE2B1-E86A-4E87-BD6F-293403B51536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2 2" xfId="3939" xr:uid="{086DA868-9169-4569-B36F-2010F319E984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2 2" xfId="3940" xr:uid="{971EB37D-2C53-4D8D-A982-CC39B72FA432}"/>
    <cellStyle name="Comma [0] 2 2 2 2 2 4 3" xfId="2925" xr:uid="{A759050E-D27B-4ACD-AF69-B645B0B10A9C}"/>
    <cellStyle name="Comma [0] 2 2 2 2 2 5" xfId="2918" xr:uid="{AB84DAE5-3105-48EE-AFA8-0E5AF34EEB9C}"/>
    <cellStyle name="Comma [0] 2 2 2 2 2 6" xfId="3933" xr:uid="{958757DE-1932-4E72-8BF7-289F78FDC0B8}"/>
    <cellStyle name="Comma [0] 2 2 2 2 3" xfId="584" xr:uid="{00000000-0005-0000-0000-000048020000}"/>
    <cellStyle name="Comma [0] 2 2 2 2 3 2" xfId="2926" xr:uid="{18971653-2CA5-48DE-8267-773E1101B5DC}"/>
    <cellStyle name="Comma [0] 2 2 2 2 3 3" xfId="3941" xr:uid="{01459D31-0518-4EDA-8BB2-6636C99F199B}"/>
    <cellStyle name="Comma [0] 2 2 2 2 4" xfId="585" xr:uid="{00000000-0005-0000-0000-000049020000}"/>
    <cellStyle name="Comma [0] 2 2 2 2 4 2" xfId="2927" xr:uid="{E0FEAE12-E0E7-4348-8FEB-F32F57795C1C}"/>
    <cellStyle name="Comma [0] 2 2 2 2 4 3" xfId="3942" xr:uid="{DE307FB9-8C1C-4889-B297-20D2D04341DD}"/>
    <cellStyle name="Comma [0] 2 2 2 2 5" xfId="586" xr:uid="{00000000-0005-0000-0000-00004A020000}"/>
    <cellStyle name="Comma [0] 2 2 2 2 5 2" xfId="3943" xr:uid="{8DC6BFA4-8E42-47DA-8ECB-79920C4C904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2 2" xfId="3944" xr:uid="{FABE2621-A2C7-4910-A2A6-E7919AAE45B7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2 2" xfId="3945" xr:uid="{B94E7D87-1FEA-40A1-9171-B01E652DB85E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2 2" xfId="3946" xr:uid="{97CD5B25-3BFB-4581-ACD1-C006CA042310}"/>
    <cellStyle name="Comma [0] 2 2 2 5 3" xfId="2930" xr:uid="{86A4FE35-4158-4CB0-BDFA-84069A519708}"/>
    <cellStyle name="Comma [0] 2 2 2 6" xfId="593" xr:uid="{00000000-0005-0000-0000-000051020000}"/>
    <cellStyle name="Comma [0] 2 2 2 6 2" xfId="3947" xr:uid="{11FD4CBA-C5E9-460E-9059-D174FED31EF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3 3" xfId="3948" xr:uid="{5E4C7CD2-7408-4F1E-B23F-4308A973AB56}"/>
    <cellStyle name="Comma [0] 2 2 4" xfId="595" xr:uid="{00000000-0005-0000-0000-000053020000}"/>
    <cellStyle name="Comma [0] 2 2 4 2" xfId="2932" xr:uid="{C9CCE147-48D5-4E4B-9D1E-96FC8DCB7AAC}"/>
    <cellStyle name="Comma [0] 2 2 4 3" xfId="3949" xr:uid="{9930C177-B2F3-44DD-B2E7-AD44EC8940C5}"/>
    <cellStyle name="Comma [0] 2 2 5" xfId="596" xr:uid="{00000000-0005-0000-0000-000054020000}"/>
    <cellStyle name="Comma [0] 2 2 5 2" xfId="2933" xr:uid="{3BA5F741-83D3-4C00-B64C-5D0C44E1BDB1}"/>
    <cellStyle name="Comma [0] 2 2 5 3" xfId="3950" xr:uid="{C5D35E88-4124-4D6C-A69A-4A31FA9015C5}"/>
    <cellStyle name="Comma [0] 2 2 6" xfId="597" xr:uid="{00000000-0005-0000-0000-000055020000}"/>
    <cellStyle name="Comma [0] 2 2 6 2" xfId="598" xr:uid="{00000000-0005-0000-0000-000056020000}"/>
    <cellStyle name="Comma [0] 2 2 6 2 2" xfId="3951" xr:uid="{D67BAF36-42A4-4218-A03F-C844C889356E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6 2" xfId="3952" xr:uid="{755AEE07-76E5-44EC-8049-04C2569BA8F3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6 3" xfId="3953" xr:uid="{A4F51DE9-0164-4C3E-B0CA-8C2653AC6983}"/>
    <cellStyle name="Comma [0] 2 3 7" xfId="613" xr:uid="{00000000-0005-0000-0000-000065020000}"/>
    <cellStyle name="Comma [0] 2 3 7 2" xfId="3954" xr:uid="{A7AB653B-98B9-4617-8B12-1592198DAB7B}"/>
    <cellStyle name="Comma [0] 2 3 8" xfId="614" xr:uid="{00000000-0005-0000-0000-000066020000}"/>
    <cellStyle name="Comma [0] 2 3 8 2" xfId="3955" xr:uid="{425C82EC-35C2-4D91-97E2-04D34E94194E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2 2" xfId="3956" xr:uid="{4A760468-B4C3-4E7E-A9E0-1965534DA962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2 2" xfId="3957" xr:uid="{4D3E5459-4E99-4A63-A70D-1BE9AC84A631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3" xfId="3958" xr:uid="{4EF45FEE-BAEB-49AA-8929-F5BC9E97B736}"/>
    <cellStyle name="Comma [0] 23" xfId="656" xr:uid="{00000000-0005-0000-0000-000090020000}"/>
    <cellStyle name="Comma [0] 23 2" xfId="2981" xr:uid="{F1385260-B0CB-4E72-8E4C-691543042BAB}"/>
    <cellStyle name="Comma [0] 23 3" xfId="3959" xr:uid="{0DFCF4D7-106B-4BF4-8379-245A3A8D89F8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960" xr:uid="{03184D15-F2B5-4BEA-AFA0-379D5F57A0C4}"/>
    <cellStyle name="Comma [0] 24 2 3" xfId="2983" xr:uid="{D44D7F46-8DFB-4ED0-826F-5990A21DF477}"/>
    <cellStyle name="Comma [0] 24 3" xfId="660" xr:uid="{00000000-0005-0000-0000-000094020000}"/>
    <cellStyle name="Comma [0] 24 3 2" xfId="3961" xr:uid="{4FB07267-E6E6-4225-9D2D-706D020D0C4A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5 3" xfId="3962" xr:uid="{DB0818F9-A188-41CE-83C3-C6C868232E1C}"/>
    <cellStyle name="Comma [0] 26" xfId="662" xr:uid="{00000000-0005-0000-0000-000096020000}"/>
    <cellStyle name="Comma [0] 26 2" xfId="3963" xr:uid="{E0D21718-4A38-4325-A77C-0356A29780A2}"/>
    <cellStyle name="Comma [0] 27" xfId="663" xr:uid="{00000000-0005-0000-0000-000097020000}"/>
    <cellStyle name="Comma [0] 27 2" xfId="664" xr:uid="{00000000-0005-0000-0000-000098020000}"/>
    <cellStyle name="Comma [0] 27 2 2" xfId="3964" xr:uid="{1D594316-768C-4DCA-BA45-D38742C7E19E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3 2" xfId="3965" xr:uid="{E21C2A4D-AC50-4336-8FDA-6DDCF52A5FDF}"/>
    <cellStyle name="Comma [0] 3 2 4" xfId="2986" xr:uid="{3E11F46F-86BF-457D-AAF8-F36350F33CFF}"/>
    <cellStyle name="Comma [0] 3 3" xfId="669" xr:uid="{00000000-0005-0000-0000-00009D020000}"/>
    <cellStyle name="Comma [0] 3 3 2" xfId="3966" xr:uid="{8AAA448A-03BE-4AED-A2F4-79E612622A89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2 2" xfId="3967" xr:uid="{4BC984F6-B78D-409E-803F-1276BC3D68EA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968" xr:uid="{75134EC0-54A9-4467-A0A0-04C41FABD1F2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2 2" xfId="3969" xr:uid="{6C2E83AD-4234-4D08-9141-B7F5683DD5F1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970" xr:uid="{9783CAAB-A7B4-41E5-AA53-371E99BE0C15}"/>
    <cellStyle name="Comma [0] 4 6" xfId="681" xr:uid="{00000000-0005-0000-0000-0000A9020000}"/>
    <cellStyle name="Comma [0] 4 6 2" xfId="3971" xr:uid="{3FECB4D2-804F-48B6-ACA2-7A8BB0CFEB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2 2" xfId="3972" xr:uid="{CA60DA58-3667-404B-86DA-CC2480BA6B92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973" xr:uid="{48C59A97-932E-44C0-9D40-0B4853182F96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974" xr:uid="{8AF85097-9856-421B-8A2F-2609702B2F11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2 2" xfId="3975" xr:uid="{00E2B3AD-549E-41C2-8861-DDDAB60042A1}"/>
    <cellStyle name="Comma [0] 8 3 3" xfId="3002" xr:uid="{FD19AC32-37E0-467E-AD02-D38723F54C9E}"/>
    <cellStyle name="Comma [0] 8 4" xfId="698" xr:uid="{00000000-0005-0000-0000-0000BA020000}"/>
    <cellStyle name="Comma [0] 8 4 2" xfId="3976" xr:uid="{DC89EAD3-BBD3-4607-B6F9-FB19243B0888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977" xr:uid="{68B75F1B-7455-40CD-AAD1-06C45AD800FE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2 2" xfId="3978" xr:uid="{CA2F3FF1-BDDF-42EF-B159-67EA6CF3E393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2 2" xfId="3979" xr:uid="{20526493-3454-4F61-B443-B6A8183C0D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2 2" xfId="3980" xr:uid="{AC72D6C6-1E2B-4A54-9927-4FAACD2EC3FF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2 2" xfId="3981" xr:uid="{AAF14B50-E04C-488A-91B7-509E29244D29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2 2" xfId="3982" xr:uid="{D4AD7D5E-FC08-46F1-BDF2-1F6CBA26BF31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3 2" xfId="3983" xr:uid="{78ADE3E7-B911-42C6-BB51-6B9CDAF44713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2 2" xfId="3984" xr:uid="{64E7CE7A-7EAC-4E02-8332-21200CA1BF8C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2 2" xfId="3985" xr:uid="{96E81F5C-731F-4034-97C6-237CE147F105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2 2" xfId="3986" xr:uid="{9CA77A6A-EFA0-497B-9F44-FC0B6FA6EB49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2 2" xfId="3987" xr:uid="{9054E6B3-E4AB-408D-85FA-1467C98370B6}"/>
    <cellStyle name="Comma 10 6 3" xfId="3015" xr:uid="{D4296D05-C153-46E6-89B9-366396362C85}"/>
    <cellStyle name="Comma 10 7" xfId="727" xr:uid="{00000000-0005-0000-0000-0000D7020000}"/>
    <cellStyle name="Comma 10 7 2" xfId="3988" xr:uid="{A6528197-6378-4F83-B28A-93EFA61AB6C8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989" xr:uid="{F687ABE3-92F8-496A-A4F0-3095EE04638E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990" xr:uid="{16D91310-ECDB-4D2B-AF77-39DCE1027BC3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2 2" xfId="3991" xr:uid="{E23D5651-721E-4747-8D19-79349E1D9D46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2 2" xfId="3992" xr:uid="{A42AE0DB-53F0-4580-983F-487F9F39F381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2 2" xfId="3993" xr:uid="{A6563789-D733-44E5-B9C0-3A3BC63C7CF7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2 2" xfId="3994" xr:uid="{746F5646-01AE-413D-A977-F4BB405A1DD2}"/>
    <cellStyle name="Comma 12 6 3" xfId="3022" xr:uid="{339E7626-38FF-4328-818B-93BEDF3DD077}"/>
    <cellStyle name="Comma 12 7" xfId="742" xr:uid="{00000000-0005-0000-0000-0000E6020000}"/>
    <cellStyle name="Comma 12 7 2" xfId="3995" xr:uid="{2EBEF4D6-7714-4FE7-825F-A2C6809A36DA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996" xr:uid="{EFF690D9-3735-4B14-8B56-6EA5849F2A8A}"/>
    <cellStyle name="Comma 13 2 3" xfId="3024" xr:uid="{F1E36446-09C1-480C-B039-710911FC658F}"/>
    <cellStyle name="Comma 13 3" xfId="746" xr:uid="{00000000-0005-0000-0000-0000EA020000}"/>
    <cellStyle name="Comma 13 3 2" xfId="3997" xr:uid="{11E72698-A4AD-4E5F-8031-B4BFDA25F019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998" xr:uid="{54C51106-24B7-4F7E-8F95-A0DC7A5A08CE}"/>
    <cellStyle name="Comma 14 2 2 3" xfId="3027" xr:uid="{83581F20-972A-43C9-8419-BFF7BF04B014}"/>
    <cellStyle name="Comma 14 2 3" xfId="751" xr:uid="{00000000-0005-0000-0000-0000EF020000}"/>
    <cellStyle name="Comma 14 2 3 2" xfId="3999" xr:uid="{1AAC55A4-1BB3-426B-B16C-04277968294F}"/>
    <cellStyle name="Comma 14 2 4" xfId="3026" xr:uid="{F8247EB5-E4C0-491D-8563-509141C72D57}"/>
    <cellStyle name="Comma 14 3" xfId="752" xr:uid="{00000000-0005-0000-0000-0000F0020000}"/>
    <cellStyle name="Comma 14 3 2" xfId="4000" xr:uid="{6F651F3F-6EBA-4A5A-85CD-27E8C0D3DCF4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001" xr:uid="{9AA07E24-7476-46B0-A73C-A30A533FAB1C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2 2" xfId="4002" xr:uid="{88374841-79A7-4BD7-AA1F-C31C372BF318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2 2" xfId="4003" xr:uid="{8F31DF65-F541-40DA-AF7A-203C1051E185}"/>
    <cellStyle name="Comma 15 4 3" xfId="3031" xr:uid="{57FE5085-1B76-45BD-9075-347E7B7AF522}"/>
    <cellStyle name="Comma 15 5" xfId="760" xr:uid="{00000000-0005-0000-0000-0000F8020000}"/>
    <cellStyle name="Comma 15 5 2" xfId="4004" xr:uid="{B87D2F2C-B674-4F57-9917-5EFC4718E2BA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2 2" xfId="4005" xr:uid="{D2B36618-CDCD-4831-8827-22DAC83A42FA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006" xr:uid="{485FABEB-EEB8-4AE6-8E35-1AE3E8FEC575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007" xr:uid="{887E09FF-412B-443E-BCD2-F0DBF9202D03}"/>
    <cellStyle name="Comma 18 2 3" xfId="3036" xr:uid="{79EB30D2-A693-4775-8421-B8C559DA9B2E}"/>
    <cellStyle name="Comma 18 3" xfId="769" xr:uid="{00000000-0005-0000-0000-000001030000}"/>
    <cellStyle name="Comma 18 3 2" xfId="4008" xr:uid="{D17F44BD-C979-4BAB-A64C-EC569C7957B7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5 2" xfId="4009" xr:uid="{1C4D9B00-4ACA-4151-8B9E-A084781BD7F1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010" xr:uid="{A8C9F826-208B-44DF-A4C7-5C88080982CE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2 2" xfId="4011" xr:uid="{32CD1EC6-44DA-41EF-A469-C0E89A181E33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2 2" xfId="4012" xr:uid="{EE4D25CB-A249-4927-88F7-AF2B7D6234FD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2 2" xfId="4013" xr:uid="{7EE6BF03-5D47-43A4-A81B-7633368F54F8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2 2" xfId="4014" xr:uid="{E269034F-5A40-4C2C-92EA-C35EA403395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2 2" xfId="4015" xr:uid="{E92D9D04-7886-4050-8937-D6DA09E3692B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2 2" xfId="4016" xr:uid="{CDFAB245-3A1B-4F03-BDE5-2180EB3F3994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2 2" xfId="4017" xr:uid="{BFE11274-1957-4ED1-83BD-5EC543D4147B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2 2" xfId="4018" xr:uid="{F30B7555-70FD-4863-A145-C6CE9B6CA682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2 2" xfId="4019" xr:uid="{D4C98E07-7734-4300-8E39-79B4AA46546D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022" xr:uid="{81B9DAD8-C80D-4A30-B31C-88B76B75D4F7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2 2" xfId="4023" xr:uid="{555BB414-7228-4015-BAE8-27543A0332C7}"/>
    <cellStyle name="Comma 2 2 2 2 2 2 2 3 3" xfId="3057" xr:uid="{A912B6DB-EE4A-4651-A2DC-3EF2FC964E42}"/>
    <cellStyle name="Comma 2 2 2 2 2 2 2 4" xfId="3055" xr:uid="{A5F63825-5350-4D7B-9D88-09A52BA42B0B}"/>
    <cellStyle name="Comma 2 2 2 2 2 2 2 5" xfId="4021" xr:uid="{0FC22667-A847-4324-8D76-7CC0557AB735}"/>
    <cellStyle name="Comma 2 2 2 2 2 2 3" xfId="806" xr:uid="{00000000-0005-0000-0000-000026030000}"/>
    <cellStyle name="Comma 2 2 2 2 2 2 3 2" xfId="3058" xr:uid="{4D2EF11E-6DB9-49E1-A02C-F3AC680431D3}"/>
    <cellStyle name="Comma 2 2 2 2 2 2 3 3" xfId="4024" xr:uid="{D529545D-D7BC-4C08-AF4E-C1A98712C333}"/>
    <cellStyle name="Comma 2 2 2 2 2 2 4" xfId="807" xr:uid="{00000000-0005-0000-0000-000027030000}"/>
    <cellStyle name="Comma 2 2 2 2 2 2 4 2" xfId="4025" xr:uid="{E2319096-A04C-48CD-BCD9-ABC4C21E2CFB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2 2" xfId="4026" xr:uid="{49E0993C-501A-4970-A3C6-88E4569ED243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2 2" xfId="4027" xr:uid="{253A343E-4BCA-4E90-A394-9B2F37449AF7}"/>
    <cellStyle name="Comma 2 2 2 2 2 4 3" xfId="3060" xr:uid="{C2B9D5D3-AEF7-4D9C-8441-9C787B46E48A}"/>
    <cellStyle name="Comma 2 2 2 2 2 5" xfId="3053" xr:uid="{292E16A3-50C0-4300-B2A0-C61C77350C20}"/>
    <cellStyle name="Comma 2 2 2 2 2 6" xfId="4020" xr:uid="{0AB856D6-2F2F-423B-93AE-B333EEAFF61D}"/>
    <cellStyle name="Comma 2 2 2 2 3" xfId="812" xr:uid="{00000000-0005-0000-0000-00002C030000}"/>
    <cellStyle name="Comma 2 2 2 2 3 2" xfId="3061" xr:uid="{77E7F2D4-EB1C-49C4-B9B2-4930A683FA23}"/>
    <cellStyle name="Comma 2 2 2 2 3 3" xfId="4028" xr:uid="{4B048D58-8D5A-41A9-9C6D-9B5C7C8FE9A8}"/>
    <cellStyle name="Comma 2 2 2 2 4" xfId="813" xr:uid="{00000000-0005-0000-0000-00002D030000}"/>
    <cellStyle name="Comma 2 2 2 2 4 2" xfId="3062" xr:uid="{EF259039-703B-4878-97EA-1EF79FAA0879}"/>
    <cellStyle name="Comma 2 2 2 2 4 3" xfId="4029" xr:uid="{3610FF4A-224B-4E75-90FC-562B7AB7FB4E}"/>
    <cellStyle name="Comma 2 2 2 2 5" xfId="814" xr:uid="{00000000-0005-0000-0000-00002E030000}"/>
    <cellStyle name="Comma 2 2 2 2 5 2" xfId="4030" xr:uid="{C7B64045-5F08-4DFB-B0C8-2E034EF967A9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2 2" xfId="4031" xr:uid="{D0A1DCAE-176C-4945-B062-8CB7374D349E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2 2" xfId="4032" xr:uid="{78F26927-7EB2-410F-BFD8-2648B4969166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2 2" xfId="4033" xr:uid="{A11FB2FD-B170-439B-B086-023F0A131EDB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2 2" xfId="4034" xr:uid="{9C426718-6F12-4B4A-B961-E73C1C98DC83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4 3" xfId="4035" xr:uid="{FB99223C-0E9C-4AEF-81B5-A7214A303CBF}"/>
    <cellStyle name="Comma 2 2 5" xfId="824" xr:uid="{00000000-0005-0000-0000-000038030000}"/>
    <cellStyle name="Comma 2 2 5 2" xfId="3068" xr:uid="{4BC0779D-8E6A-4D1A-A3B3-265220889FF9}"/>
    <cellStyle name="Comma 2 2 5 3" xfId="4036" xr:uid="{304E9243-06F4-493E-AD9B-45A542844955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037" xr:uid="{A8919C28-F268-4952-AE2B-A5D0AA5763F4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2 2" xfId="4038" xr:uid="{BF65CB74-BF6C-41D3-8687-033ACCE5FCD3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2 2" xfId="4039" xr:uid="{8732D74C-3C26-4FA2-BA17-D1AB27F2F175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2 2" xfId="4040" xr:uid="{6718D3A2-2670-4597-BAD8-FEA70FA0B1CF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2 2" xfId="4041" xr:uid="{D0C9891A-64D9-40C6-AB7F-B50873F6187F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2 2" xfId="4042" xr:uid="{8430A0AB-BC56-4400-941D-ACC80CE60934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2 2" xfId="4043" xr:uid="{CB958C8F-A82E-44CE-859E-9D473D9E32CA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2 2" xfId="4044" xr:uid="{5CB7C8AF-D769-4543-AA1A-A9005DAD4C0E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2 2" xfId="4045" xr:uid="{F3601D92-5567-4D76-9BB8-5F57F059D1DF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2 2" xfId="4046" xr:uid="{1CF5AFB9-F3AA-4B9F-A90A-61A2A85D80CE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2 2" xfId="4047" xr:uid="{ECB9AA75-E63A-49B4-AEF3-46FA47C543C6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2 2" xfId="4048" xr:uid="{B98B6EA8-261B-47A9-BD44-E5BA58275E42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2 2" xfId="4049" xr:uid="{8B24C640-83C5-4571-BE32-EA68C8976A54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2 2" xfId="4050" xr:uid="{93253210-3593-46AD-85C9-9D5E9694FDEB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2 2" xfId="4051" xr:uid="{1E8EA341-0107-43E7-B2AC-FA233C06E6AC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2 2" xfId="4052" xr:uid="{CD8E6C9A-7977-4E67-B454-F7CBE6C7454D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2 2" xfId="4053" xr:uid="{4010D4D2-245A-4727-A6F2-00458CD65079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2 2" xfId="4054" xr:uid="{BB6AAAF4-F84B-4AA1-95AC-72102C1FEF89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2 2" xfId="4055" xr:uid="{1B29F67C-ED95-4269-93D5-CE0A9A4F3FB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2 2" xfId="4056" xr:uid="{AF63DFE1-0101-414D-A027-39B4A0002FE7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2 2" xfId="4057" xr:uid="{5C86AB7F-224C-415E-9346-74648B688E07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2 2" xfId="4058" xr:uid="{869DF904-C558-4452-A78C-A31C14281579}"/>
    <cellStyle name="Comma 2 4 3" xfId="871" xr:uid="{00000000-0005-0000-0000-000067030000}"/>
    <cellStyle name="Comma 2 4 3 2" xfId="4059" xr:uid="{30AC24CF-6AF9-463F-B009-BF80F760DE81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060" xr:uid="{942FF5DD-0902-4697-A65E-72B5C272C343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2 2" xfId="4061" xr:uid="{EFB05859-C87C-44C7-A39B-A9F9465BD36A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2 2" xfId="4062" xr:uid="{5E520485-587E-443A-9869-B2BF74938F55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2 2" xfId="4063" xr:uid="{0D0EC139-8D48-4D84-9B8D-EC7CE8820EA6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2 2" xfId="4064" xr:uid="{0E3A5BD6-B4CC-4B57-9BAF-82DBD876B691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2 2" xfId="4065" xr:uid="{4E9179F6-3B91-4DFE-8841-7336ED4F2341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2 2" xfId="4066" xr:uid="{7484ED1A-58AD-41D9-9FE7-6E452056AC5B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2 2" xfId="4067" xr:uid="{9352C58C-D1F3-4646-94CF-2B8EF5BFD668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2 2" xfId="4068" xr:uid="{1ED31EB9-0D86-41BF-AEA3-079D5C5402EB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2 2" xfId="4069" xr:uid="{CE960D4F-2B50-4E12-836F-34A9505C8943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2 2" xfId="4070" xr:uid="{39F32380-AE86-4F66-9D98-113DBAA8597D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2 2" xfId="4072" xr:uid="{97548529-303A-4B66-917D-BA58E58A1BC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2 2" xfId="4073" xr:uid="{D54A47DF-69F5-4DAA-9314-A866E36C5693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2 2" xfId="4074" xr:uid="{6F9C062E-548E-4F67-B105-AB487099CE54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2 2" xfId="4075" xr:uid="{C1F4146B-E39A-4DF0-9358-79B51A44FDBD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2 2" xfId="4076" xr:uid="{D447B2EB-B6ED-455A-902D-8B6BA2B34CDD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2 2" xfId="4077" xr:uid="{6789CA6B-7A3B-419C-BC50-3B34708BE6A6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2 2" xfId="4078" xr:uid="{A9B1C2D6-A75C-459E-B42A-4589F9C2F317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2 2" xfId="4079" xr:uid="{9E7D763F-2CE7-46AD-A762-F26488740491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080" xr:uid="{4482DB90-104A-4ADD-86ED-6EECF39D21EF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2 2" xfId="4081" xr:uid="{3EBC884C-DEB1-45C0-9DC4-98999E5A0BB1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2 2" xfId="4082" xr:uid="{CFFB03F6-D6FD-4875-99E6-1360A418160E}"/>
    <cellStyle name="Comma 2 58 4 3" xfId="3113" xr:uid="{12B0CA1A-DD18-42EB-8EA2-C30D64AB2CDB}"/>
    <cellStyle name="Comma 2 58 5" xfId="918" xr:uid="{00000000-0005-0000-0000-000096030000}"/>
    <cellStyle name="Comma 2 58 5 2" xfId="4083" xr:uid="{C27503B6-B579-457E-9881-300C895B97FB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2 2" xfId="4084" xr:uid="{8D356D38-E906-4AE0-91FA-993ABE8555F4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085" xr:uid="{F82253BE-8185-493B-833E-9B2E5937AC3C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087" xr:uid="{3738655A-0379-440D-9ED0-8F7A128DFBC7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2 2" xfId="4088" xr:uid="{69CD1CE2-0C71-47BC-BA95-732DE74F85C7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089" xr:uid="{8AAD8EB9-6324-4900-8077-A77DD53E70C2}"/>
    <cellStyle name="Comma 20 2 3" xfId="3119" xr:uid="{BBE64F19-6DDB-4B0E-855F-8DBE7DE85715}"/>
    <cellStyle name="Comma 20 3" xfId="953" xr:uid="{00000000-0005-0000-0000-0000B9030000}"/>
    <cellStyle name="Comma 20 3 2" xfId="4090" xr:uid="{B62FEC3B-3EA5-443C-8C47-C7DE42D206C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091" xr:uid="{3C3177DE-2CE7-4950-A013-6E18BDBBED8E}"/>
    <cellStyle name="Comma 21 2 3" xfId="3121" xr:uid="{1ADD6D14-A05B-40A4-8BC2-B83F674A8B02}"/>
    <cellStyle name="Comma 21 3" xfId="957" xr:uid="{00000000-0005-0000-0000-0000BD030000}"/>
    <cellStyle name="Comma 21 3 2" xfId="4092" xr:uid="{66E1C084-EA34-490F-8BAC-66E2DE1DA351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093" xr:uid="{6FB181C9-DEE6-49B1-A60D-C2745D938C22}"/>
    <cellStyle name="Comma 22 2 3" xfId="3123" xr:uid="{8662D34A-87FE-4E93-8D66-C4B9E2E8EC06}"/>
    <cellStyle name="Comma 22 3" xfId="961" xr:uid="{00000000-0005-0000-0000-0000C1030000}"/>
    <cellStyle name="Comma 22 3 2" xfId="4094" xr:uid="{CF092EC1-88DF-4CB8-9C36-0CF2BD4410B6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2 2" xfId="4095" xr:uid="{BF314D45-1C6F-4497-9864-5AAB58C1B0C9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2 2" xfId="4096" xr:uid="{D98ED610-0EFA-4526-8F18-93B3C6569C57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2 2" xfId="4097" xr:uid="{0B1C2CF4-0D19-4935-B534-933A8BF24EC6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2 2" xfId="4098" xr:uid="{E6F04F91-E674-436D-9AAC-13B03AB7264F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7 3" xfId="4099" xr:uid="{F1535CDB-372C-4F68-A38C-5C054BBB53D3}"/>
    <cellStyle name="Comma 28" xfId="971" xr:uid="{00000000-0005-0000-0000-0000CB030000}"/>
    <cellStyle name="Comma 28 2" xfId="972" xr:uid="{00000000-0005-0000-0000-0000CC030000}"/>
    <cellStyle name="Comma 28 2 2" xfId="4100" xr:uid="{B058684C-93CA-4707-8AB7-CC194F03F72F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2 2" xfId="4101" xr:uid="{7184091B-8441-44BE-90F8-FD567AC3182F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0 2" xfId="4102" xr:uid="{0F3A116F-853F-4661-A79D-FA7368227FCF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6 2" xfId="4103" xr:uid="{15417549-D3DF-42B3-A0A3-DEF24CAA4CCC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 9 3" xfId="4104" xr:uid="{9D4F657A-423E-4A30-8D6A-404EBADA0FF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105" xr:uid="{F60EF1DF-0712-4EC1-91D4-72C9C7CC6746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2 2" xfId="4106" xr:uid="{A5A51D17-0F2B-486A-9209-0EF1C516FE71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4109" xr:uid="{1B21AC06-C399-41FD-A212-81413A45C1E2}"/>
    <cellStyle name="Comma 33 2 3" xfId="4108" xr:uid="{F6D2070E-D012-4886-A4BE-26DFB3396AC5}"/>
    <cellStyle name="Comma 33 3" xfId="1037" xr:uid="{00000000-0005-0000-0000-00000D040000}"/>
    <cellStyle name="Comma 33 3 2" xfId="4110" xr:uid="{EB3C528B-6D7F-4F0D-955C-A7C10D6DABDD}"/>
    <cellStyle name="Comma 33 4" xfId="3182" xr:uid="{9F82FAF5-27C0-45C9-84D7-C51609381F8D}"/>
    <cellStyle name="Comma 33 5" xfId="3632" xr:uid="{6F6EB5BF-0FA9-47C6-B1EE-3AF6AC7FB239}"/>
    <cellStyle name="Comma 33 6" xfId="4107" xr:uid="{688654F4-D8BC-4008-AE4A-C41B7DFDD048}"/>
    <cellStyle name="Comma 33 7" xfId="4665" xr:uid="{F22A5773-669A-44CE-BC87-F82CFE6BEBDD}"/>
    <cellStyle name="Comma 34" xfId="1038" xr:uid="{00000000-0005-0000-0000-00000E040000}"/>
    <cellStyle name="Comma 34 2" xfId="1039" xr:uid="{00000000-0005-0000-0000-00000F040000}"/>
    <cellStyle name="Comma 34 2 2" xfId="4111" xr:uid="{7D52B6B6-00EE-4AE7-8F39-65A3A8294B7D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112" xr:uid="{DED90763-4991-4F14-8FE4-06DA59ACC3B2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8 2 2" xfId="4114" xr:uid="{D2561B49-EF30-4328-AF25-1F93BE83A6FF}"/>
    <cellStyle name="Comma 38 3" xfId="4113" xr:uid="{63A4E5E1-57DD-4C23-B37E-FF81AAD6071E}"/>
    <cellStyle name="Comma 39" xfId="1046" xr:uid="{00000000-0005-0000-0000-000016040000}"/>
    <cellStyle name="Comma 39 2" xfId="4115" xr:uid="{4863BEE4-E215-45BF-8B5B-1A4801CA76AA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116" xr:uid="{4E15FE4E-AD3A-4FD6-B44D-079A258BF490}"/>
    <cellStyle name="Comma 4 2 3" xfId="3186" xr:uid="{F7828FDB-280A-4DB2-A34D-13055E70D125}"/>
    <cellStyle name="Comma 4 3" xfId="1050" xr:uid="{00000000-0005-0000-0000-00001A040000}"/>
    <cellStyle name="Comma 4 3 2" xfId="4117" xr:uid="{E3E1DA71-AB22-4D65-9F76-CF4C1FC61CF4}"/>
    <cellStyle name="Comma 4 4" xfId="1051" xr:uid="{00000000-0005-0000-0000-00001B040000}"/>
    <cellStyle name="Comma 4 4 2" xfId="4118" xr:uid="{E08C6EFF-12C8-4147-A347-90491166BABC}"/>
    <cellStyle name="Comma 4 5" xfId="1052" xr:uid="{00000000-0005-0000-0000-00001C040000}"/>
    <cellStyle name="Comma 4 5 2" xfId="4119" xr:uid="{0766CCAA-7570-4208-9A09-E09EC6405B5A}"/>
    <cellStyle name="Comma 4 6" xfId="3185" xr:uid="{DB7B830A-8ED3-475D-9BE0-A00F7F10C261}"/>
    <cellStyle name="Comma 40" xfId="1053" xr:uid="{00000000-0005-0000-0000-00001D040000}"/>
    <cellStyle name="Comma 40 2" xfId="4120" xr:uid="{123E3C6B-A03A-416B-AA4C-D154D984F673}"/>
    <cellStyle name="Comma 41" xfId="3916" xr:uid="{5A491CEE-10A1-430C-B2F1-3C3BE88B6E8C}"/>
    <cellStyle name="Comma 42" xfId="1054" xr:uid="{00000000-0005-0000-0000-00001E040000}"/>
    <cellStyle name="Comma 42 2" xfId="1055" xr:uid="{00000000-0005-0000-0000-00001F040000}"/>
    <cellStyle name="Comma 42 2 2" xfId="4121" xr:uid="{073F4C96-D098-4F1D-A18A-004F97DC8D74}"/>
    <cellStyle name="Comma 42 3" xfId="3187" xr:uid="{C0A33045-EC4F-4689-9FC0-9AACC9E26ED7}"/>
    <cellStyle name="Comma 43" xfId="4194" xr:uid="{75D295E4-BE54-4D9F-BFAA-642E8005045D}"/>
    <cellStyle name="Comma 44" xfId="4398" xr:uid="{A3CB505E-A42C-4095-98D8-D9F434868A60}"/>
    <cellStyle name="Comma 45" xfId="1056" xr:uid="{00000000-0005-0000-0000-000020040000}"/>
    <cellStyle name="Comma 45 2" xfId="1057" xr:uid="{00000000-0005-0000-0000-000021040000}"/>
    <cellStyle name="Comma 45 2 2" xfId="4122" xr:uid="{CFCD91CB-0741-4E5B-99D3-F0C060AAB5E4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2 2" xfId="4123" xr:uid="{4B702AB8-7269-4F65-ACB3-B1F6B39DEB88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2 2" xfId="4124" xr:uid="{EF39CE52-ED0F-4121-AB16-0DCD9B49DEAA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2 2" xfId="4125" xr:uid="{FAE5DB7E-22C3-4AB6-8965-55CB68F817C1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2 2" xfId="4126" xr:uid="{A8ABC1AA-EB77-46CF-B481-06A6250796F8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127" xr:uid="{4DDAE950-91B3-4E0D-8822-4F2AA897C987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128" xr:uid="{98F0CB53-F2FF-41D9-AF50-BB7D92B27695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2 2" xfId="4129" xr:uid="{249B43D5-60B0-4908-9968-A2931CEE48AC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2 2" xfId="4130" xr:uid="{EF975088-7688-4636-8BE6-1A6E0A7AD25D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2 2" xfId="4131" xr:uid="{8CD56465-ACD8-4FEA-8B3A-A2373A8CE65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2 2" xfId="4132" xr:uid="{9257AC79-0C2B-4932-97D2-6041F7612E7F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133" xr:uid="{6813E7C2-1EFB-48F4-A9EE-6DEBC34A59C3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2 2" xfId="4134" xr:uid="{05C64923-5D80-42CD-AF16-31DD9B884BC6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2 2" xfId="4135" xr:uid="{A2CC7499-5C9A-4E0E-9FF5-B8B1F43FB4DF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2 2" xfId="4136" xr:uid="{8291545E-F59D-4020-9E2C-D613AE4E6E3D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138" xr:uid="{728CAB4E-3FDC-4C3B-B3B0-335B66B2A347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2 2" xfId="4139" xr:uid="{761C2F1D-8B5D-4D82-AFEA-5439880CB489}"/>
    <cellStyle name="Comma 7 3 3" xfId="3207" xr:uid="{648F0BE3-19F6-40CE-8536-897CE90C6E10}"/>
    <cellStyle name="Comma 7 4" xfId="3205" xr:uid="{B12EFE5C-D056-4BAE-B5DA-7C1A3BF49D5E}"/>
    <cellStyle name="Comma 7 5" xfId="4137" xr:uid="{0B2010C1-1A13-4D84-B86C-13332B9ABCDD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2 2" xfId="4140" xr:uid="{5D235C10-22F1-4967-966B-5462670E9218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2 2" xfId="4141" xr:uid="{BA782169-CDDD-455C-B859-8F2756305E13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142" xr:uid="{B213BB29-5404-4896-BAA4-0F7904A7A877}"/>
    <cellStyle name="Comma 8 2 2 3" xfId="3213" xr:uid="{8971175D-897D-4AE1-AD6B-222E20BFBB24}"/>
    <cellStyle name="Comma 8 2 3" xfId="1104" xr:uid="{00000000-0005-0000-0000-000050040000}"/>
    <cellStyle name="Comma 8 2 3 2" xfId="4143" xr:uid="{E2D006B3-D499-4A4B-BF90-48BE6A976475}"/>
    <cellStyle name="Comma 8 2 4" xfId="3212" xr:uid="{27C17A73-FA94-4E80-84C4-AD3DCC26A00F}"/>
    <cellStyle name="Comma 8 3" xfId="1105" xr:uid="{00000000-0005-0000-0000-000051040000}"/>
    <cellStyle name="Comma 8 3 2" xfId="4144" xr:uid="{1ABED610-892F-4F56-B9F6-1DEB45123794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2 2" xfId="4145" xr:uid="{5E895577-2B3D-4633-8436-A59B3723F3B5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2 2" xfId="4146" xr:uid="{B0318A92-1BCF-44DB-B2C1-59BAC1BA0614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2 2" xfId="4147" xr:uid="{F69DC4DF-96A2-4EE0-837E-E4FEE8FAC905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2 2" xfId="4148" xr:uid="{D1A4941B-154B-4A43-9B41-B0C7D6EC435B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4 2" xfId="4149" xr:uid="{D5268A77-15D3-42E0-A8B8-5AECB866B5E2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3" xfId="4150" xr:uid="{59525049-ADEE-4C79-8BE6-FA53BFD33F66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2 2" xfId="4151" xr:uid="{E7E28701-5168-44A7-BD35-DB024AF857B2}"/>
    <cellStyle name="Draw lines around data in range 3" xfId="3638" xr:uid="{B86CB9C3-34F2-4758-8638-9DD95499857D}"/>
    <cellStyle name="Draw lines around data in range 4" xfId="3639" xr:uid="{69B10AEB-49A5-4A03-AE27-60E633F9B412}"/>
    <cellStyle name="Draw lines around data in range 5" xfId="4671" xr:uid="{B886C8A7-2F01-4CBB-801D-F98363650A47}"/>
    <cellStyle name="Draw lines around data in range 6" xfId="4674" xr:uid="{0FEEDB7E-8C7B-4017-A0CF-C1F07FFFEA45}"/>
    <cellStyle name="Draw lines around data in range 7" xfId="4673" xr:uid="{82476046-5F9E-4555-ADCC-EA094BA28DF9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2 2" xfId="4152" xr:uid="{321D3890-2248-4C4E-847E-00F552416FB6}"/>
    <cellStyle name="Draw shadow and lines within range 3" xfId="3637" xr:uid="{F7B2781E-430F-49D0-B280-DCC268AAC7C6}"/>
    <cellStyle name="Draw shadow and lines within range 4" xfId="3640" xr:uid="{D596A876-8225-4652-BE5E-47ECE642D066}"/>
    <cellStyle name="Draw shadow and lines within range 5" xfId="4670" xr:uid="{C094F61F-D02B-44DF-A84D-AFF0C4630939}"/>
    <cellStyle name="Draw shadow and lines within range 6" xfId="4675" xr:uid="{927145FD-482C-4754-8F87-A743670CB088}"/>
    <cellStyle name="Draw shadow and lines within range 7" xfId="4672" xr:uid="{75D2CF5E-83BB-4473-954E-9B92CBA86388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153" xr:uid="{B99CB0B5-AEE7-4AEB-AA59-D3454E3F53FA}"/>
    <cellStyle name="Format a column of totals 2 3" xfId="3636" xr:uid="{5128B386-83F8-482D-85A1-3532C47325A6}"/>
    <cellStyle name="Format a column of totals 3" xfId="1206" xr:uid="{00000000-0005-0000-0000-0000B6040000}"/>
    <cellStyle name="Format a column of totals 3 2" xfId="4154" xr:uid="{5556C664-0FBE-4F2E-817B-BAAB2587838F}"/>
    <cellStyle name="Format a column of totals 4" xfId="3635" xr:uid="{59778E62-8379-4F93-9446-1154650EA1E5}"/>
    <cellStyle name="Format a row of totals" xfId="1207" xr:uid="{00000000-0005-0000-0000-0000B7040000}"/>
    <cellStyle name="Format a row of totals 2" xfId="1208" xr:uid="{00000000-0005-0000-0000-0000B8040000}"/>
    <cellStyle name="Format a row of totals 2 2" xfId="4155" xr:uid="{EC261D7A-33EA-497C-8BFE-B5C6BC286625}"/>
    <cellStyle name="Format a row of totals 3" xfId="3634" xr:uid="{59883E9C-A3BA-4332-BC55-2415578A1943}"/>
    <cellStyle name="Format a row of totals 4" xfId="3641" xr:uid="{5904F3BF-F20E-4331-BBAA-43B4C949CA60}"/>
    <cellStyle name="Format a row of totals 5" xfId="4667" xr:uid="{61470EC1-AEF4-449B-B286-E6D4377321B2}"/>
    <cellStyle name="Format a row of totals 6" xfId="4676" xr:uid="{08867776-4A7A-44B9-A228-AB279A99690C}"/>
    <cellStyle name="Format a row of totals 7" xfId="4669" xr:uid="{F77BE34C-364F-4FB1-BC39-AE272D0AC412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2 2" xfId="4156" xr:uid="{59C886AA-9421-40AC-B730-3B75E4D6EE98}"/>
    <cellStyle name="Format text as bold, black on yellow 3" xfId="3633" xr:uid="{2A563C9B-69CB-4043-9B4F-A0E287DAFEB3}"/>
    <cellStyle name="Format text as bold, black on yellow 4" xfId="3642" xr:uid="{7CE6C918-1264-470C-85B5-EDEAB315CDCB}"/>
    <cellStyle name="Format text as bold, black on yellow 5" xfId="4666" xr:uid="{CA09BA7F-CF8B-49E0-BF4F-D69D789F05A3}"/>
    <cellStyle name="Format text as bold, black on yellow 6" xfId="4677" xr:uid="{7862F7A1-28FA-4E84-8E9A-2544A5A0A2E8}"/>
    <cellStyle name="Format text as bold, black on yellow 7" xfId="4668" xr:uid="{D82620E9-A4F8-4A60-B690-6D02F7B54133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2 2" xfId="4158" xr:uid="{25CA3094-89BF-4048-9860-67BF063E2AF1}"/>
    <cellStyle name="Input 10 3" xfId="3631" xr:uid="{9E15F01B-623A-410B-90FD-FF76974ADC1C}"/>
    <cellStyle name="Input 10 4" xfId="3643" xr:uid="{185635B6-BA8F-454D-BD36-0059101CE4A3}"/>
    <cellStyle name="Input 10 5" xfId="4653" xr:uid="{79DD5DA7-74DC-4CC7-8AAE-77804BF17466}"/>
    <cellStyle name="Input 10 6" xfId="4678" xr:uid="{1F5C035D-34EA-4D8B-9DA3-5CF60722BD0E}"/>
    <cellStyle name="Input 10 7" xfId="4664" xr:uid="{0BA32491-7CB5-468C-857D-5D7190F5A602}"/>
    <cellStyle name="Input 11" xfId="1350" xr:uid="{00000000-0005-0000-0000-000046050000}"/>
    <cellStyle name="Input 11 2" xfId="1351" xr:uid="{00000000-0005-0000-0000-000047050000}"/>
    <cellStyle name="Input 11 2 2" xfId="4159" xr:uid="{FADABCC0-9C0C-45B6-861C-979964E6C8D3}"/>
    <cellStyle name="Input 11 3" xfId="3630" xr:uid="{FDB4B1F3-3A6A-4DB3-B956-7837CDC781EB}"/>
    <cellStyle name="Input 11 4" xfId="3644" xr:uid="{64BC5015-6597-4D79-B5FB-D3400530AD8A}"/>
    <cellStyle name="Input 11 5" xfId="4652" xr:uid="{30F8C009-5076-4837-A197-93E8B9751BD1}"/>
    <cellStyle name="Input 11 6" xfId="4679" xr:uid="{1A281211-B9B2-4C3E-B497-A82DE29A0CE6}"/>
    <cellStyle name="Input 11 7" xfId="4663" xr:uid="{681A2F8B-B826-4DE1-A7B2-791A3502BE00}"/>
    <cellStyle name="Input 12" xfId="1352" xr:uid="{00000000-0005-0000-0000-000048050000}"/>
    <cellStyle name="Input 12 2" xfId="1353" xr:uid="{00000000-0005-0000-0000-000049050000}"/>
    <cellStyle name="Input 12 2 2" xfId="4160" xr:uid="{5F7A0705-A3F2-4DC8-9E68-5498C38D8991}"/>
    <cellStyle name="Input 12 3" xfId="3629" xr:uid="{B151740C-786A-4C5A-B664-8ACA03067F61}"/>
    <cellStyle name="Input 12 4" xfId="3403" xr:uid="{D8E4C416-0E41-4561-8E98-3A51A80C1BAD}"/>
    <cellStyle name="Input 12 5" xfId="4651" xr:uid="{BC536431-7A14-43D7-BEFB-21A2AE35B57F}"/>
    <cellStyle name="Input 12 6" xfId="4680" xr:uid="{6014214D-F591-4C69-B4BE-AF703AC1F559}"/>
    <cellStyle name="Input 12 7" xfId="4662" xr:uid="{D32F1241-9C4A-45DB-A3A4-4C5403EBEE27}"/>
    <cellStyle name="Input 13" xfId="1354" xr:uid="{00000000-0005-0000-0000-00004A050000}"/>
    <cellStyle name="Input 13 2" xfId="1355" xr:uid="{00000000-0005-0000-0000-00004B050000}"/>
    <cellStyle name="Input 13 2 2" xfId="4161" xr:uid="{42C3BA16-26CD-4B0F-A530-693E6B805A0C}"/>
    <cellStyle name="Input 13 3" xfId="3628" xr:uid="{9C90BD0C-C16C-442E-A10A-E27747DC2FAF}"/>
    <cellStyle name="Input 13 4" xfId="3645" xr:uid="{604D21ED-C645-4AFB-AD3A-F60304F3827E}"/>
    <cellStyle name="Input 13 5" xfId="4650" xr:uid="{D497BEDC-571F-444B-9938-D827C808C500}"/>
    <cellStyle name="Input 13 6" xfId="4426" xr:uid="{7627E49F-3E7F-465B-B63D-BE1E90EA4070}"/>
    <cellStyle name="Input 13 7" xfId="4661" xr:uid="{04CC8638-362A-4FE8-B982-B53219A96CAA}"/>
    <cellStyle name="Input 14" xfId="1356" xr:uid="{00000000-0005-0000-0000-00004C050000}"/>
    <cellStyle name="Input 14 2" xfId="1357" xr:uid="{00000000-0005-0000-0000-00004D050000}"/>
    <cellStyle name="Input 14 2 2" xfId="4162" xr:uid="{9809D337-DB67-446F-8082-DB3F68928D2C}"/>
    <cellStyle name="Input 14 3" xfId="3627" xr:uid="{91DABBD7-5B2A-4B01-B035-74FCC1D9AED7}"/>
    <cellStyle name="Input 14 4" xfId="3646" xr:uid="{840A6920-97CA-4005-8972-B86A33A727E0}"/>
    <cellStyle name="Input 14 5" xfId="4649" xr:uid="{C7915AF2-8DED-4592-BF56-FEE85BD3AB5F}"/>
    <cellStyle name="Input 14 6" xfId="4681" xr:uid="{7E351C00-CEE4-4D27-9E79-39B839386D18}"/>
    <cellStyle name="Input 14 7" xfId="4660" xr:uid="{7F0F723A-A394-49D8-90E0-D95F8F4CACBA}"/>
    <cellStyle name="Input 15" xfId="1358" xr:uid="{00000000-0005-0000-0000-00004E050000}"/>
    <cellStyle name="Input 15 2" xfId="1359" xr:uid="{00000000-0005-0000-0000-00004F050000}"/>
    <cellStyle name="Input 15 2 2" xfId="4163" xr:uid="{A019AC88-89A3-4720-B9D2-994BC734946B}"/>
    <cellStyle name="Input 15 3" xfId="3626" xr:uid="{CD34BDA4-F48B-4399-B781-4CB144500259}"/>
    <cellStyle name="Input 15 4" xfId="3647" xr:uid="{2EE379DB-E30A-4361-B66B-94655DFA0A1A}"/>
    <cellStyle name="Input 15 5" xfId="4648" xr:uid="{3DBF044E-2807-4EF6-B09D-6D53723FBDD7}"/>
    <cellStyle name="Input 15 6" xfId="4682" xr:uid="{E5B88ACD-1648-49CC-BCB3-F58C444F291E}"/>
    <cellStyle name="Input 15 7" xfId="4659" xr:uid="{A4389D7A-CB08-4B10-97EB-FF5A9B67E7BF}"/>
    <cellStyle name="Input 16" xfId="1360" xr:uid="{00000000-0005-0000-0000-000050050000}"/>
    <cellStyle name="Input 16 2" xfId="1361" xr:uid="{00000000-0005-0000-0000-000051050000}"/>
    <cellStyle name="Input 16 2 2" xfId="4164" xr:uid="{8F56A588-061E-47C5-B909-02427FFD0C95}"/>
    <cellStyle name="Input 16 3" xfId="3625" xr:uid="{0D7A49DD-9A91-4C6A-B1C9-1FA366FB0CFE}"/>
    <cellStyle name="Input 16 4" xfId="3648" xr:uid="{05C94ECF-3627-4B9C-BE40-9163E6AA4224}"/>
    <cellStyle name="Input 16 5" xfId="4647" xr:uid="{5793860B-1E4F-4733-A18D-3F0A0221D527}"/>
    <cellStyle name="Input 16 6" xfId="4683" xr:uid="{EB713176-D01D-4754-8383-0C9A559F4515}"/>
    <cellStyle name="Input 16 7" xfId="4658" xr:uid="{125E211A-D5D2-481E-A270-B6B1E952B27A}"/>
    <cellStyle name="Input 17" xfId="1362" xr:uid="{00000000-0005-0000-0000-000052050000}"/>
    <cellStyle name="Input 17 2" xfId="1363" xr:uid="{00000000-0005-0000-0000-000053050000}"/>
    <cellStyle name="Input 17 2 2" xfId="4165" xr:uid="{46FF7B98-009D-4F49-A882-329E7D8A9EA2}"/>
    <cellStyle name="Input 17 3" xfId="3624" xr:uid="{34EB2CD2-198F-4EA0-B8C1-9B509200BC8D}"/>
    <cellStyle name="Input 17 4" xfId="3649" xr:uid="{8C6BB267-608D-4B53-B279-10B3DB2C6F12}"/>
    <cellStyle name="Input 17 5" xfId="4646" xr:uid="{340AAC03-FA61-4DDC-992D-6EE9B2ED47E3}"/>
    <cellStyle name="Input 17 6" xfId="4684" xr:uid="{0032C43F-80B6-4F2B-A623-D30E453A5ACA}"/>
    <cellStyle name="Input 17 7" xfId="4657" xr:uid="{C9B3744C-C6AE-4759-8366-F1B4DFFE7A79}"/>
    <cellStyle name="Input 18" xfId="1364" xr:uid="{00000000-0005-0000-0000-000054050000}"/>
    <cellStyle name="Input 18 2" xfId="1365" xr:uid="{00000000-0005-0000-0000-000055050000}"/>
    <cellStyle name="Input 18 2 2" xfId="4166" xr:uid="{9451E5EE-2103-495D-B742-EF2AFE116C2D}"/>
    <cellStyle name="Input 18 3" xfId="3623" xr:uid="{0C2D6B64-B18B-499C-A093-5D1B0BBD630B}"/>
    <cellStyle name="Input 18 4" xfId="3650" xr:uid="{D44CE9DC-8AFF-40AD-9976-F673282A90C3}"/>
    <cellStyle name="Input 18 5" xfId="4645" xr:uid="{7ED0F5C5-76C0-4DCF-ABCA-8657D414BE4E}"/>
    <cellStyle name="Input 18 6" xfId="4685" xr:uid="{2F45E6C3-DFE7-4E13-8996-5BBFDBF8ABF6}"/>
    <cellStyle name="Input 18 7" xfId="4656" xr:uid="{C114A421-A4A1-40BC-839E-EF9620C42B29}"/>
    <cellStyle name="Input 19" xfId="1366" xr:uid="{00000000-0005-0000-0000-000056050000}"/>
    <cellStyle name="Input 19 2" xfId="1367" xr:uid="{00000000-0005-0000-0000-000057050000}"/>
    <cellStyle name="Input 19 2 2" xfId="4167" xr:uid="{BD1588D1-8A8E-45D9-8301-47AA13A839D5}"/>
    <cellStyle name="Input 19 3" xfId="3622" xr:uid="{08AA1154-D682-4668-B4AC-D9CD0C994BDD}"/>
    <cellStyle name="Input 19 4" xfId="3651" xr:uid="{9338EA3E-C701-4ABD-B890-FEC58562C4FF}"/>
    <cellStyle name="Input 19 5" xfId="4644" xr:uid="{0508FA80-CBF2-4947-9570-754199C3600D}"/>
    <cellStyle name="Input 19 6" xfId="4686" xr:uid="{CA58161B-BB85-49F5-B3BE-8C34C6FCC87E}"/>
    <cellStyle name="Input 19 7" xfId="4655" xr:uid="{9737E417-08B5-496A-AEDA-00DE74DD5EBB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2 2 2" xfId="4168" xr:uid="{D6125D98-9E23-4D62-A3D0-41C8FD5986BC}"/>
    <cellStyle name="Input 2 2 3" xfId="3620" xr:uid="{69741AAF-C562-47D2-B8E5-F79F5ECD709F}"/>
    <cellStyle name="Input 2 2 4" xfId="3653" xr:uid="{A732DDBC-11CC-4CC0-9D82-03359556332C}"/>
    <cellStyle name="Input 2 2 5" xfId="4642" xr:uid="{BBE9A3A9-69B3-4F23-BDF9-20CC299326A4}"/>
    <cellStyle name="Input 2 2 6" xfId="4416" xr:uid="{56AB6296-DC2B-486A-AFEC-F31739D4DC49}"/>
    <cellStyle name="Input 2 2 7" xfId="4629" xr:uid="{94A9CC14-FFC2-44C1-840B-F47CE7091226}"/>
    <cellStyle name="Input 2 3" xfId="1371" xr:uid="{00000000-0005-0000-0000-00005B050000}"/>
    <cellStyle name="Input 2 3 2" xfId="1372" xr:uid="{00000000-0005-0000-0000-00005C050000}"/>
    <cellStyle name="Input 2 3 2 2" xfId="4169" xr:uid="{8727AC04-72F5-44AF-8FC8-2B777CC58963}"/>
    <cellStyle name="Input 2 3 3" xfId="3619" xr:uid="{A166ECD6-0DDA-46A6-B4BE-3E7DC68008F6}"/>
    <cellStyle name="Input 2 3 4" xfId="3654" xr:uid="{16663D59-111F-47A4-B1EE-8C1E0F2CD8C9}"/>
    <cellStyle name="Input 2 3 5" xfId="4641" xr:uid="{E4D7F1DE-D0F9-4AA8-8D8E-4571401908D8}"/>
    <cellStyle name="Input 2 3 6" xfId="4688" xr:uid="{881D6008-F3C3-48BC-AD85-9DD43E5EF792}"/>
    <cellStyle name="Input 2 3 7" xfId="4628" xr:uid="{EE5B5D34-B343-447A-8F46-BF59D7DD3F4D}"/>
    <cellStyle name="Input 2 4" xfId="1373" xr:uid="{00000000-0005-0000-0000-00005D050000}"/>
    <cellStyle name="Input 2 4 2" xfId="4170" xr:uid="{E3D35EEE-7F46-4CFD-9F62-016FCF66FA19}"/>
    <cellStyle name="Input 2 5" xfId="3621" xr:uid="{C6A34531-B4ED-41CD-96EE-6A20DDEE49C4}"/>
    <cellStyle name="Input 2 6" xfId="3652" xr:uid="{A309B868-13F4-4902-9A64-DDB13455D57B}"/>
    <cellStyle name="Input 2 7" xfId="4643" xr:uid="{D8677EE1-C3F6-4FF1-9209-C7EE36E8C0C4}"/>
    <cellStyle name="Input 2 8" xfId="4687" xr:uid="{F114DEE7-80B9-43B2-87BB-389A732C4899}"/>
    <cellStyle name="Input 2 9" xfId="4654" xr:uid="{7A988AB3-7D36-409A-9F69-3D5C5810AC08}"/>
    <cellStyle name="Input 20" xfId="1374" xr:uid="{00000000-0005-0000-0000-00005E050000}"/>
    <cellStyle name="Input 20 2" xfId="1375" xr:uid="{00000000-0005-0000-0000-00005F050000}"/>
    <cellStyle name="Input 20 2 2" xfId="4171" xr:uid="{0EB83226-9583-4A65-9AFC-9BE3D31244ED}"/>
    <cellStyle name="Input 20 3" xfId="3618" xr:uid="{6CAFABA3-81EF-4481-B797-652F5DB53334}"/>
    <cellStyle name="Input 20 4" xfId="3655" xr:uid="{FA442496-58F9-424C-AFE5-2EE253AB8104}"/>
    <cellStyle name="Input 20 5" xfId="4640" xr:uid="{E5FA5CD6-2D13-414F-AA52-E71D5E228BAD}"/>
    <cellStyle name="Input 20 6" xfId="4689" xr:uid="{B026E3ED-8DBA-4EC3-874E-36BE731E3A73}"/>
    <cellStyle name="Input 20 7" xfId="4627" xr:uid="{206D5557-8425-4E29-AF6F-9746B19174C8}"/>
    <cellStyle name="Input 21" xfId="1376" xr:uid="{00000000-0005-0000-0000-000060050000}"/>
    <cellStyle name="Input 21 2" xfId="1377" xr:uid="{00000000-0005-0000-0000-000061050000}"/>
    <cellStyle name="Input 21 2 2" xfId="4172" xr:uid="{BBDE8411-C198-4B7E-9182-43DA7245C255}"/>
    <cellStyle name="Input 21 3" xfId="3617" xr:uid="{5ADBAC3D-4DE9-48D0-A8EC-578CFD49037E}"/>
    <cellStyle name="Input 21 4" xfId="3656" xr:uid="{617B4D88-F26B-44E4-A44C-24E0F85E51C5}"/>
    <cellStyle name="Input 21 5" xfId="4639" xr:uid="{795AEBC9-2EDE-4ABC-BE78-32DDBBD94C84}"/>
    <cellStyle name="Input 21 6" xfId="4690" xr:uid="{1ED1F309-60BD-445D-8A31-C2DCE665C01B}"/>
    <cellStyle name="Input 21 7" xfId="4626" xr:uid="{49CAA774-98B8-4BDF-8A54-D2231728F5FF}"/>
    <cellStyle name="Input 22" xfId="3716" xr:uid="{FC0F8524-5D80-4E4B-9633-175DD0026563}"/>
    <cellStyle name="Input 23" xfId="3722" xr:uid="{EFDA57C0-F138-4A2C-810C-9D7BB8D8F2AF}"/>
    <cellStyle name="Input 24" xfId="3881" xr:uid="{52B47FC3-ECBA-454C-B8A4-34030C72735E}"/>
    <cellStyle name="Input 25" xfId="4157" xr:uid="{2CD7BB79-1192-4CE5-B950-B36D98230F6E}"/>
    <cellStyle name="Input 26" xfId="4071" xr:uid="{587ECCE0-A2DC-4A47-BAD4-369259224189}"/>
    <cellStyle name="Input 27" xfId="4086" xr:uid="{5E38C5BF-7D0B-4B67-9092-3318D7EB4FAA}"/>
    <cellStyle name="Input 28" xfId="4415" xr:uid="{9DDBF814-E7E1-44C3-ADB3-E8F8234FA011}"/>
    <cellStyle name="Input 29" xfId="4767" xr:uid="{FADCE5CD-8ED4-417F-B390-8DF68FCC515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2 2" xfId="4173" xr:uid="{D61965CC-CEEE-43DE-AF61-9F4EE173A2A8}"/>
    <cellStyle name="Input 3 2 3" xfId="3615" xr:uid="{88B86E0E-290A-49B2-A8F3-0504D28F2927}"/>
    <cellStyle name="Input 3 2 4" xfId="3658" xr:uid="{CDA5ADFA-114F-44B8-BDCE-88D37E2B561B}"/>
    <cellStyle name="Input 3 2 5" xfId="4637" xr:uid="{D7833E19-90DD-45A4-8B48-298D8AAA386C}"/>
    <cellStyle name="Input 3 2 6" xfId="4692" xr:uid="{9048E866-96AA-47BA-9F39-F1FA9AD54C68}"/>
    <cellStyle name="Input 3 2 7" xfId="4766" xr:uid="{BE4FD2AA-508F-47DD-A45E-ADE1B2AA9393}"/>
    <cellStyle name="Input 3 3" xfId="1381" xr:uid="{00000000-0005-0000-0000-000065050000}"/>
    <cellStyle name="Input 3 3 2" xfId="4174" xr:uid="{F9647545-2E26-4846-AABB-DF051F872212}"/>
    <cellStyle name="Input 3 4" xfId="3616" xr:uid="{3A0EE516-E0DF-4BD7-B8B6-D66792CFFB83}"/>
    <cellStyle name="Input 3 5" xfId="3657" xr:uid="{9592CC59-6A1B-4BD8-8E25-1B0B77FD038C}"/>
    <cellStyle name="Input 3 6" xfId="4638" xr:uid="{14D4E7B7-C179-4D35-9448-68BDC50C2BCB}"/>
    <cellStyle name="Input 3 7" xfId="4691" xr:uid="{A15F5DAB-F4EA-4E54-BCDA-B7FD0F7DD2CB}"/>
    <cellStyle name="Input 3 8" xfId="4625" xr:uid="{1C3C4B49-2837-4908-9BD6-0181B26D0CD5}"/>
    <cellStyle name="Input 30" xfId="4788" xr:uid="{D2DCF180-5A20-4BC8-8593-75EFA1061C06}"/>
    <cellStyle name="Input 31" xfId="4952" xr:uid="{330B818C-A93D-46F5-87B4-02373D1E6B2B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2 2" xfId="4175" xr:uid="{7C5A200B-0F40-4F96-B9EE-2446B918F733}"/>
    <cellStyle name="Input 4 2 3" xfId="3613" xr:uid="{5A377356-3073-4FF4-B377-B8C51B42E942}"/>
    <cellStyle name="Input 4 2 4" xfId="3660" xr:uid="{DC9E134D-C267-4C51-A85B-5E17CEE3B52B}"/>
    <cellStyle name="Input 4 2 5" xfId="4635" xr:uid="{C3B8183E-83F6-49B9-8AE2-3966D5344669}"/>
    <cellStyle name="Input 4 2 6" xfId="4693" xr:uid="{517C9A22-5985-428F-B430-5A7256B57A4D}"/>
    <cellStyle name="Input 4 2 7" xfId="4623" xr:uid="{CD3EC590-CF1D-4CCF-ADC9-F8E1D4CEC6B7}"/>
    <cellStyle name="Input 4 3" xfId="1385" xr:uid="{00000000-0005-0000-0000-000069050000}"/>
    <cellStyle name="Input 4 3 2" xfId="4176" xr:uid="{B6522B9F-EB12-4EF9-A7D9-390BE1DEDF3A}"/>
    <cellStyle name="Input 4 4" xfId="3614" xr:uid="{24169DD6-5894-4CC1-BE69-B61D52C83021}"/>
    <cellStyle name="Input 4 5" xfId="3659" xr:uid="{A784B56B-7650-4648-8534-2B9F5AE0EF60}"/>
    <cellStyle name="Input 4 6" xfId="4636" xr:uid="{05BD53A8-F887-4916-9A2B-ED525B30393C}"/>
    <cellStyle name="Input 4 7" xfId="4422" xr:uid="{91AFFF16-10A9-4E60-971D-14224C4B897D}"/>
    <cellStyle name="Input 4 8" xfId="4624" xr:uid="{B154D7BB-10C7-42B3-AD93-6BE7678C834C}"/>
    <cellStyle name="Input 5" xfId="1386" xr:uid="{00000000-0005-0000-0000-00006A050000}"/>
    <cellStyle name="Input 5 2" xfId="1387" xr:uid="{00000000-0005-0000-0000-00006B050000}"/>
    <cellStyle name="Input 5 2 2" xfId="4177" xr:uid="{9EA06642-AF27-4930-9650-F7F3CDB2F179}"/>
    <cellStyle name="Input 5 3" xfId="3612" xr:uid="{C0ECC8AF-F35F-4F2D-B8A4-7691F494F593}"/>
    <cellStyle name="Input 5 4" xfId="3661" xr:uid="{6528565D-F371-455F-898D-E0E31FE4D139}"/>
    <cellStyle name="Input 5 5" xfId="4634" xr:uid="{7D0D12C2-ADC7-4E58-9F3B-C77F19A8D42D}"/>
    <cellStyle name="Input 5 6" xfId="4694" xr:uid="{5325B05C-B9A2-4173-AA83-6AE3D4597038}"/>
    <cellStyle name="Input 5 7" xfId="4622" xr:uid="{36B113BD-6B11-4825-B0D7-96ACC9D17DCC}"/>
    <cellStyle name="Input 6" xfId="1388" xr:uid="{00000000-0005-0000-0000-00006C050000}"/>
    <cellStyle name="Input 6 2" xfId="1389" xr:uid="{00000000-0005-0000-0000-00006D050000}"/>
    <cellStyle name="Input 6 2 2" xfId="4178" xr:uid="{511A2F58-982E-4849-8965-A2B099531DF0}"/>
    <cellStyle name="Input 6 3" xfId="3611" xr:uid="{9B066DE3-4BA7-4F33-AC55-FB940D486AB3}"/>
    <cellStyle name="Input 6 4" xfId="3662" xr:uid="{92DABE5F-97E3-41FF-8798-5FC5D1D6DF4B}"/>
    <cellStyle name="Input 6 5" xfId="4633" xr:uid="{3C924A3C-335E-4280-B8A0-7B664E8155CA}"/>
    <cellStyle name="Input 6 6" xfId="4695" xr:uid="{3AC96980-F272-4CDB-A874-BA042F273AF5}"/>
    <cellStyle name="Input 6 7" xfId="4621" xr:uid="{C49CEF18-DE3F-4635-9826-20741C368A17}"/>
    <cellStyle name="Input 7" xfId="1390" xr:uid="{00000000-0005-0000-0000-00006E050000}"/>
    <cellStyle name="Input 7 2" xfId="1391" xr:uid="{00000000-0005-0000-0000-00006F050000}"/>
    <cellStyle name="Input 7 2 2" xfId="4179" xr:uid="{D76FAEED-350E-4CD5-A639-97F1BC6D06E6}"/>
    <cellStyle name="Input 7 3" xfId="3610" xr:uid="{84E4764C-9C48-47C0-9995-1FF14785D200}"/>
    <cellStyle name="Input 7 4" xfId="3663" xr:uid="{3AED04F1-6CA4-47A0-A73A-90F854D5EFBF}"/>
    <cellStyle name="Input 7 5" xfId="4632" xr:uid="{D60BE27B-0698-47F0-8FB4-780F1D75C704}"/>
    <cellStyle name="Input 7 6" xfId="4696" xr:uid="{FA5CC94E-26E3-45F5-A325-04D85ED26AFD}"/>
    <cellStyle name="Input 7 7" xfId="4620" xr:uid="{CAE8955A-1342-4266-89EE-E6031B7B370D}"/>
    <cellStyle name="Input 8" xfId="1392" xr:uid="{00000000-0005-0000-0000-000070050000}"/>
    <cellStyle name="Input 8 2" xfId="1393" xr:uid="{00000000-0005-0000-0000-000071050000}"/>
    <cellStyle name="Input 8 2 2" xfId="4180" xr:uid="{3A15864F-949F-4DFD-92B6-0217CFA61059}"/>
    <cellStyle name="Input 8 3" xfId="3609" xr:uid="{90AF3169-BA5D-4DA7-9BC5-F037E84A7E49}"/>
    <cellStyle name="Input 8 4" xfId="3664" xr:uid="{749988D3-251A-4C1B-9A49-C37648722EAE}"/>
    <cellStyle name="Input 8 5" xfId="4631" xr:uid="{A8B3DBEB-5C25-494A-9B52-EFCF2150F12D}"/>
    <cellStyle name="Input 8 6" xfId="4697" xr:uid="{7B86E9B9-3B5A-49C8-9705-4B8BE583BD0C}"/>
    <cellStyle name="Input 8 7" xfId="4619" xr:uid="{F1BB5FEA-A310-403A-BA2A-2551489A32D1}"/>
    <cellStyle name="Input 9" xfId="1394" xr:uid="{00000000-0005-0000-0000-000072050000}"/>
    <cellStyle name="Input 9 2" xfId="1395" xr:uid="{00000000-0005-0000-0000-000073050000}"/>
    <cellStyle name="Input 9 2 2" xfId="4181" xr:uid="{37DBB6BE-442C-4E38-ACBC-F7E1712995B4}"/>
    <cellStyle name="Input 9 3" xfId="3608" xr:uid="{8CB7C364-2960-4899-848A-F0F15EF3B567}"/>
    <cellStyle name="Input 9 4" xfId="3665" xr:uid="{BCD3A065-913D-431C-ADBA-0BB602279C4B}"/>
    <cellStyle name="Input 9 5" xfId="4630" xr:uid="{5A729FC5-E47F-4086-BFB7-2CDBB552C6E8}"/>
    <cellStyle name="Input 9 6" xfId="4698" xr:uid="{B787988F-3092-4A87-B689-8BCD14CD9C4B}"/>
    <cellStyle name="Input 9 7" xfId="4618" xr:uid="{17707F77-7CB0-4E60-90F9-D22A2FB5F0A2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183" xr:uid="{E397B115-B351-45A4-AF3D-68711663ACB0}"/>
    <cellStyle name="Normal 126 3" xfId="4182" xr:uid="{3CC2BC0D-C486-42BA-B7F5-354B5936946A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185" xr:uid="{3210BC73-20D0-4C57-9C3E-AE07C60192FD}"/>
    <cellStyle name="Normal 134 3" xfId="4184" xr:uid="{EB668996-7777-4974-83AE-00F74C641A87}"/>
    <cellStyle name="Normal 135" xfId="1536" xr:uid="{00000000-0005-0000-0000-000001060000}"/>
    <cellStyle name="Normal 135 2" xfId="4186" xr:uid="{1D3C6348-7925-4E07-8779-4108399AF423}"/>
    <cellStyle name="Normal 136" xfId="1537" xr:uid="{00000000-0005-0000-0000-000002060000}"/>
    <cellStyle name="Normal 136 2" xfId="4187" xr:uid="{CC16C93C-2663-43B7-AA81-4F5C06CC4D53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3" xfId="4189" xr:uid="{0557A355-FE71-48BE-8A52-773C0EE05A5E}"/>
    <cellStyle name="Normal 137 3" xfId="2670" xr:uid="{DE2FAB10-EC26-4C42-9A25-5D9F87A07F8A}"/>
    <cellStyle name="Normal 137 4" xfId="4188" xr:uid="{80344B34-BD7F-4A40-B8F0-FB7C336A988D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4397" xr:uid="{DF52DBA7-079F-4913-A8DE-7AA6A65773BD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4192" xr:uid="{E4441BE3-2842-4D4B-BFAD-C1A3B1C10395}"/>
    <cellStyle name="Normal 2 5 2 3" xfId="4191" xr:uid="{7483AA81-4B29-4340-A0A1-E2651EF652A4}"/>
    <cellStyle name="Normal 2 5 3" xfId="1754" xr:uid="{00000000-0005-0000-0000-0000DB060000}"/>
    <cellStyle name="Normal 2 5 3 2" xfId="4193" xr:uid="{1CE67BCA-536C-47FA-BD4B-0C4A2C506E65}"/>
    <cellStyle name="Normal 2 5 4" xfId="2694" xr:uid="{B37BEAAF-FB27-40B1-9038-FD4B8C20F131}"/>
    <cellStyle name="Normal 2 5 5" xfId="3406" xr:uid="{79E66656-12F0-419C-A978-76137FA94346}"/>
    <cellStyle name="Normal 2 5 6" xfId="4190" xr:uid="{82D5E6B5-4B26-4E93-BD74-6A7C2979205E}"/>
    <cellStyle name="Normal 2 5 7" xfId="4424" xr:uid="{B250C60C-6616-4BF2-98C8-8790CC3D9729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196" xr:uid="{AF78E5B6-4C95-4B1A-95DA-EEF10A6D79CD}"/>
    <cellStyle name="Normal 4 5" xfId="2692" xr:uid="{44F62430-6188-47B9-AE7F-EB79CCC4D478}"/>
    <cellStyle name="Normal 4 6" xfId="3405" xr:uid="{E0DDBDEB-79E2-47FA-8FDD-D0033FDC05C4}"/>
    <cellStyle name="Normal 4 7" xfId="4195" xr:uid="{A6000FDF-C8D3-4E15-AF9E-8FEBFAC6A9BE}"/>
    <cellStyle name="Normal 4 8" xfId="4421" xr:uid="{EBDC478B-5819-4280-9B54-C23384BEAE79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4198" xr:uid="{091D989D-0C21-4546-A41A-4A543476F8B2}"/>
    <cellStyle name="Normal 8 4" xfId="3260" xr:uid="{E2C51F0A-73AE-43E6-AC62-98B10C0EB78F}"/>
    <cellStyle name="Normal 8 5" xfId="3683" xr:uid="{D1D65389-C0C4-4759-9BF2-6A84FCB29791}"/>
    <cellStyle name="Normal 8 6" xfId="4197" xr:uid="{499C5B68-F04B-4F2D-BF68-3535E679AD48}"/>
    <cellStyle name="Normal 8 7" xfId="4729" xr:uid="{7C84B1D0-C581-47DD-A8B9-9F8FE1FC0BC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570" xr:uid="{F6095AEE-7AA4-44E0-95D4-961ED800A9DF}"/>
    <cellStyle name="Normal 9 11" xfId="4199" xr:uid="{79F348E4-D32E-457D-986C-E3421581784B}"/>
    <cellStyle name="Normal 9 12" xfId="4730" xr:uid="{1D9809AA-26B2-45CC-BB31-645C846E217B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200" xr:uid="{173CC279-6A02-4E54-9C6C-90F558129200}"/>
    <cellStyle name="Normal 9 8" xfId="3262" xr:uid="{7D930580-CBA0-45C0-962B-5257BAEA215B}"/>
    <cellStyle name="Normal 9 9" xfId="3684" xr:uid="{A55BE523-9AA7-44FE-B4C7-FE464EF8BAFF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2 2" xfId="4201" xr:uid="{6E8E923C-C2F9-4191-9F18-255BBAC016F7}"/>
    <cellStyle name="Note 10 2 3" xfId="3568" xr:uid="{F4DC7545-2D0B-4172-A83F-68B4145E4283}"/>
    <cellStyle name="Note 10 2 4" xfId="3686" xr:uid="{883B94DA-CCD6-467F-A2F5-24CFE9B9983B}"/>
    <cellStyle name="Note 10 2 5" xfId="4583" xr:uid="{6CB30158-98D8-4AB7-97B8-ED40A9DDE2F0}"/>
    <cellStyle name="Note 10 2 6" xfId="4732" xr:uid="{8402A842-A59A-42A5-B13C-77E446F6AE0C}"/>
    <cellStyle name="Note 10 2 7" xfId="4414" xr:uid="{541BD929-8638-40BB-A88C-50F9DC1FEAE8}"/>
    <cellStyle name="Note 10 3" xfId="2095" xr:uid="{00000000-0005-0000-0000-000030080000}"/>
    <cellStyle name="Note 10 3 2" xfId="4202" xr:uid="{BB6C598A-C5A0-4842-9849-4F18EB2CAF94}"/>
    <cellStyle name="Note 10 4" xfId="3569" xr:uid="{B439B9D0-F086-4B53-91B8-11A5FC5F90FF}"/>
    <cellStyle name="Note 10 5" xfId="3685" xr:uid="{6293D730-4D22-49CC-BB57-F88E7FA179DE}"/>
    <cellStyle name="Note 10 6" xfId="4584" xr:uid="{E152793B-EEF3-4EC6-B8FC-F898A527C180}"/>
    <cellStyle name="Note 10 7" xfId="4731" xr:uid="{86E1DCC1-ED00-4C7D-A19B-93BBC59B2B59}"/>
    <cellStyle name="Note 10 8" xfId="4600" xr:uid="{C0AA2095-E6F0-4497-8739-F29423DF7CB7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2 2" xfId="4203" xr:uid="{1056630C-9D47-4185-85D0-B8E90872B3C1}"/>
    <cellStyle name="Note 11 2 3" xfId="3566" xr:uid="{205537AD-27B3-484A-A046-DAA93A7CF763}"/>
    <cellStyle name="Note 11 2 4" xfId="3688" xr:uid="{4833ED3F-0E1B-4AEB-A5DF-FC4412C1EB10}"/>
    <cellStyle name="Note 11 2 5" xfId="4581" xr:uid="{71579580-A704-4FB4-8CB6-D947F0F4B3AD}"/>
    <cellStyle name="Note 11 2 6" xfId="4734" xr:uid="{46697CB2-5C8B-46D8-8D20-DE98BD684A9A}"/>
    <cellStyle name="Note 11 2 7" xfId="4598" xr:uid="{6C1F0060-F04E-4EBE-ACC1-300ED37EEF1E}"/>
    <cellStyle name="Note 11 3" xfId="2100" xr:uid="{00000000-0005-0000-0000-000035080000}"/>
    <cellStyle name="Note 11 3 2" xfId="4204" xr:uid="{375D8658-2A86-4325-A911-F0F5BBE50C7B}"/>
    <cellStyle name="Note 11 4" xfId="3567" xr:uid="{6EC65E93-1522-4D17-A0BE-8C74BA668353}"/>
    <cellStyle name="Note 11 5" xfId="3687" xr:uid="{0832E0D7-7CAD-4B0F-90DF-A0D7306941D7}"/>
    <cellStyle name="Note 11 6" xfId="4582" xr:uid="{13DB3CF3-EE3E-4E0A-8D55-831DD19ABED0}"/>
    <cellStyle name="Note 11 7" xfId="4733" xr:uid="{BEB685A2-A2C3-415F-9681-850DB2E7DC16}"/>
    <cellStyle name="Note 11 8" xfId="4599" xr:uid="{BEC4788E-CD99-4C5E-B242-0368973AFC39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2 2" xfId="4205" xr:uid="{208B52E8-EBF3-4671-95D4-56ADA71CFB0F}"/>
    <cellStyle name="Note 12 2 3" xfId="3564" xr:uid="{C2E4B143-D2DB-43DB-AD30-3BF1A160D0B8}"/>
    <cellStyle name="Note 12 2 4" xfId="3690" xr:uid="{7F821820-206D-4443-96F3-FDA9A59379E6}"/>
    <cellStyle name="Note 12 2 5" xfId="4579" xr:uid="{D7030845-C100-42AA-B03E-78469D94970B}"/>
    <cellStyle name="Note 12 2 6" xfId="4736" xr:uid="{5B06F2A1-8D71-4A43-BB2F-6F19B574F546}"/>
    <cellStyle name="Note 12 2 7" xfId="4596" xr:uid="{77328B3E-C34D-4287-9480-73CB6915B893}"/>
    <cellStyle name="Note 12 3" xfId="2105" xr:uid="{00000000-0005-0000-0000-00003A080000}"/>
    <cellStyle name="Note 12 3 2" xfId="4206" xr:uid="{4FCF11F5-C6E2-445B-AEA4-C7147B878D67}"/>
    <cellStyle name="Note 12 4" xfId="3565" xr:uid="{54D1241D-4B9E-43E4-B705-DED4A75B40A9}"/>
    <cellStyle name="Note 12 5" xfId="3689" xr:uid="{20710B06-7FE9-4204-B70D-C518434FACCD}"/>
    <cellStyle name="Note 12 6" xfId="4580" xr:uid="{BF3F876D-361F-4DFF-B2AD-39AF4C2F8298}"/>
    <cellStyle name="Note 12 7" xfId="4735" xr:uid="{5B43658C-97F5-449D-93A5-75451BF9F9F2}"/>
    <cellStyle name="Note 12 8" xfId="4597" xr:uid="{D73470BC-20BB-4BBD-BD5B-724E5E429BC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2 2" xfId="4207" xr:uid="{85275A11-ED58-45B7-8CF7-36C8864B31A9}"/>
    <cellStyle name="Note 13 2 3" xfId="3562" xr:uid="{6B7EC394-05B1-4CF9-BB00-1B2249B65C05}"/>
    <cellStyle name="Note 13 2 4" xfId="3718" xr:uid="{6E07A05C-E655-4DA1-B9DE-51AB15309B02}"/>
    <cellStyle name="Note 13 2 5" xfId="4577" xr:uid="{E0325616-C277-404A-8C1B-1A375F280642}"/>
    <cellStyle name="Note 13 2 6" xfId="4738" xr:uid="{196BAF13-656C-4271-A207-B5348BE8E434}"/>
    <cellStyle name="Note 13 2 7" xfId="4594" xr:uid="{0ADA18C6-22DD-498F-9E39-42398F16485E}"/>
    <cellStyle name="Note 13 3" xfId="2110" xr:uid="{00000000-0005-0000-0000-00003F080000}"/>
    <cellStyle name="Note 13 3 2" xfId="4208" xr:uid="{E9E8115D-AB8A-4E55-898A-10BCD331385B}"/>
    <cellStyle name="Note 13 4" xfId="3563" xr:uid="{DEAB9482-F2A6-4667-98AD-D865AC7A7C4A}"/>
    <cellStyle name="Note 13 5" xfId="3691" xr:uid="{79DC5C88-2516-41B6-8BAF-E481DA7D299B}"/>
    <cellStyle name="Note 13 6" xfId="4578" xr:uid="{F39833BA-D244-432B-B36F-51075B39B523}"/>
    <cellStyle name="Note 13 7" xfId="4737" xr:uid="{86717D47-DA90-41C3-8D88-B8B47EACDCC2}"/>
    <cellStyle name="Note 13 8" xfId="4595" xr:uid="{B3A4FC92-867C-4136-B940-7BEC15D56147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2 2" xfId="4209" xr:uid="{8CA86956-B3D3-441B-A6CD-75DEA43B7476}"/>
    <cellStyle name="Note 14 2 3" xfId="3560" xr:uid="{E9D19252-62D7-4A88-9759-D4CB01E33F55}"/>
    <cellStyle name="Note 14 2 4" xfId="3693" xr:uid="{913FE86A-0461-403F-85F3-61759EF0D4FA}"/>
    <cellStyle name="Note 14 2 5" xfId="4413" xr:uid="{D94E2752-7A0B-4E19-B2F9-7CFB28D8B1FF}"/>
    <cellStyle name="Note 14 2 6" xfId="4739" xr:uid="{FF84EE1B-4245-4A8D-BE6F-8B01AEC8BBD4}"/>
    <cellStyle name="Note 14 2 7" xfId="4592" xr:uid="{A5E8B55C-3A14-4EAE-8927-9173BA9C4AD9}"/>
    <cellStyle name="Note 14 3" xfId="2115" xr:uid="{00000000-0005-0000-0000-000044080000}"/>
    <cellStyle name="Note 14 3 2" xfId="4210" xr:uid="{3E257BB3-1D59-4451-98DB-54286E3A95EC}"/>
    <cellStyle name="Note 14 4" xfId="3561" xr:uid="{94C40CC5-C516-4102-B3F6-0B528B912C45}"/>
    <cellStyle name="Note 14 5" xfId="3692" xr:uid="{644D3D78-77FE-45D3-B1B2-EFB80893F6A0}"/>
    <cellStyle name="Note 14 6" xfId="4576" xr:uid="{3496BA29-A038-4F30-8C19-C8529DE51DCD}"/>
    <cellStyle name="Note 14 7" xfId="4425" xr:uid="{CB0AE8D7-61C7-4EDB-8F06-F410C3952E1C}"/>
    <cellStyle name="Note 14 8" xfId="4593" xr:uid="{8721C5B5-5CC2-4F9B-87AF-578D9951C4CC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2 2" xfId="4211" xr:uid="{8FB8822F-881A-45C9-80B5-B608C0833426}"/>
    <cellStyle name="Note 15 2 3" xfId="3401" xr:uid="{447E2A41-6D55-47E4-AC0F-15081734DEB9}"/>
    <cellStyle name="Note 15 2 4" xfId="3695" xr:uid="{2E1C3EAF-DB06-455B-908F-9DD84D3675CB}"/>
    <cellStyle name="Note 15 2 5" xfId="4574" xr:uid="{F3746F94-646E-457C-8326-2E6979DC5E7D}"/>
    <cellStyle name="Note 15 2 6" xfId="4741" xr:uid="{3322096B-0B7A-4657-8550-987144112B33}"/>
    <cellStyle name="Note 15 2 7" xfId="4590" xr:uid="{A67BF0BE-D9F4-46F5-B6B3-F318928501F1}"/>
    <cellStyle name="Note 15 3" xfId="2120" xr:uid="{00000000-0005-0000-0000-000049080000}"/>
    <cellStyle name="Note 15 3 2" xfId="4212" xr:uid="{5558113D-A2A5-47E7-A070-7F009B62CE88}"/>
    <cellStyle name="Note 15 4" xfId="3559" xr:uid="{4F2BF2D7-D209-4E6A-8177-198508ED28F3}"/>
    <cellStyle name="Note 15 5" xfId="3694" xr:uid="{7A902CF9-2214-4517-BAED-BA31A4621FDA}"/>
    <cellStyle name="Note 15 6" xfId="4575" xr:uid="{D8F80B83-5973-4D09-8AD0-3A48B143419C}"/>
    <cellStyle name="Note 15 7" xfId="4740" xr:uid="{8F2127FC-C2F6-42B9-8713-DE3E597B5E4D}"/>
    <cellStyle name="Note 15 8" xfId="4591" xr:uid="{B44084B6-4D7B-48D4-BC59-7A64B7C82A8A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2 2 2" xfId="4213" xr:uid="{ACDE1A2F-6CED-4407-ABD4-708BAD0C2788}"/>
    <cellStyle name="Note 16 2 3" xfId="3557" xr:uid="{00555360-C7B7-4F2B-8FDB-216071916004}"/>
    <cellStyle name="Note 16 2 4" xfId="3697" xr:uid="{1089D358-C93D-4D17-8D7B-1B44BB8C5277}"/>
    <cellStyle name="Note 16 2 5" xfId="4572" xr:uid="{3BE458F5-2A20-4D93-A855-FC86640139FC}"/>
    <cellStyle name="Note 16 2 6" xfId="4743" xr:uid="{AA4BC0DF-CB4B-4C0D-85C2-2AD2C02A28EB}"/>
    <cellStyle name="Note 16 2 7" xfId="4588" xr:uid="{04CF136C-2A7C-4107-8B86-6C36F22D3A10}"/>
    <cellStyle name="Note 16 3" xfId="2125" xr:uid="{00000000-0005-0000-0000-00004E080000}"/>
    <cellStyle name="Note 16 3 2" xfId="4214" xr:uid="{F2ADE3C5-F46A-4DA1-82F8-BF93C4ACAEB9}"/>
    <cellStyle name="Note 16 4" xfId="3291" xr:uid="{635301BC-F383-4E63-BF06-A50CA37FCD63}"/>
    <cellStyle name="Note 16 5" xfId="3558" xr:uid="{C5834A73-E95D-4D86-A1C1-C6ADB68018D3}"/>
    <cellStyle name="Note 16 6" xfId="3696" xr:uid="{F4D5F38B-9CB5-436C-B8D5-B54507AA0FC4}"/>
    <cellStyle name="Note 16 7" xfId="4573" xr:uid="{2963888E-3900-41C4-8D72-55B4595C4D0D}"/>
    <cellStyle name="Note 16 8" xfId="4742" xr:uid="{0CE96C8F-9C90-4D63-A3EB-E76A640FB020}"/>
    <cellStyle name="Note 16 9" xfId="4589" xr:uid="{577ABBFD-3A0C-46D0-A672-A5E64037E3AD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2 2 2" xfId="4215" xr:uid="{89558BD1-BDB7-4174-A2F5-73EF2F0CEECD}"/>
    <cellStyle name="Note 17 2 3" xfId="3555" xr:uid="{45B1441D-AE6D-46C5-AEC2-85594A12D1EB}"/>
    <cellStyle name="Note 17 2 4" xfId="3699" xr:uid="{26C49427-3E30-4F16-8A5E-92413AC99FBD}"/>
    <cellStyle name="Note 17 2 5" xfId="4570" xr:uid="{86E45E0B-8E31-44FE-BE07-33F5B560180B}"/>
    <cellStyle name="Note 17 2 6" xfId="4745" xr:uid="{916B7967-98D3-4A17-9457-0CD2A6C5359E}"/>
    <cellStyle name="Note 17 2 7" xfId="4586" xr:uid="{314856C7-99F9-4DD7-AE6E-0058D78114C4}"/>
    <cellStyle name="Note 17 3" xfId="2130" xr:uid="{00000000-0005-0000-0000-000053080000}"/>
    <cellStyle name="Note 17 3 2" xfId="4216" xr:uid="{8A9752AD-F527-462C-84EF-40B9E0AFA12D}"/>
    <cellStyle name="Note 17 4" xfId="3292" xr:uid="{FC7A31D4-D0D5-4DC0-9A7C-2D437D486A01}"/>
    <cellStyle name="Note 17 5" xfId="3556" xr:uid="{BEAD261E-C2B7-4164-BCD9-98FE5A0C8B22}"/>
    <cellStyle name="Note 17 6" xfId="3698" xr:uid="{6AC9560E-8768-4D0F-8221-9AC876206E6F}"/>
    <cellStyle name="Note 17 7" xfId="4571" xr:uid="{4AF55B2C-D3F0-4AFF-BDD0-F114749B90D8}"/>
    <cellStyle name="Note 17 8" xfId="4744" xr:uid="{55CE2BBA-489A-41E1-B2AF-1703CE79DF61}"/>
    <cellStyle name="Note 17 9" xfId="4587" xr:uid="{67C05016-EA25-4F38-A1A2-49AF70F9530A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2 2 2" xfId="4217" xr:uid="{3F6CB2EF-7B5D-4D7E-863B-71638D829436}"/>
    <cellStyle name="Note 18 2 3" xfId="3553" xr:uid="{F03978FA-E04F-4277-95E6-FAD1D49926EA}"/>
    <cellStyle name="Note 18 2 4" xfId="3701" xr:uid="{3DEB7904-A9E8-4143-A7CB-224D7C13D7B7}"/>
    <cellStyle name="Note 18 2 5" xfId="4568" xr:uid="{CAE65E0C-BA0A-4E80-AB2F-5496CF8DA21C}"/>
    <cellStyle name="Note 18 2 6" xfId="4747" xr:uid="{AD276BBD-17A1-482A-9899-43E7689B47CE}"/>
    <cellStyle name="Note 18 2 7" xfId="4808" xr:uid="{00B03EDF-0719-4E7E-ADE1-4138E9F99BFF}"/>
    <cellStyle name="Note 18 3" xfId="2135" xr:uid="{00000000-0005-0000-0000-000058080000}"/>
    <cellStyle name="Note 18 3 2" xfId="4218" xr:uid="{90B64A7F-2EE5-46FD-8C3C-7824034AA583}"/>
    <cellStyle name="Note 18 4" xfId="3293" xr:uid="{D50CF4AC-B985-4C69-81E1-3BDA35AF95F0}"/>
    <cellStyle name="Note 18 5" xfId="3554" xr:uid="{D9534C0E-227A-4657-B1E1-8081BC9433AF}"/>
    <cellStyle name="Note 18 6" xfId="3700" xr:uid="{08B3C1C7-05C9-4582-8C4D-4603668DC15E}"/>
    <cellStyle name="Note 18 7" xfId="4569" xr:uid="{F475F2CC-DF79-4FCD-885D-8CAED08C1C2F}"/>
    <cellStyle name="Note 18 8" xfId="4746" xr:uid="{E483E081-BDF5-455E-BB5F-2654266A740B}"/>
    <cellStyle name="Note 18 9" xfId="4585" xr:uid="{CB45C0EB-9FC2-4537-8595-AC4529B8F20B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2 2 2" xfId="4219" xr:uid="{DF03114D-6086-4599-A4D0-1A1283C1D80F}"/>
    <cellStyle name="Note 19 2 3" xfId="3551" xr:uid="{C96B48D4-B188-4884-96F9-E2D0CACA5517}"/>
    <cellStyle name="Note 19 2 4" xfId="3719" xr:uid="{E75B1DB0-0CA9-4661-A19A-010B48AA39CC}"/>
    <cellStyle name="Note 19 2 5" xfId="4566" xr:uid="{3ADDA5AD-523B-4978-A77D-A72AF705DEE1}"/>
    <cellStyle name="Note 19 2 6" xfId="4749" xr:uid="{3D6D0553-F847-4F92-BFA3-5AD01DC3B379}"/>
    <cellStyle name="Note 19 2 7" xfId="4772" xr:uid="{94358A84-7D30-4D7C-B478-C1506CE9B6FA}"/>
    <cellStyle name="Note 19 3" xfId="2140" xr:uid="{00000000-0005-0000-0000-00005D080000}"/>
    <cellStyle name="Note 19 3 2" xfId="4220" xr:uid="{54453589-ACBD-4C08-A31D-75F0330236F6}"/>
    <cellStyle name="Note 19 4" xfId="3294" xr:uid="{1F04B7CF-6F4D-4E5C-B9E3-2932436C5F49}"/>
    <cellStyle name="Note 19 5" xfId="3552" xr:uid="{7599710E-99C9-4DFB-AF61-153A8930D4A0}"/>
    <cellStyle name="Note 19 6" xfId="3702" xr:uid="{02794AEE-49EA-400A-9247-3B3040EE11D9}"/>
    <cellStyle name="Note 19 7" xfId="4567" xr:uid="{932C5AC9-700A-4A0A-9C39-A8E5257D151A}"/>
    <cellStyle name="Note 19 8" xfId="4748" xr:uid="{1AAACEB3-247B-41F4-8BDD-D7694CAC4CD0}"/>
    <cellStyle name="Note 19 9" xfId="4771" xr:uid="{A04E9A7C-F930-44C5-B995-2D483799C55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2 2 2" xfId="4221" xr:uid="{B6E695B6-C2AF-4879-BDA7-CE9C580E7A80}"/>
    <cellStyle name="Note 2 2 3" xfId="3549" xr:uid="{4C5C129E-6515-4E3E-BA25-EE6FC155D27F}"/>
    <cellStyle name="Note 2 2 4" xfId="3704" xr:uid="{622DD6A0-44B6-43A0-AE22-841D7BB90D71}"/>
    <cellStyle name="Note 2 2 5" xfId="4412" xr:uid="{5C0D1188-26ED-4315-AC98-FD615BC829E2}"/>
    <cellStyle name="Note 2 2 6" xfId="4751" xr:uid="{4909EA66-786F-47B5-9075-CD018BFB2F1E}"/>
    <cellStyle name="Note 2 2 7" xfId="4773" xr:uid="{821136B8-8136-46E8-B50A-B49F2F00122D}"/>
    <cellStyle name="Note 2 3" xfId="2145" xr:uid="{00000000-0005-0000-0000-000062080000}"/>
    <cellStyle name="Note 2 3 2" xfId="2146" xr:uid="{00000000-0005-0000-0000-000063080000}"/>
    <cellStyle name="Note 2 3 2 2" xfId="4222" xr:uid="{029BC99F-985A-4492-9E08-E6CE1194F0C8}"/>
    <cellStyle name="Note 2 3 3" xfId="3548" xr:uid="{8B3106CF-C714-414A-921D-022027D197E0}"/>
    <cellStyle name="Note 2 3 4" xfId="3705" xr:uid="{E4917F34-FFD0-47DE-BFE0-7FCD8BBE59C2}"/>
    <cellStyle name="Note 2 3 5" xfId="4564" xr:uid="{49313522-E253-4EE5-838A-F126BEB9F517}"/>
    <cellStyle name="Note 2 3 6" xfId="4752" xr:uid="{10670500-2C5F-4262-A7FB-EF3FCDE68E07}"/>
    <cellStyle name="Note 2 3 7" xfId="4774" xr:uid="{F7C7FF04-D148-46C9-B89E-851B694C61A4}"/>
    <cellStyle name="Note 2 4" xfId="2147" xr:uid="{00000000-0005-0000-0000-000064080000}"/>
    <cellStyle name="Note 2 4 2" xfId="4223" xr:uid="{CF993074-28D4-4EFA-8B29-D8B4566879E8}"/>
    <cellStyle name="Note 2 5" xfId="3550" xr:uid="{6CB81A76-ED24-4ED7-AF59-789FF31C7B8C}"/>
    <cellStyle name="Note 2 6" xfId="3703" xr:uid="{BE8C92E8-DF4D-4D27-9C15-4DB8A578E71D}"/>
    <cellStyle name="Note 2 7" xfId="4565" xr:uid="{BF616559-45A9-4FC3-A2FA-8CB8E8D5D024}"/>
    <cellStyle name="Note 2 8" xfId="4750" xr:uid="{4B7569EF-6DCF-4B88-B08D-A8099917490B}"/>
    <cellStyle name="Note 2 9" xfId="4761" xr:uid="{479E596B-FA89-45FE-AFB4-7DF8BA86B52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2 2 2" xfId="4224" xr:uid="{CD581C1F-4BBB-4B49-9CD7-74F79B5FDFF2}"/>
    <cellStyle name="Note 20 2 3" xfId="3547" xr:uid="{930B3C45-3A81-41A1-B8A5-73EEBA6EC07F}"/>
    <cellStyle name="Note 20 2 4" xfId="3721" xr:uid="{70C3C946-639A-4258-9087-BA63F1E17274}"/>
    <cellStyle name="Note 20 2 5" xfId="4562" xr:uid="{995E3CC3-962B-4513-9295-7925804C5463}"/>
    <cellStyle name="Note 20 2 6" xfId="4754" xr:uid="{613E28A1-13F9-4F83-B49C-DF2C8F31B58D}"/>
    <cellStyle name="Note 20 2 7" xfId="4776" xr:uid="{7378FDD3-A469-4B90-BFA8-B1B06CE7336B}"/>
    <cellStyle name="Note 20 3" xfId="2152" xr:uid="{00000000-0005-0000-0000-000069080000}"/>
    <cellStyle name="Note 20 3 2" xfId="4225" xr:uid="{55A64992-24DB-4154-8716-DCA37E939110}"/>
    <cellStyle name="Note 20 4" xfId="3295" xr:uid="{5C632049-1586-4B5A-9123-1A05AFD9A020}"/>
    <cellStyle name="Note 20 5" xfId="3400" xr:uid="{A7F42A36-404A-455C-85DC-750F9CE5B55A}"/>
    <cellStyle name="Note 20 6" xfId="3706" xr:uid="{70517FA5-B868-4A0C-9931-F94684B800A7}"/>
    <cellStyle name="Note 20 7" xfId="4563" xr:uid="{9DFFB273-877D-407A-8C42-8D8884D09C04}"/>
    <cellStyle name="Note 20 8" xfId="4753" xr:uid="{37626BBE-6132-4ACC-AB39-98AD70D02E30}"/>
    <cellStyle name="Note 20 9" xfId="4775" xr:uid="{B655E519-09B8-44E2-AB6D-D3B31298E0F8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2 2 2" xfId="4226" xr:uid="{69422AA3-4836-4008-A984-0AC8AA73B7A7}"/>
    <cellStyle name="Note 21 2 3" xfId="3545" xr:uid="{8D750221-DD71-476A-8DCA-C80DBE0AB000}"/>
    <cellStyle name="Note 21 2 4" xfId="3708" xr:uid="{28794C6B-8DA4-4A24-A3B9-8784156A8684}"/>
    <cellStyle name="Note 21 2 5" xfId="4560" xr:uid="{53C29D60-0461-4E1D-951F-4FFAFED9DBAC}"/>
    <cellStyle name="Note 21 2 6" xfId="4770" xr:uid="{80D17D88-3221-471D-B742-3A88B9BF09BB}"/>
    <cellStyle name="Note 21 2 7" xfId="4778" xr:uid="{9CC22D9B-0A06-4276-BDDC-1D1541D71564}"/>
    <cellStyle name="Note 21 3" xfId="2157" xr:uid="{00000000-0005-0000-0000-00006E080000}"/>
    <cellStyle name="Note 21 3 2" xfId="4227" xr:uid="{1695CEED-7A67-4CBD-8172-F3416C52D9E4}"/>
    <cellStyle name="Note 21 4" xfId="3296" xr:uid="{E3B5CF06-C930-4B74-A8B7-984186458630}"/>
    <cellStyle name="Note 21 5" xfId="3546" xr:uid="{34C64376-2CBF-42FD-8887-D3BA6FA22AA9}"/>
    <cellStyle name="Note 21 6" xfId="3707" xr:uid="{86041CA0-5C1B-4794-B8CE-44801FF358A8}"/>
    <cellStyle name="Note 21 7" xfId="4561" xr:uid="{107447EA-1C13-43F4-8258-239E55BB4E7D}"/>
    <cellStyle name="Note 21 8" xfId="4755" xr:uid="{785EA104-DD3E-454B-BCFB-739317055B6C}"/>
    <cellStyle name="Note 21 9" xfId="4777" xr:uid="{58639361-6516-4F39-AAA4-8E1802C1D447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2 2 2" xfId="4228" xr:uid="{F90CBAED-1348-4B8B-A3CC-44D6ADFC5528}"/>
    <cellStyle name="Note 22 2 3" xfId="3543" xr:uid="{F4122DED-C15E-433F-8235-0605043DA0A5}"/>
    <cellStyle name="Note 22 2 4" xfId="3710" xr:uid="{C03BD515-6290-4DE6-A29F-B927056F3845}"/>
    <cellStyle name="Note 22 2 5" xfId="4558" xr:uid="{3464642E-335C-43F7-B66B-234E832B43C4}"/>
    <cellStyle name="Note 22 2 6" xfId="4757" xr:uid="{D3320648-2452-4809-9CD6-DA8801384EEE}"/>
    <cellStyle name="Note 22 2 7" xfId="4780" xr:uid="{98BABCCA-0B85-4639-9A62-E7C4BBFD8647}"/>
    <cellStyle name="Note 22 3" xfId="2162" xr:uid="{00000000-0005-0000-0000-000073080000}"/>
    <cellStyle name="Note 22 3 2" xfId="4229" xr:uid="{586A5625-5431-4667-A4E8-AE0306045E73}"/>
    <cellStyle name="Note 22 4" xfId="3297" xr:uid="{B289E0C4-5219-4328-AC08-6E5162768C21}"/>
    <cellStyle name="Note 22 5" xfId="3544" xr:uid="{4B76D9B0-3DC5-4992-83C3-677033929DA2}"/>
    <cellStyle name="Note 22 6" xfId="3709" xr:uid="{BBC69C0B-8B8B-48D3-895C-B0F79A6F866D}"/>
    <cellStyle name="Note 22 7" xfId="4559" xr:uid="{0F759F48-C961-43F0-81F9-335082BA761B}"/>
    <cellStyle name="Note 22 8" xfId="4756" xr:uid="{2F65B75E-4D9E-45A2-929C-BF502D4EA386}"/>
    <cellStyle name="Note 22 9" xfId="4779" xr:uid="{7E27E4E4-1D13-46B0-932B-3AF38D3B0279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2 2 2" xfId="4230" xr:uid="{02DBDC00-ECA1-45DC-B6D0-4474ED4F4EDA}"/>
    <cellStyle name="Note 23 2 3" xfId="3541" xr:uid="{C07071DF-20A7-4DAC-BAC2-D5F383FE4C26}"/>
    <cellStyle name="Note 23 2 4" xfId="3712" xr:uid="{0BC56C7D-0C8B-4EE5-AEA3-EBD910803355}"/>
    <cellStyle name="Note 23 2 5" xfId="4556" xr:uid="{C062EF10-8DBF-45C0-9A2D-875A0D948EF3}"/>
    <cellStyle name="Note 23 2 6" xfId="4759" xr:uid="{7A71175F-3124-47A8-BB12-B80B7AD1CB63}"/>
    <cellStyle name="Note 23 2 7" xfId="4782" xr:uid="{84D3CABB-A34D-4419-AAC0-5E6AFCC0A769}"/>
    <cellStyle name="Note 23 3" xfId="2167" xr:uid="{00000000-0005-0000-0000-000078080000}"/>
    <cellStyle name="Note 23 3 2" xfId="4231" xr:uid="{433AF0D3-E22D-4AF4-8457-C5F08AD45A14}"/>
    <cellStyle name="Note 23 4" xfId="3298" xr:uid="{A022EFBD-0457-43FE-93A2-9680FCED381E}"/>
    <cellStyle name="Note 23 5" xfId="3542" xr:uid="{7B6864DC-671E-4FAF-8E9E-48C89B33F29A}"/>
    <cellStyle name="Note 23 6" xfId="3711" xr:uid="{0D59DE99-E807-439A-950F-CC0326DC00E9}"/>
    <cellStyle name="Note 23 7" xfId="4557" xr:uid="{CE5B4913-896D-40D3-A96E-46859DC5DE54}"/>
    <cellStyle name="Note 23 8" xfId="4758" xr:uid="{91C2144A-8AA5-481B-A29A-6661F1811815}"/>
    <cellStyle name="Note 23 9" xfId="4781" xr:uid="{4DD3F178-ADE1-448B-A596-3207ECE2FB6A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2 2 2" xfId="4232" xr:uid="{F4C4A2FA-BD06-4240-A642-E9D7D4FD70EF}"/>
    <cellStyle name="Note 24 2 3" xfId="3539" xr:uid="{751B2724-C6F2-4E10-A967-21E90778C690}"/>
    <cellStyle name="Note 24 2 4" xfId="3713" xr:uid="{54E7B742-676B-4F32-9572-1FAD2580515C}"/>
    <cellStyle name="Note 24 2 5" xfId="4554" xr:uid="{30725F86-295B-4F95-B94B-5CE3D1ADA3A6}"/>
    <cellStyle name="Note 24 2 6" xfId="4769" xr:uid="{226BAD06-AF14-4986-8716-2A1C54E7E94C}"/>
    <cellStyle name="Note 24 2 7" xfId="4807" xr:uid="{397B579A-4E83-4874-97B2-8509BE9AC88C}"/>
    <cellStyle name="Note 24 3" xfId="2172" xr:uid="{00000000-0005-0000-0000-00007D080000}"/>
    <cellStyle name="Note 24 3 2" xfId="4233" xr:uid="{7E15C6FA-822D-46DD-85AC-5DDC59AEC434}"/>
    <cellStyle name="Note 24 4" xfId="3299" xr:uid="{20B1DF31-EE27-4BF4-9C5F-CB505333A17B}"/>
    <cellStyle name="Note 24 5" xfId="3540" xr:uid="{E7299643-5DFC-4113-9546-DE8BD05775A3}"/>
    <cellStyle name="Note 24 6" xfId="3720" xr:uid="{AAF9CC7A-2B01-495F-89E8-0E8FAEC01987}"/>
    <cellStyle name="Note 24 7" xfId="4555" xr:uid="{CF5739E9-AEE7-4F98-B1D1-D7A652C1F280}"/>
    <cellStyle name="Note 24 8" xfId="4760" xr:uid="{2972AF57-D3CE-463C-9CED-68B8357BD05C}"/>
    <cellStyle name="Note 24 9" xfId="4783" xr:uid="{EC279071-E1CB-4D94-8D61-17DB4868BADD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2 2 2" xfId="4234" xr:uid="{78A40C08-9615-46B4-9133-DCA7284103F8}"/>
    <cellStyle name="Note 25 2 3" xfId="3537" xr:uid="{B82FEACA-FACC-4EA2-AEA3-71925ED3E03E}"/>
    <cellStyle name="Note 25 2 4" xfId="3742" xr:uid="{2BD86FE1-1D57-4CDA-9D49-41D8E5087A3B}"/>
    <cellStyle name="Note 25 2 5" xfId="4553" xr:uid="{7E8A6283-8A49-41A2-8CE2-928940729897}"/>
    <cellStyle name="Note 25 2 6" xfId="4810" xr:uid="{1C2D3D53-EF7E-4107-A92E-DBA0910AF702}"/>
    <cellStyle name="Note 25 2 7" xfId="4972" xr:uid="{7D2E73FE-2B42-405A-B998-9B0E37FDE3E0}"/>
    <cellStyle name="Note 25 3" xfId="2177" xr:uid="{00000000-0005-0000-0000-000082080000}"/>
    <cellStyle name="Note 25 3 2" xfId="4235" xr:uid="{71FE6C71-2557-47A0-9A52-EAECC4684D96}"/>
    <cellStyle name="Note 25 4" xfId="3300" xr:uid="{7D5523E1-E51F-43FA-9C11-61AE1ECCD06A}"/>
    <cellStyle name="Note 25 5" xfId="3538" xr:uid="{43ACAC25-B730-4778-822A-276C61917C33}"/>
    <cellStyle name="Note 25 6" xfId="3741" xr:uid="{6433827F-FECA-4D0A-A429-A95B6BE4AEEE}"/>
    <cellStyle name="Note 25 7" xfId="4411" xr:uid="{5E18E8B7-3F09-4F83-94BE-6232095C2A63}"/>
    <cellStyle name="Note 25 8" xfId="4809" xr:uid="{01C93E16-0144-43DC-993F-B9700434A832}"/>
    <cellStyle name="Note 25 9" xfId="4971" xr:uid="{8650DA2B-6D79-4923-8C55-A4435D62D1F6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2 2 2" xfId="4236" xr:uid="{96EE5525-90EB-4007-A651-B6A84C32E1FA}"/>
    <cellStyle name="Note 26 2 3" xfId="3536" xr:uid="{2D1E6C0F-D5B7-420F-AD46-77217C05859B}"/>
    <cellStyle name="Note 26 2 4" xfId="3744" xr:uid="{88E6EB8A-E2C4-4593-8399-44BC4BE46C4B}"/>
    <cellStyle name="Note 26 2 5" xfId="4551" xr:uid="{8B23EC91-0DCB-4B05-B675-36BC9DEBDCE6}"/>
    <cellStyle name="Note 26 2 6" xfId="4812" xr:uid="{ACEE3944-3BF5-48F6-95E3-51EF895C0646}"/>
    <cellStyle name="Note 26 2 7" xfId="4974" xr:uid="{E84EC69C-9779-42B5-B2EC-DA86F35A46EA}"/>
    <cellStyle name="Note 26 3" xfId="2182" xr:uid="{00000000-0005-0000-0000-000087080000}"/>
    <cellStyle name="Note 26 3 2" xfId="4237" xr:uid="{BBA52B4C-FDD3-4088-B3BE-17870A775A60}"/>
    <cellStyle name="Note 26 4" xfId="3301" xr:uid="{DF392157-20FB-4C10-AC87-00CA2B72942E}"/>
    <cellStyle name="Note 26 5" xfId="3399" xr:uid="{100A1DB2-73A1-4091-891B-9A32788EAA99}"/>
    <cellStyle name="Note 26 6" xfId="3743" xr:uid="{9474155C-7EC9-427E-A358-9BBE75DE882E}"/>
    <cellStyle name="Note 26 7" xfId="4552" xr:uid="{1028B002-F86A-4ED9-B241-BCF24606DB27}"/>
    <cellStyle name="Note 26 8" xfId="4811" xr:uid="{B7D5CA45-E516-4436-8B35-7FD91E615220}"/>
    <cellStyle name="Note 26 9" xfId="4973" xr:uid="{71564FE1-5D26-40CA-80EA-68AF98C7550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2 2 2" xfId="4238" xr:uid="{20FF17FD-855B-4B2B-9DF5-CB0BAA8B7BB6}"/>
    <cellStyle name="Note 27 2 3" xfId="3534" xr:uid="{5AC444B5-8157-4CFA-814A-AB0DC5DF1653}"/>
    <cellStyle name="Note 27 2 4" xfId="3746" xr:uid="{D6A73D59-906B-4324-960C-C7FDBA7FFB59}"/>
    <cellStyle name="Note 27 2 5" xfId="4549" xr:uid="{AACCE0FF-5B62-467F-A219-A7FD530FFF5A}"/>
    <cellStyle name="Note 27 2 6" xfId="4814" xr:uid="{C23DCD43-E934-452B-9CFB-5941187AE07B}"/>
    <cellStyle name="Note 27 2 7" xfId="4976" xr:uid="{AB24FB75-1CCF-4795-90C9-7816A8EAD1CD}"/>
    <cellStyle name="Note 27 3" xfId="2187" xr:uid="{00000000-0005-0000-0000-00008C080000}"/>
    <cellStyle name="Note 27 3 2" xfId="4239" xr:uid="{CD793FF9-0369-4705-BE07-56B8AC4A50BF}"/>
    <cellStyle name="Note 27 4" xfId="3302" xr:uid="{2DE4B2FC-83A0-42D7-94B8-94B0547F0684}"/>
    <cellStyle name="Note 27 5" xfId="3535" xr:uid="{1A2B4CB8-9D4B-48EE-AB93-18E9490C37DC}"/>
    <cellStyle name="Note 27 6" xfId="3745" xr:uid="{C97DDC59-48F2-4083-8A8D-BC191A6FB719}"/>
    <cellStyle name="Note 27 7" xfId="4550" xr:uid="{9A99E4E0-1711-4406-9BF3-59084C4CD0AB}"/>
    <cellStyle name="Note 27 8" xfId="4813" xr:uid="{C1D9EA7F-3D3B-4592-826B-62E5929FC56D}"/>
    <cellStyle name="Note 27 9" xfId="4975" xr:uid="{6E3BE5DB-E794-49BF-B00F-8B0DB98BE0A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2 2 2" xfId="4240" xr:uid="{AF1A4AB1-08A8-4E6A-8567-BEF143BBC200}"/>
    <cellStyle name="Note 28 2 3" xfId="3532" xr:uid="{2C4F44AD-B425-4181-B767-C02C4FBC57BD}"/>
    <cellStyle name="Note 28 2 4" xfId="3748" xr:uid="{EB9D02EE-F031-4000-9657-0DD3D4952E06}"/>
    <cellStyle name="Note 28 2 5" xfId="4547" xr:uid="{C91DA8D5-C920-4D01-B5BB-32F5EB317608}"/>
    <cellStyle name="Note 28 2 6" xfId="4816" xr:uid="{2F526C26-53A8-4FB0-90F2-7BA09B9EAD39}"/>
    <cellStyle name="Note 28 2 7" xfId="4978" xr:uid="{FE29A206-0220-45FF-A183-B3FAAA0AE1A5}"/>
    <cellStyle name="Note 28 3" xfId="2192" xr:uid="{00000000-0005-0000-0000-000091080000}"/>
    <cellStyle name="Note 28 3 2" xfId="4241" xr:uid="{12195C52-9C7C-4203-B1CF-B7EA9CF0A572}"/>
    <cellStyle name="Note 28 4" xfId="3303" xr:uid="{54DE021C-7E40-4199-BB26-9C931E4F2FEC}"/>
    <cellStyle name="Note 28 5" xfId="3533" xr:uid="{58B48796-E648-4C1B-A505-088B84024711}"/>
    <cellStyle name="Note 28 6" xfId="3747" xr:uid="{C83E596A-CD64-4B0D-8573-289127D6023F}"/>
    <cellStyle name="Note 28 7" xfId="4548" xr:uid="{303BF288-B408-4510-BD63-E92C2593D8CB}"/>
    <cellStyle name="Note 28 8" xfId="4815" xr:uid="{F24538C4-FF3F-4F75-B189-F30F228DFB72}"/>
    <cellStyle name="Note 28 9" xfId="4977" xr:uid="{CE5B236E-55A0-45DF-964C-2C404C5C05E7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2 2 2" xfId="4242" xr:uid="{1A0A07C5-B780-4328-AE07-2C4ECC7E0187}"/>
    <cellStyle name="Note 29 2 3" xfId="3530" xr:uid="{377B2BED-7111-468A-B6CA-7EE79B391CB4}"/>
    <cellStyle name="Note 29 2 4" xfId="3750" xr:uid="{46F3840F-B656-4617-BC84-A6872CE404D0}"/>
    <cellStyle name="Note 29 2 5" xfId="4545" xr:uid="{AD28B131-1595-4819-B559-937A622C263D}"/>
    <cellStyle name="Note 29 2 6" xfId="4818" xr:uid="{2C916198-9295-47D1-A4A3-4DADE7495906}"/>
    <cellStyle name="Note 29 2 7" xfId="4980" xr:uid="{5C30E481-1185-4D09-A8E6-08FD3B9EE9DE}"/>
    <cellStyle name="Note 29 3" xfId="2197" xr:uid="{00000000-0005-0000-0000-000096080000}"/>
    <cellStyle name="Note 29 3 2" xfId="4243" xr:uid="{5CD5AEB7-654B-4592-AF90-5E66DEBCCA6A}"/>
    <cellStyle name="Note 29 4" xfId="3304" xr:uid="{89E1DADF-8075-420F-8FEA-FA29055B5505}"/>
    <cellStyle name="Note 29 5" xfId="3531" xr:uid="{30FC268C-4A8A-416A-92A3-CB11767465A8}"/>
    <cellStyle name="Note 29 6" xfId="3749" xr:uid="{5DD1095C-C6FA-49B6-B622-AEFED5B54F85}"/>
    <cellStyle name="Note 29 7" xfId="4546" xr:uid="{B9E7406D-2188-4AF8-87AB-63415BA12919}"/>
    <cellStyle name="Note 29 8" xfId="4817" xr:uid="{3FC9C54F-07F2-4A63-9B9D-562DDDB3F13A}"/>
    <cellStyle name="Note 29 9" xfId="4979" xr:uid="{3CA8C685-E0E2-4045-B847-6FFE0ADAAA08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2 2" xfId="4244" xr:uid="{898AE828-661B-402C-B897-CBA181D165B5}"/>
    <cellStyle name="Note 3 2 3" xfId="3528" xr:uid="{F87C0EF9-6694-49CD-AFB4-7215E914DA68}"/>
    <cellStyle name="Note 3 2 4" xfId="3752" xr:uid="{3BBBAED1-DCCF-47A6-94C4-91ED39175C7A}"/>
    <cellStyle name="Note 3 2 5" xfId="4543" xr:uid="{00CDF141-EB00-4EB7-B105-3ACF4C6B8EAA}"/>
    <cellStyle name="Note 3 2 6" xfId="4820" xr:uid="{C95DAB9E-0E21-4B17-BC58-205025F1B928}"/>
    <cellStyle name="Note 3 2 7" xfId="4982" xr:uid="{F8D6F9D5-EEED-4417-99D6-9745E11F27B9}"/>
    <cellStyle name="Note 3 3" xfId="2202" xr:uid="{00000000-0005-0000-0000-00009B080000}"/>
    <cellStyle name="Note 3 3 2" xfId="4245" xr:uid="{33F01C1A-0A4B-4C5F-8519-0DAF82933C24}"/>
    <cellStyle name="Note 3 4" xfId="3529" xr:uid="{9DD402F4-2AC4-413C-A7CA-D26262E3B4C4}"/>
    <cellStyle name="Note 3 5" xfId="3751" xr:uid="{EB4E66E2-8410-4190-8F4B-D466415C7E4B}"/>
    <cellStyle name="Note 3 6" xfId="4544" xr:uid="{DE17F7B9-F09C-4D31-93B7-65849905BE78}"/>
    <cellStyle name="Note 3 7" xfId="4819" xr:uid="{DC4C8C49-CD8C-482C-9607-7167FFD653B3}"/>
    <cellStyle name="Note 3 8" xfId="4981" xr:uid="{68D6CFD3-2B14-4F0F-B6A8-162DFC7107F9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2 2 2" xfId="4246" xr:uid="{E21A5823-1186-4C7F-BC92-59B3DAB33F3E}"/>
    <cellStyle name="Note 30 2 3" xfId="3526" xr:uid="{718712D2-91DD-49F6-9EE3-C39EB3367EB3}"/>
    <cellStyle name="Note 30 2 4" xfId="3754" xr:uid="{98D3EBE0-74B2-491A-AE5B-9FDE3DCE7711}"/>
    <cellStyle name="Note 30 2 5" xfId="4542" xr:uid="{3E6DAE11-CE41-4D14-944F-7C56D7714897}"/>
    <cellStyle name="Note 30 2 6" xfId="4822" xr:uid="{BE115283-3539-464F-B6E0-118636A88BF5}"/>
    <cellStyle name="Note 30 2 7" xfId="4984" xr:uid="{B2C3C1AF-89AD-46D6-A81B-1022027C1120}"/>
    <cellStyle name="Note 30 3" xfId="2207" xr:uid="{00000000-0005-0000-0000-0000A0080000}"/>
    <cellStyle name="Note 30 3 2" xfId="4247" xr:uid="{19B937F8-065E-4D59-B487-26DA9E4F1004}"/>
    <cellStyle name="Note 30 4" xfId="3305" xr:uid="{8505BD6A-B679-47FB-A836-85B46333D10C}"/>
    <cellStyle name="Note 30 5" xfId="3527" xr:uid="{E1B0FA2C-1362-4FD1-922E-80BB53EDA35C}"/>
    <cellStyle name="Note 30 6" xfId="3753" xr:uid="{AC83842D-CB40-4DE3-8C31-326B1F1D25CC}"/>
    <cellStyle name="Note 30 7" xfId="4410" xr:uid="{A90C8031-E529-4E9C-B77A-C2714A8B342F}"/>
    <cellStyle name="Note 30 8" xfId="4821" xr:uid="{37A5C495-D681-45C0-A8E3-2E53C97964C9}"/>
    <cellStyle name="Note 30 9" xfId="4983" xr:uid="{8E075703-853B-412A-9A25-75199FDE40A5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2 2 2" xfId="4248" xr:uid="{03958EBF-E5FE-4389-A923-F69115782F9C}"/>
    <cellStyle name="Note 31 2 3" xfId="3525" xr:uid="{08AD6890-C3A9-40DC-B5CB-311C816D66EC}"/>
    <cellStyle name="Note 31 2 4" xfId="3756" xr:uid="{D4AD5B84-24D8-4074-88EC-3DFE55A21D76}"/>
    <cellStyle name="Note 31 2 5" xfId="4540" xr:uid="{409FD7FA-C143-4097-BD08-2835C25187CE}"/>
    <cellStyle name="Note 31 2 6" xfId="4824" xr:uid="{8D403FF5-5336-4617-B332-F32FEC20F01A}"/>
    <cellStyle name="Note 31 2 7" xfId="4986" xr:uid="{DE62D089-2466-45B0-B83E-38E3419203CF}"/>
    <cellStyle name="Note 31 3" xfId="2212" xr:uid="{00000000-0005-0000-0000-0000A5080000}"/>
    <cellStyle name="Note 31 3 2" xfId="4249" xr:uid="{15F3E935-1C17-45D4-BDEF-831FB181ECB1}"/>
    <cellStyle name="Note 31 4" xfId="3306" xr:uid="{F2AAE5A1-C9B7-46F7-A1D2-A6FA25CC02E5}"/>
    <cellStyle name="Note 31 5" xfId="3398" xr:uid="{6FA7B44C-F183-4592-9B65-87E53A95AF2A}"/>
    <cellStyle name="Note 31 6" xfId="3755" xr:uid="{1CF89008-2700-4534-9CAF-D835D212FCA8}"/>
    <cellStyle name="Note 31 7" xfId="4541" xr:uid="{71551DFB-6BF5-4A46-A848-6CF16D0D27D0}"/>
    <cellStyle name="Note 31 8" xfId="4823" xr:uid="{DA5D395D-32D0-41A4-9AE6-87EAE7D30BEA}"/>
    <cellStyle name="Note 31 9" xfId="4985" xr:uid="{9BCD7589-8817-4E47-AF4A-05A6A6CD4E2F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2 2 2" xfId="4250" xr:uid="{ED2E107C-4179-47E6-88C7-635B22F28172}"/>
    <cellStyle name="Note 32 2 3" xfId="3523" xr:uid="{72F5AAFB-3102-4217-9DAF-0E34128A8B23}"/>
    <cellStyle name="Note 32 2 4" xfId="3758" xr:uid="{9FA7BD7E-6913-4B05-AC48-AA4DBDFACDB3}"/>
    <cellStyle name="Note 32 2 5" xfId="4538" xr:uid="{93812D1B-09A4-4774-88B2-118C8AC9FC4D}"/>
    <cellStyle name="Note 32 2 6" xfId="4826" xr:uid="{AFAA5648-836D-4266-A37A-13CBA1225E27}"/>
    <cellStyle name="Note 32 2 7" xfId="4988" xr:uid="{CA60546E-0B2E-4649-9869-4CE8F1D5C529}"/>
    <cellStyle name="Note 32 3" xfId="2217" xr:uid="{00000000-0005-0000-0000-0000AA080000}"/>
    <cellStyle name="Note 32 3 2" xfId="4251" xr:uid="{DC33180E-E310-489C-8DE9-3A11C211E9D9}"/>
    <cellStyle name="Note 32 4" xfId="3307" xr:uid="{9B262350-0361-47E3-B23D-C3EFDD4AFE3F}"/>
    <cellStyle name="Note 32 5" xfId="3524" xr:uid="{BEA39A75-6B7F-41D5-8BBF-29D1A72ED910}"/>
    <cellStyle name="Note 32 6" xfId="3757" xr:uid="{0149828D-06B8-495F-88F3-EF7C4B2CC1AB}"/>
    <cellStyle name="Note 32 7" xfId="4539" xr:uid="{2C77E94F-3E90-4D65-973D-4FEC7266C8D3}"/>
    <cellStyle name="Note 32 8" xfId="4825" xr:uid="{299100B5-71D2-4D8E-89CB-227024B4C992}"/>
    <cellStyle name="Note 32 9" xfId="4987" xr:uid="{A45BE76E-3EAA-4525-9303-4829FCE663A1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2 2 2" xfId="4252" xr:uid="{227EC679-5701-404E-BC6C-8B44AEAEDCF9}"/>
    <cellStyle name="Note 33 2 3" xfId="3521" xr:uid="{CFB16BBE-FA6B-40C1-A198-48497A19FD0F}"/>
    <cellStyle name="Note 33 2 4" xfId="3760" xr:uid="{D73BDA2A-D5BF-480A-8C9B-ACB24E23CDA4}"/>
    <cellStyle name="Note 33 2 5" xfId="4536" xr:uid="{23674475-BA62-4D40-B368-4C08D5E16115}"/>
    <cellStyle name="Note 33 2 6" xfId="4828" xr:uid="{8B385C4D-A244-4512-9075-DF71FDCA3FE8}"/>
    <cellStyle name="Note 33 2 7" xfId="4990" xr:uid="{1B56A04E-F16D-44DF-9974-9352F25CFC87}"/>
    <cellStyle name="Note 33 3" xfId="2222" xr:uid="{00000000-0005-0000-0000-0000AF080000}"/>
    <cellStyle name="Note 33 3 2" xfId="4253" xr:uid="{DDC2A0C4-388F-4284-93A1-2320EBE5817C}"/>
    <cellStyle name="Note 33 4" xfId="3308" xr:uid="{F8AA5604-C2D9-4BE0-B93D-9A34B1900D2B}"/>
    <cellStyle name="Note 33 5" xfId="3522" xr:uid="{EB5A71AC-C820-4E54-8438-A5968E78A3FD}"/>
    <cellStyle name="Note 33 6" xfId="3759" xr:uid="{28D18545-504F-40DC-908B-D02B6B0834E3}"/>
    <cellStyle name="Note 33 7" xfId="4537" xr:uid="{DAD9284B-5D34-4400-A050-A8EBEB345101}"/>
    <cellStyle name="Note 33 8" xfId="4827" xr:uid="{B39A903D-C722-43D2-BF3A-FAAB6C20E453}"/>
    <cellStyle name="Note 33 9" xfId="4989" xr:uid="{DD7A7019-8372-4D5B-9AFD-FDC947C31A5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2 2 2" xfId="4254" xr:uid="{CE009714-FA96-4812-B934-151700667C2D}"/>
    <cellStyle name="Note 34 2 3" xfId="3519" xr:uid="{FB6E9F83-C002-4018-A05E-601C25724F0A}"/>
    <cellStyle name="Note 34 2 4" xfId="3762" xr:uid="{BA99EB05-11E5-496B-A8CF-28B89785D76A}"/>
    <cellStyle name="Note 34 2 5" xfId="4534" xr:uid="{635E09DC-4FFA-4B32-BC11-1464EB97B68E}"/>
    <cellStyle name="Note 34 2 6" xfId="4830" xr:uid="{7426AC24-F5CD-4D16-BFD2-CD6A44FAB03C}"/>
    <cellStyle name="Note 34 2 7" xfId="4992" xr:uid="{28AA8319-4267-4B43-899D-F27358078FE0}"/>
    <cellStyle name="Note 34 3" xfId="2227" xr:uid="{00000000-0005-0000-0000-0000B4080000}"/>
    <cellStyle name="Note 34 3 2" xfId="4255" xr:uid="{7ECCCEDE-9404-4387-BB42-63924A351DA9}"/>
    <cellStyle name="Note 34 4" xfId="3309" xr:uid="{B5ACD420-A955-4AF6-9320-2EF6F5AD10C9}"/>
    <cellStyle name="Note 34 5" xfId="3520" xr:uid="{98BFBBFD-C8A6-4290-AD91-3E0A70888634}"/>
    <cellStyle name="Note 34 6" xfId="3761" xr:uid="{04E3675D-0180-40CF-8CC2-5965960BACA2}"/>
    <cellStyle name="Note 34 7" xfId="4535" xr:uid="{561A5409-E85B-4564-84B6-3C89C3BCD57B}"/>
    <cellStyle name="Note 34 8" xfId="4829" xr:uid="{1CB8430A-1834-4C4C-A10B-FC21569B117E}"/>
    <cellStyle name="Note 34 9" xfId="4991" xr:uid="{3A34E516-EF50-4FA9-A606-00F2669B8638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2 2 2" xfId="4256" xr:uid="{C58E7477-F2D0-4FAD-B442-C67A5222E490}"/>
    <cellStyle name="Note 35 2 3" xfId="3517" xr:uid="{2E613429-9D30-4F72-97F0-E4E74B9F3B7B}"/>
    <cellStyle name="Note 35 2 4" xfId="3764" xr:uid="{68C3A4C9-0C10-40F9-AA64-615FBE1086B4}"/>
    <cellStyle name="Note 35 2 5" xfId="4532" xr:uid="{49FE348B-E44C-497D-A09B-C6D120F62AF7}"/>
    <cellStyle name="Note 35 2 6" xfId="4832" xr:uid="{82F5F8B7-EA7F-42EB-AF82-94070E4473BD}"/>
    <cellStyle name="Note 35 2 7" xfId="4994" xr:uid="{D12FFFFB-B625-468A-A43E-D4E8E1B8E084}"/>
    <cellStyle name="Note 35 3" xfId="2232" xr:uid="{00000000-0005-0000-0000-0000B9080000}"/>
    <cellStyle name="Note 35 3 2" xfId="4257" xr:uid="{5D59B7C8-558D-495C-A7FD-05D724A644FE}"/>
    <cellStyle name="Note 35 4" xfId="3310" xr:uid="{61BF7309-909A-4ECA-B0AE-E074E4D3769C}"/>
    <cellStyle name="Note 35 5" xfId="3518" xr:uid="{7B4A5492-0ACF-4791-A243-A123C7B2EA00}"/>
    <cellStyle name="Note 35 6" xfId="3763" xr:uid="{ADBAA483-770E-46F0-93B0-AF7B1B63BFB2}"/>
    <cellStyle name="Note 35 7" xfId="4533" xr:uid="{E6C23D00-363A-40FE-88DB-C47468F6496F}"/>
    <cellStyle name="Note 35 8" xfId="4831" xr:uid="{43E993B4-684D-4F75-BB2D-D8443B5DFD40}"/>
    <cellStyle name="Note 35 9" xfId="4993" xr:uid="{C3580256-0433-43E0-ACFA-D18D0DA20E82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2 2 2" xfId="4258" xr:uid="{B258876F-F09A-4B33-9237-74FDB24C594E}"/>
    <cellStyle name="Note 36 2 3" xfId="3515" xr:uid="{885BC555-C792-429E-A840-B5D521D8B7BE}"/>
    <cellStyle name="Note 36 2 4" xfId="3766" xr:uid="{6EAEBF62-AD97-436C-B9C1-405D98BFED16}"/>
    <cellStyle name="Note 36 2 5" xfId="4531" xr:uid="{F1869AD5-CC09-4385-81B5-7D4391A12B14}"/>
    <cellStyle name="Note 36 2 6" xfId="4834" xr:uid="{A13ABC80-CD97-4A41-A49A-36F9B4BDEB5B}"/>
    <cellStyle name="Note 36 2 7" xfId="4996" xr:uid="{712E1EF2-2160-474F-B0CD-EC9B044B6452}"/>
    <cellStyle name="Note 36 3" xfId="2237" xr:uid="{00000000-0005-0000-0000-0000BE080000}"/>
    <cellStyle name="Note 36 3 2" xfId="4259" xr:uid="{AA83D08B-3118-41DD-A581-36020A543A48}"/>
    <cellStyle name="Note 36 4" xfId="3311" xr:uid="{7093E9B6-ED01-45E0-BEC8-A2F2498F82EA}"/>
    <cellStyle name="Note 36 5" xfId="3516" xr:uid="{996DE23E-5365-42BA-BF11-4BB634946E1F}"/>
    <cellStyle name="Note 36 6" xfId="3765" xr:uid="{AD4DC5DF-3F9F-4FC2-BE5F-0DA07056F7FE}"/>
    <cellStyle name="Note 36 7" xfId="4409" xr:uid="{C3221E6A-6826-4D59-A8C2-C70B2E1AC6C1}"/>
    <cellStyle name="Note 36 8" xfId="4833" xr:uid="{22789CD3-1D7C-4F37-8A45-86D0A6D32A40}"/>
    <cellStyle name="Note 36 9" xfId="4995" xr:uid="{EDD57B63-FA07-42B0-9412-C48C667295B8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2 2 2" xfId="4260" xr:uid="{F5E0ACBA-75B2-49CD-9C7E-6C062A4B1196}"/>
    <cellStyle name="Note 37 2 3" xfId="3514" xr:uid="{4C906F2A-FA0C-4CAE-9F4A-99F52A1C8590}"/>
    <cellStyle name="Note 37 2 4" xfId="3768" xr:uid="{ED70CF91-976A-41DC-AB01-FD1D7ADEA733}"/>
    <cellStyle name="Note 37 2 5" xfId="4529" xr:uid="{A52D4B67-A03A-461C-8794-6AEE706022AC}"/>
    <cellStyle name="Note 37 2 6" xfId="4836" xr:uid="{8E05DFAF-F982-40A4-89A9-BD51C1C54D47}"/>
    <cellStyle name="Note 37 2 7" xfId="4998" xr:uid="{AFC9BAD5-B9CF-429B-BC63-01B2F82BD6F7}"/>
    <cellStyle name="Note 37 3" xfId="2242" xr:uid="{00000000-0005-0000-0000-0000C3080000}"/>
    <cellStyle name="Note 37 3 2" xfId="4261" xr:uid="{1AE502C8-EC5E-400C-917C-618F4497FCA2}"/>
    <cellStyle name="Note 37 4" xfId="3312" xr:uid="{4A7AED1F-3FC2-4C72-B973-8AF1D1B8ACDA}"/>
    <cellStyle name="Note 37 5" xfId="3397" xr:uid="{4C97BBA9-E644-429A-8019-75C0C5050068}"/>
    <cellStyle name="Note 37 6" xfId="3767" xr:uid="{674996BE-0583-456B-9F9C-7A0E58A1E82F}"/>
    <cellStyle name="Note 37 7" xfId="4530" xr:uid="{B79C1253-07AB-4647-BF80-11DB00A8D224}"/>
    <cellStyle name="Note 37 8" xfId="4835" xr:uid="{B6AC5E4E-115A-48DF-B459-BFFDDE200D75}"/>
    <cellStyle name="Note 37 9" xfId="4997" xr:uid="{633E095D-EBBA-4552-AB09-65F42C9CC8B7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2 2 2" xfId="4262" xr:uid="{B14056D3-44E2-4992-9ED2-1FDC17F2ACD0}"/>
    <cellStyle name="Note 38 2 3" xfId="3512" xr:uid="{D16D38EA-B665-40B5-BC2E-2C6B6FE66526}"/>
    <cellStyle name="Note 38 2 4" xfId="3770" xr:uid="{33D4E884-4EA2-4C83-B185-E013031A2735}"/>
    <cellStyle name="Note 38 2 5" xfId="4527" xr:uid="{A5C862E5-3B06-4AF8-8EC6-01D7615D9818}"/>
    <cellStyle name="Note 38 2 6" xfId="4838" xr:uid="{A4195D40-82D1-4784-BB0D-A623D37FBAD3}"/>
    <cellStyle name="Note 38 2 7" xfId="5000" xr:uid="{16C93368-DAEE-470F-AD7F-F2DCD50D52D9}"/>
    <cellStyle name="Note 38 3" xfId="2247" xr:uid="{00000000-0005-0000-0000-0000C8080000}"/>
    <cellStyle name="Note 38 3 2" xfId="4263" xr:uid="{550D9A76-9C4E-4BF0-A859-ED30C1F490C0}"/>
    <cellStyle name="Note 38 4" xfId="3313" xr:uid="{24DB31D7-9DB4-467D-B95E-F0141D29C108}"/>
    <cellStyle name="Note 38 5" xfId="3513" xr:uid="{B6F225A3-D649-4258-8224-CBA676B65B9F}"/>
    <cellStyle name="Note 38 6" xfId="3769" xr:uid="{3DC91596-EC0E-4D99-B7F0-7A4688B5FF44}"/>
    <cellStyle name="Note 38 7" xfId="4528" xr:uid="{F4DAAE18-996B-40AE-86BE-A5CDEDF64058}"/>
    <cellStyle name="Note 38 8" xfId="4837" xr:uid="{D0AAF178-89EF-429F-99C4-E711FD47D430}"/>
    <cellStyle name="Note 38 9" xfId="4999" xr:uid="{1F19FE96-2AA9-4784-940C-83E59EFB1E6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2 2 2" xfId="4264" xr:uid="{D8F733C9-C210-43C6-BEEF-CB3E05EDA867}"/>
    <cellStyle name="Note 39 2 3" xfId="3510" xr:uid="{B794D999-C943-4C52-8CCA-5BE2BE143E4B}"/>
    <cellStyle name="Note 39 2 4" xfId="3772" xr:uid="{8A9B16EE-F3BC-4E1C-AC90-E53BDB02490E}"/>
    <cellStyle name="Note 39 2 5" xfId="4525" xr:uid="{E290BBD4-634E-455E-BEF7-232673DC510B}"/>
    <cellStyle name="Note 39 2 6" xfId="4840" xr:uid="{4C52EFDD-9871-40D4-88A0-4AA250D2CC7D}"/>
    <cellStyle name="Note 39 2 7" xfId="5002" xr:uid="{43E5BC2E-11CA-4259-95D5-954E7B46C071}"/>
    <cellStyle name="Note 39 3" xfId="2252" xr:uid="{00000000-0005-0000-0000-0000CD080000}"/>
    <cellStyle name="Note 39 3 2" xfId="4265" xr:uid="{EDF1E44B-1C90-47AD-AB1D-9F0A7B93E4BA}"/>
    <cellStyle name="Note 39 4" xfId="3314" xr:uid="{D59BE19E-0575-4AF6-842F-E0BFB23AB60A}"/>
    <cellStyle name="Note 39 5" xfId="3511" xr:uid="{21FF78AD-2D7A-4FEB-AA1B-2997C236803A}"/>
    <cellStyle name="Note 39 6" xfId="3771" xr:uid="{47AB6FF1-CC99-4F14-AC8E-E5B2E81ECC0B}"/>
    <cellStyle name="Note 39 7" xfId="4526" xr:uid="{4FF66139-F767-45E1-8BEF-4CF1C3AB80D4}"/>
    <cellStyle name="Note 39 8" xfId="4839" xr:uid="{8C7BF723-6C39-4CAD-A1DF-0D41E6755AFA}"/>
    <cellStyle name="Note 39 9" xfId="5001" xr:uid="{C892699C-FD39-4F89-8193-F04BAD3B0A18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2 2" xfId="4266" xr:uid="{6F9FF0B2-7FAF-4591-86C5-43CAA663C608}"/>
    <cellStyle name="Note 4 2 3" xfId="3508" xr:uid="{3D876ED0-A5C3-4C14-9E3B-2BCFB76F5D4A}"/>
    <cellStyle name="Note 4 2 4" xfId="3774" xr:uid="{7FE38EE5-769B-413C-85C5-CD7DD8474CDF}"/>
    <cellStyle name="Note 4 2 5" xfId="4523" xr:uid="{33E383D3-2E08-4DFB-84F3-666C8DE8CE29}"/>
    <cellStyle name="Note 4 2 6" xfId="4842" xr:uid="{F259232A-7482-475C-8CD4-120AFB2A7175}"/>
    <cellStyle name="Note 4 2 7" xfId="5004" xr:uid="{9EB273E8-45B8-45C9-BAFE-97A857198CB3}"/>
    <cellStyle name="Note 4 3" xfId="2257" xr:uid="{00000000-0005-0000-0000-0000D2080000}"/>
    <cellStyle name="Note 4 3 2" xfId="4267" xr:uid="{1F830F20-8B1B-49E9-93AA-9545BCB1F08F}"/>
    <cellStyle name="Note 4 4" xfId="3509" xr:uid="{089A340B-7B90-4355-96E5-8BC71AF0B48E}"/>
    <cellStyle name="Note 4 5" xfId="3773" xr:uid="{AD92EDDE-3208-4F5A-A0E5-07C972F54460}"/>
    <cellStyle name="Note 4 6" xfId="4524" xr:uid="{20459BB8-7CA8-403A-852B-87C9E20AA6E1}"/>
    <cellStyle name="Note 4 7" xfId="4841" xr:uid="{E3E1EFD0-E5F1-46EC-8101-AC5F1BCCA279}"/>
    <cellStyle name="Note 4 8" xfId="5003" xr:uid="{234ACD1E-1AFF-4A9A-ABBC-2031472FFAAF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2 2 2" xfId="4268" xr:uid="{58321381-9019-46CE-9F47-285494D70D3F}"/>
    <cellStyle name="Note 40 2 3" xfId="3506" xr:uid="{F933FB09-42B9-4507-8916-50ABABF60FD7}"/>
    <cellStyle name="Note 40 2 4" xfId="3776" xr:uid="{1972F074-87A6-405E-A1D8-A8C2498F5FCB}"/>
    <cellStyle name="Note 40 2 5" xfId="4521" xr:uid="{C4ACFF7D-9605-432D-97E4-5260CEE39657}"/>
    <cellStyle name="Note 40 2 6" xfId="4844" xr:uid="{A7CEE4A3-3805-443B-982B-52E32B49DB8B}"/>
    <cellStyle name="Note 40 2 7" xfId="5006" xr:uid="{30F37D9A-C708-4F10-9CCB-CCA634A9EBEE}"/>
    <cellStyle name="Note 40 3" xfId="2262" xr:uid="{00000000-0005-0000-0000-0000D7080000}"/>
    <cellStyle name="Note 40 3 2" xfId="4269" xr:uid="{5369A669-E140-44C9-8387-881CD7C47053}"/>
    <cellStyle name="Note 40 4" xfId="3315" xr:uid="{9EBB00CF-22C4-430E-B2A9-891E8141BA22}"/>
    <cellStyle name="Note 40 5" xfId="3507" xr:uid="{4DA4C67D-2CFD-41B5-9509-CB2584491573}"/>
    <cellStyle name="Note 40 6" xfId="3775" xr:uid="{9AA414AD-6EB5-40D9-B667-CD29CE456859}"/>
    <cellStyle name="Note 40 7" xfId="4522" xr:uid="{B2437A06-40F3-46E3-9826-750D7151E598}"/>
    <cellStyle name="Note 40 8" xfId="4843" xr:uid="{3089A5F5-170D-4BD5-9D39-8FBD40FA2AE9}"/>
    <cellStyle name="Note 40 9" xfId="5005" xr:uid="{7DDB4E08-31AD-4D7A-BA8D-42345D849C39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2 2 2" xfId="4270" xr:uid="{8AFBD9AC-B202-4861-9FE6-761383A2BD98}"/>
    <cellStyle name="Note 41 2 3" xfId="3504" xr:uid="{1D9CC0D4-8FA2-47C7-A3A3-ABEBFF6CF84B}"/>
    <cellStyle name="Note 41 2 4" xfId="3778" xr:uid="{8448DE82-F038-4EB3-B3AA-D767D2CFA26A}"/>
    <cellStyle name="Note 41 2 5" xfId="4520" xr:uid="{8436193D-3B47-4F2B-A09C-0A16BAB86788}"/>
    <cellStyle name="Note 41 2 6" xfId="4846" xr:uid="{37736407-BD43-4A49-8C14-18D981235E5D}"/>
    <cellStyle name="Note 41 2 7" xfId="5008" xr:uid="{0EC68A6B-05E5-4044-86F4-4A30B46E5128}"/>
    <cellStyle name="Note 41 3" xfId="2267" xr:uid="{00000000-0005-0000-0000-0000DC080000}"/>
    <cellStyle name="Note 41 3 2" xfId="4271" xr:uid="{8FE21F3D-34BF-4D31-BC5C-1ABFE58DE5A8}"/>
    <cellStyle name="Note 41 4" xfId="3316" xr:uid="{5E8F4200-D52D-4291-BDA0-96B2B0949589}"/>
    <cellStyle name="Note 41 5" xfId="3505" xr:uid="{24BCA7C7-F20D-4FB3-A0C5-D124FC0CAFD0}"/>
    <cellStyle name="Note 41 6" xfId="3777" xr:uid="{AA4E0C70-8DB2-4D24-AF99-E404255C7617}"/>
    <cellStyle name="Note 41 7" xfId="4408" xr:uid="{23CB5786-F6D0-4413-8E6F-A5C0ABAB9975}"/>
    <cellStyle name="Note 41 8" xfId="4845" xr:uid="{9BEB81EF-3839-4073-A1CE-8C02FAFF5333}"/>
    <cellStyle name="Note 41 9" xfId="5007" xr:uid="{AA3A7DCE-42DE-40D7-B099-B0A968FE08FB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2 2 2" xfId="4272" xr:uid="{ACC4FB01-B399-423C-B127-C3C5DB0A45FE}"/>
    <cellStyle name="Note 42 2 3" xfId="3503" xr:uid="{153B1233-EC62-442B-89A0-41FB8C806F7F}"/>
    <cellStyle name="Note 42 2 4" xfId="3780" xr:uid="{167E6E77-9CAE-49CD-8183-F95E5913593F}"/>
    <cellStyle name="Note 42 2 5" xfId="4518" xr:uid="{AA5B4568-B0D7-4D98-9DA9-A7E8413C89E7}"/>
    <cellStyle name="Note 42 2 6" xfId="4848" xr:uid="{FE867AE8-C7CC-46B9-80B9-6BF833EC5EAE}"/>
    <cellStyle name="Note 42 2 7" xfId="5010" xr:uid="{789CA22A-5BDC-47EA-B40A-11F431C58D61}"/>
    <cellStyle name="Note 42 3" xfId="2272" xr:uid="{00000000-0005-0000-0000-0000E1080000}"/>
    <cellStyle name="Note 42 3 2" xfId="4273" xr:uid="{6480D832-2D3D-43A3-94C5-34A459B9D83F}"/>
    <cellStyle name="Note 42 4" xfId="3317" xr:uid="{44B22F36-8559-4FBC-8FC5-88C3AEB460F1}"/>
    <cellStyle name="Note 42 5" xfId="3396" xr:uid="{27068AC5-AF62-4B34-8391-DED538C4AF59}"/>
    <cellStyle name="Note 42 6" xfId="3779" xr:uid="{12100ECF-3EFD-4F6C-A13B-55D74D49DBB7}"/>
    <cellStyle name="Note 42 7" xfId="4519" xr:uid="{5F78D502-599A-48D6-AE49-A261229165CA}"/>
    <cellStyle name="Note 42 8" xfId="4847" xr:uid="{1FFC3FA8-CF4A-4BE5-8B5D-3313A80198B2}"/>
    <cellStyle name="Note 42 9" xfId="5009" xr:uid="{8E375321-6C05-4A97-8A81-B27D9B536F58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2 2 2" xfId="4274" xr:uid="{94EAFB9E-862B-4EF8-BD9F-9B14814353CE}"/>
    <cellStyle name="Note 43 2 3" xfId="3501" xr:uid="{4E76DD36-63D5-42EC-92B0-2D4F57F351EA}"/>
    <cellStyle name="Note 43 2 4" xfId="3782" xr:uid="{F310EF74-1721-4F8C-BA94-F44EC629855B}"/>
    <cellStyle name="Note 43 2 5" xfId="4516" xr:uid="{8FCF301B-ABD7-4463-8991-4B5E5BBA9173}"/>
    <cellStyle name="Note 43 2 6" xfId="4850" xr:uid="{825E71C3-0308-45FD-AAAB-163A22463A5E}"/>
    <cellStyle name="Note 43 2 7" xfId="5012" xr:uid="{7037A15B-9D49-4653-95CD-21D732844512}"/>
    <cellStyle name="Note 43 3" xfId="2277" xr:uid="{00000000-0005-0000-0000-0000E6080000}"/>
    <cellStyle name="Note 43 3 2" xfId="4275" xr:uid="{90127FC5-1028-466F-800A-B15ABCAE5952}"/>
    <cellStyle name="Note 43 4" xfId="3318" xr:uid="{DCD141E3-E3B2-4EB9-8A62-746BE733B7B1}"/>
    <cellStyle name="Note 43 5" xfId="3502" xr:uid="{A895C57D-6510-4575-982A-F95E073B5AE8}"/>
    <cellStyle name="Note 43 6" xfId="3781" xr:uid="{9A904040-7D00-4B81-BABE-41126B4D1C3C}"/>
    <cellStyle name="Note 43 7" xfId="4517" xr:uid="{08619BC2-1E33-45DC-ACA1-3EC3384BB885}"/>
    <cellStyle name="Note 43 8" xfId="4849" xr:uid="{52FD3A8E-972E-48B1-885A-ED4A2B160CCA}"/>
    <cellStyle name="Note 43 9" xfId="5011" xr:uid="{F4699F6A-3EC1-4957-B86F-8CCF516D5C2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2 2 2" xfId="4276" xr:uid="{256E2574-E623-4D61-8A3F-D3CB1EF10BB7}"/>
    <cellStyle name="Note 44 2 3" xfId="3499" xr:uid="{23BAAFA5-0C22-4091-81C4-F2A5746E5773}"/>
    <cellStyle name="Note 44 2 4" xfId="3784" xr:uid="{C7575516-FCE6-4E85-84F8-93A188CE90F2}"/>
    <cellStyle name="Note 44 2 5" xfId="4514" xr:uid="{37C5DD99-BFCB-44CB-A5E8-9E9EFAD01675}"/>
    <cellStyle name="Note 44 2 6" xfId="4852" xr:uid="{9352EAB2-1492-4030-81D8-A188BF3F08C7}"/>
    <cellStyle name="Note 44 2 7" xfId="5014" xr:uid="{1F7DBF39-5257-4898-8160-4AA71886C23B}"/>
    <cellStyle name="Note 44 3" xfId="2282" xr:uid="{00000000-0005-0000-0000-0000EB080000}"/>
    <cellStyle name="Note 44 3 2" xfId="4277" xr:uid="{A68C1B42-7829-47B9-AB84-DF2186C9EC16}"/>
    <cellStyle name="Note 44 4" xfId="3319" xr:uid="{2AB9B911-8824-40B6-B1FF-1885532D25C7}"/>
    <cellStyle name="Note 44 5" xfId="3500" xr:uid="{025A9ABF-5C6A-48B0-B60F-1DD2B41D59B7}"/>
    <cellStyle name="Note 44 6" xfId="3783" xr:uid="{060BC2FD-53B0-465A-97B2-572818E8BA5E}"/>
    <cellStyle name="Note 44 7" xfId="4515" xr:uid="{6E9FFF68-446A-42A8-B9DE-7275769FCEC5}"/>
    <cellStyle name="Note 44 8" xfId="4851" xr:uid="{07BBDE4B-1899-4C55-9BBF-FB95E696EFCE}"/>
    <cellStyle name="Note 44 9" xfId="5013" xr:uid="{15B9F798-F7C7-4AE0-9C32-F0D9E6615639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2 2 2" xfId="4278" xr:uid="{E4F5733B-20C7-4C26-BC1B-C68EE45D948A}"/>
    <cellStyle name="Note 45 2 3" xfId="3497" xr:uid="{6F2283C3-44BB-44DA-9A03-5E56A4E1B4C8}"/>
    <cellStyle name="Note 45 2 4" xfId="3786" xr:uid="{DD14E96D-1CA3-4A9A-9187-0033578CECCE}"/>
    <cellStyle name="Note 45 2 5" xfId="4512" xr:uid="{06D02D26-42FC-4241-BDAC-C6D3CF7AEDBB}"/>
    <cellStyle name="Note 45 2 6" xfId="4854" xr:uid="{19C48703-FDED-4CB0-B88B-8813760C7C8A}"/>
    <cellStyle name="Note 45 2 7" xfId="5016" xr:uid="{D83401B3-4D60-4851-97A4-7F6F8CAB340C}"/>
    <cellStyle name="Note 45 3" xfId="2287" xr:uid="{00000000-0005-0000-0000-0000F0080000}"/>
    <cellStyle name="Note 45 3 2" xfId="4279" xr:uid="{4B5B1A4F-F59E-4D44-A925-105DA55BD835}"/>
    <cellStyle name="Note 45 4" xfId="3320" xr:uid="{8DA3D6C4-A746-4F96-A1BC-AF4943EAEA31}"/>
    <cellStyle name="Note 45 5" xfId="3498" xr:uid="{5AD429A2-408E-4219-9A03-8632BE456BBC}"/>
    <cellStyle name="Note 45 6" xfId="3785" xr:uid="{FF298A6C-D474-4052-89D1-EF48DAFDD9D9}"/>
    <cellStyle name="Note 45 7" xfId="4513" xr:uid="{E2997375-CAAE-43C0-AB18-F7441CAD3DB2}"/>
    <cellStyle name="Note 45 8" xfId="4853" xr:uid="{B86CEED3-27A5-4F68-A66F-C4CBE3D13FE5}"/>
    <cellStyle name="Note 45 9" xfId="5015" xr:uid="{B04CB354-13C7-44DF-8100-FD12C298EF94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2 2 2" xfId="4280" xr:uid="{EE9383C9-44B2-4111-9303-66014971A09C}"/>
    <cellStyle name="Note 46 2 3" xfId="3495" xr:uid="{B7F6E97F-9E98-4336-8F74-E517BE17BC83}"/>
    <cellStyle name="Note 46 2 4" xfId="3788" xr:uid="{9A30BB75-68FD-4E72-9C11-8F0A3D55B8FF}"/>
    <cellStyle name="Note 46 2 5" xfId="4510" xr:uid="{E59EE96B-569F-4DE5-A19C-68BEB860953D}"/>
    <cellStyle name="Note 46 2 6" xfId="4856" xr:uid="{78F4B5FF-67B2-4333-9512-272C0628277A}"/>
    <cellStyle name="Note 46 2 7" xfId="5018" xr:uid="{2C4DC5A7-42FD-48E9-925E-0070387F45C0}"/>
    <cellStyle name="Note 46 3" xfId="2292" xr:uid="{00000000-0005-0000-0000-0000F5080000}"/>
    <cellStyle name="Note 46 3 2" xfId="4281" xr:uid="{6642C4A8-B747-44A2-B952-B9792C265E36}"/>
    <cellStyle name="Note 46 4" xfId="3321" xr:uid="{C898CEFB-A1A9-4083-879D-94769BB17A0F}"/>
    <cellStyle name="Note 46 5" xfId="3496" xr:uid="{A6C1E8C8-E9DF-4CB2-A804-D7CCAF0213BF}"/>
    <cellStyle name="Note 46 6" xfId="3787" xr:uid="{1F66B6A5-31B0-4454-A1EC-D3531461E859}"/>
    <cellStyle name="Note 46 7" xfId="4511" xr:uid="{6EBE3224-BA44-4325-91AE-4DCBFA1E517A}"/>
    <cellStyle name="Note 46 8" xfId="4855" xr:uid="{4AE2E2E5-6904-47CE-9FEF-E5D5A91DAACB}"/>
    <cellStyle name="Note 46 9" xfId="5017" xr:uid="{F781CC40-79B7-4495-9DA9-F94BF9EF3CED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2 2 2" xfId="4282" xr:uid="{2F720E8F-E688-40D2-86DE-508D7E116F3F}"/>
    <cellStyle name="Note 47 2 3" xfId="3493" xr:uid="{35C366E7-8088-44EC-B0AF-2617F0606FA1}"/>
    <cellStyle name="Note 47 2 4" xfId="3790" xr:uid="{470AF73F-416E-4A36-90AA-836FDF5CA7CE}"/>
    <cellStyle name="Note 47 2 5" xfId="4509" xr:uid="{5B589F3B-4C52-4FCA-9EF2-20434265CA96}"/>
    <cellStyle name="Note 47 2 6" xfId="4858" xr:uid="{EB96D890-68E6-48D5-98C2-30F63EB10155}"/>
    <cellStyle name="Note 47 2 7" xfId="5020" xr:uid="{F85DC290-1E41-4434-AE86-04A39DA9CDBD}"/>
    <cellStyle name="Note 47 3" xfId="2297" xr:uid="{00000000-0005-0000-0000-0000FA080000}"/>
    <cellStyle name="Note 47 3 2" xfId="4283" xr:uid="{E0662DBC-2C97-49D7-86C9-79FFDFD275D0}"/>
    <cellStyle name="Note 47 4" xfId="3322" xr:uid="{919DCAFD-BA45-4718-8F96-8AEF4E0E0177}"/>
    <cellStyle name="Note 47 5" xfId="3494" xr:uid="{2C88FBA2-C23F-4D9B-A8FD-C3064C9EC764}"/>
    <cellStyle name="Note 47 6" xfId="3789" xr:uid="{5E4515BB-6965-4FA2-B3E3-E22CC1861B0E}"/>
    <cellStyle name="Note 47 7" xfId="4407" xr:uid="{C03234C8-8365-4309-9051-C3FDA88977E6}"/>
    <cellStyle name="Note 47 8" xfId="4857" xr:uid="{A66D2312-6919-41E2-B871-BDCD54E827B6}"/>
    <cellStyle name="Note 47 9" xfId="5019" xr:uid="{39541415-7BE8-4BA7-AF7C-06DEF48A36BF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2 2 2" xfId="4284" xr:uid="{186F6A52-DD93-4FCC-AEBC-39F1673991E7}"/>
    <cellStyle name="Note 48 2 3" xfId="3492" xr:uid="{7CE198DC-0115-464E-A1C4-223E0AAE90AC}"/>
    <cellStyle name="Note 48 2 4" xfId="3792" xr:uid="{89D609BA-3BA0-4D96-A1E1-974508AFE610}"/>
    <cellStyle name="Note 48 2 5" xfId="4507" xr:uid="{86870A46-BBF9-47A8-9E8F-8FAFEE7C0991}"/>
    <cellStyle name="Note 48 2 6" xfId="4860" xr:uid="{E3C054BD-5E4F-4DCA-91B7-6C6E50A9187C}"/>
    <cellStyle name="Note 48 2 7" xfId="5022" xr:uid="{EC697BDC-0569-4A37-8680-19F25519B0BF}"/>
    <cellStyle name="Note 48 3" xfId="2302" xr:uid="{00000000-0005-0000-0000-0000FF080000}"/>
    <cellStyle name="Note 48 3 2" xfId="4285" xr:uid="{B5F49436-7E02-4FAE-ACAC-8495D6C49FC8}"/>
    <cellStyle name="Note 48 4" xfId="3323" xr:uid="{22A8AD11-F50E-42E3-867A-1EF75F3B0F6C}"/>
    <cellStyle name="Note 48 5" xfId="3395" xr:uid="{02335D83-FC15-4E0D-B148-00FDDCA55E2F}"/>
    <cellStyle name="Note 48 6" xfId="3791" xr:uid="{7D4C0CCB-6A90-46B4-A479-62FFD9FDBC3C}"/>
    <cellStyle name="Note 48 7" xfId="4508" xr:uid="{F597A476-222F-4934-90EA-CE8554DC4FF3}"/>
    <cellStyle name="Note 48 8" xfId="4859" xr:uid="{83D7E5AF-CC3C-48BF-8D01-232DDF40A8B0}"/>
    <cellStyle name="Note 48 9" xfId="5021" xr:uid="{D2793D0F-A782-42F8-91BC-207BA2CC7A06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2 2 2" xfId="4286" xr:uid="{8B2BD496-BC63-4CB4-AD36-D23BDA66FE48}"/>
    <cellStyle name="Note 49 2 3" xfId="3490" xr:uid="{1B7EAA1F-7834-456F-B2E5-EE0408F86FFA}"/>
    <cellStyle name="Note 49 2 4" xfId="3794" xr:uid="{DFCDA04A-EB78-496B-AAEF-2D24EC7007F1}"/>
    <cellStyle name="Note 49 2 5" xfId="4505" xr:uid="{C2DF706E-63A3-43FF-AAA0-2149A4D5F157}"/>
    <cellStyle name="Note 49 2 6" xfId="4862" xr:uid="{FE003D2E-B2B9-4B7E-993B-044216B1905E}"/>
    <cellStyle name="Note 49 2 7" xfId="5024" xr:uid="{7600D9C1-808B-4104-8B4B-579C5955BEEE}"/>
    <cellStyle name="Note 49 3" xfId="2307" xr:uid="{00000000-0005-0000-0000-000004090000}"/>
    <cellStyle name="Note 49 3 2" xfId="4287" xr:uid="{2F219C8E-4C01-4C0A-BD43-C31D60DD3768}"/>
    <cellStyle name="Note 49 4" xfId="3324" xr:uid="{37ADA00E-43B3-4467-9C41-A2D09F2A8622}"/>
    <cellStyle name="Note 49 5" xfId="3491" xr:uid="{D43BEC63-2FDD-463E-BD95-AA2295D27108}"/>
    <cellStyle name="Note 49 6" xfId="3793" xr:uid="{EC973A13-462A-4DA7-B311-3039FCB5A460}"/>
    <cellStyle name="Note 49 7" xfId="4506" xr:uid="{E9184B4A-3389-4F9B-8495-7E4431719118}"/>
    <cellStyle name="Note 49 8" xfId="4861" xr:uid="{D4CB1662-B8EF-497B-BD00-F54382F1BF37}"/>
    <cellStyle name="Note 49 9" xfId="5023" xr:uid="{0BAB9AEB-EDD8-43E8-8B73-86A6BF05620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2 2" xfId="4288" xr:uid="{E28F087F-2301-45C6-A1A3-DEDBF65DE552}"/>
    <cellStyle name="Note 5 2 3" xfId="3488" xr:uid="{D0A6A90D-61E6-421D-B78E-AE8B4EEA32A7}"/>
    <cellStyle name="Note 5 2 4" xfId="3796" xr:uid="{5C7B7C29-E063-4758-9FF4-3FC3B0C8E24E}"/>
    <cellStyle name="Note 5 2 5" xfId="4503" xr:uid="{F9CA49DC-5B85-469D-8AB3-3FB2ABCDC66B}"/>
    <cellStyle name="Note 5 2 6" xfId="4864" xr:uid="{BE1577BA-FB2D-4F10-A175-15F1C81814CD}"/>
    <cellStyle name="Note 5 2 7" xfId="5026" xr:uid="{68427A2E-21C1-4987-B31A-7823097D7592}"/>
    <cellStyle name="Note 5 3" xfId="2312" xr:uid="{00000000-0005-0000-0000-000009090000}"/>
    <cellStyle name="Note 5 3 2" xfId="4289" xr:uid="{51389C68-ADDB-4005-BA82-6F3AE5EB93AA}"/>
    <cellStyle name="Note 5 4" xfId="3489" xr:uid="{995A962C-CC91-4EF5-A0F3-9CAC9EF2A8CA}"/>
    <cellStyle name="Note 5 5" xfId="3795" xr:uid="{795858D3-D92B-439C-9FED-D5B29D5BFF83}"/>
    <cellStyle name="Note 5 6" xfId="4504" xr:uid="{0AC53120-CAFA-4B82-AC46-BF95E87AD141}"/>
    <cellStyle name="Note 5 7" xfId="4863" xr:uid="{4CD32D64-D16D-44DA-8450-FFEE0A479FBE}"/>
    <cellStyle name="Note 5 8" xfId="5025" xr:uid="{03D0EA0C-C317-4AD4-A5B8-FAFF02040A36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2 2 2" xfId="4290" xr:uid="{FAAF9ED8-87F6-44CB-914E-776A3A8DB810}"/>
    <cellStyle name="Note 50 2 3" xfId="3486" xr:uid="{3C9DD515-0C38-4E24-B822-8F706051D6A5}"/>
    <cellStyle name="Note 50 2 4" xfId="3798" xr:uid="{CD1C446A-618F-425E-85D4-F95D0A78DD20}"/>
    <cellStyle name="Note 50 2 5" xfId="4501" xr:uid="{7028EABE-5ED9-4CED-A6C2-79B7542ECB4D}"/>
    <cellStyle name="Note 50 2 6" xfId="4866" xr:uid="{79F1D02F-749B-4F74-986C-F3E6B0954279}"/>
    <cellStyle name="Note 50 2 7" xfId="5028" xr:uid="{B4F5D766-9F45-4417-A125-39C27A07D7E2}"/>
    <cellStyle name="Note 50 3" xfId="2317" xr:uid="{00000000-0005-0000-0000-00000E090000}"/>
    <cellStyle name="Note 50 3 2" xfId="4291" xr:uid="{D05CEEF8-6E1A-4CCC-A0F1-7B034F7FEDC6}"/>
    <cellStyle name="Note 50 4" xfId="3325" xr:uid="{7CEDF028-2CCC-4D96-B89C-27E3600BD081}"/>
    <cellStyle name="Note 50 5" xfId="3487" xr:uid="{3EDD41F9-73D1-4F77-A52B-B2EF59ECCE06}"/>
    <cellStyle name="Note 50 6" xfId="3797" xr:uid="{23952EF6-8F5E-4232-BE08-1BB326C1BE87}"/>
    <cellStyle name="Note 50 7" xfId="4502" xr:uid="{8A3E25FC-62C3-46A9-BC58-FFCCC9BE5E0C}"/>
    <cellStyle name="Note 50 8" xfId="4865" xr:uid="{D38D120F-46F3-48AD-9FB5-8B3991BF0613}"/>
    <cellStyle name="Note 50 9" xfId="5027" xr:uid="{7CD1ADC0-A5A9-4E79-A892-3EA8286D59BA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2 2 2" xfId="4292" xr:uid="{F3B4DB9F-B68C-4B97-BB65-501612EE043F}"/>
    <cellStyle name="Note 51 2 3" xfId="3484" xr:uid="{D2F38DBA-96C5-4508-8348-11CD1E2879B9}"/>
    <cellStyle name="Note 51 2 4" xfId="3800" xr:uid="{062DEFCE-F557-432B-BEEB-74BFA5FB3049}"/>
    <cellStyle name="Note 51 2 5" xfId="4499" xr:uid="{CBB25F91-B37F-4E02-8113-561EBEE94966}"/>
    <cellStyle name="Note 51 2 6" xfId="4868" xr:uid="{A70B4C5E-EB3C-4F43-90C4-AC86988F98DE}"/>
    <cellStyle name="Note 51 2 7" xfId="5030" xr:uid="{F12E72B1-EFD5-4F4B-A4B9-C3C1F4D8E8E1}"/>
    <cellStyle name="Note 51 3" xfId="2322" xr:uid="{00000000-0005-0000-0000-000013090000}"/>
    <cellStyle name="Note 51 3 2" xfId="4293" xr:uid="{10C3C32C-824E-412D-80F1-1BE7EAE1DC30}"/>
    <cellStyle name="Note 51 4" xfId="3326" xr:uid="{71D3340D-4E70-4BF5-8C08-A8151F7FB7D3}"/>
    <cellStyle name="Note 51 5" xfId="3485" xr:uid="{E9C49DFE-F272-4EDC-BDB1-BE71750FE775}"/>
    <cellStyle name="Note 51 6" xfId="3799" xr:uid="{98667972-1E9E-40C2-9FF7-4652C69DBCE3}"/>
    <cellStyle name="Note 51 7" xfId="4500" xr:uid="{725714B5-B7B0-4F9B-A0CA-BCA7BB25966C}"/>
    <cellStyle name="Note 51 8" xfId="4867" xr:uid="{CF105813-6998-45AD-8847-4554C8D0B98D}"/>
    <cellStyle name="Note 51 9" xfId="5029" xr:uid="{5E9DDACD-0999-4945-9CBC-723C32BDF83E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2 2 2" xfId="4294" xr:uid="{ED271CB1-57B5-4BC3-B3B9-D3BA5870608F}"/>
    <cellStyle name="Note 52 2 3" xfId="3482" xr:uid="{1ECF9EF7-5CDC-4842-8EED-7A7158C36454}"/>
    <cellStyle name="Note 52 2 4" xfId="3802" xr:uid="{7FB1FDD6-88C6-438D-9D1A-22DFACA65859}"/>
    <cellStyle name="Note 52 2 5" xfId="4498" xr:uid="{69F19AF2-C403-4010-9DAD-6652F08D9BF1}"/>
    <cellStyle name="Note 52 2 6" xfId="4870" xr:uid="{893FD86E-0BDD-4AD2-83A7-E0F084A1A85F}"/>
    <cellStyle name="Note 52 2 7" xfId="5032" xr:uid="{1FBD1833-CA62-40BA-84E0-19EACA5FC1D1}"/>
    <cellStyle name="Note 52 3" xfId="2327" xr:uid="{00000000-0005-0000-0000-000018090000}"/>
    <cellStyle name="Note 52 3 2" xfId="4295" xr:uid="{6233BD20-EA3B-4CA6-A00A-F33C928563BD}"/>
    <cellStyle name="Note 52 4" xfId="3327" xr:uid="{626AA525-C2FF-4DC6-9BE0-104D273D2CCA}"/>
    <cellStyle name="Note 52 5" xfId="3483" xr:uid="{60C2D556-2F8C-41F3-8C56-44C6A3F8EA16}"/>
    <cellStyle name="Note 52 6" xfId="3801" xr:uid="{398DD5E9-B5F5-4CD7-A944-F8135896D7B3}"/>
    <cellStyle name="Note 52 7" xfId="4406" xr:uid="{9CBE4824-8CEE-498F-9172-156AA7FA8B07}"/>
    <cellStyle name="Note 52 8" xfId="4869" xr:uid="{5D22D713-89D6-4C02-82BE-F07C03052D1D}"/>
    <cellStyle name="Note 52 9" xfId="5031" xr:uid="{42AE32D9-3795-4313-98B2-5711778C69B4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2 2 2" xfId="4296" xr:uid="{404CC517-7F9E-4B7D-901E-C722272D8F8C}"/>
    <cellStyle name="Note 53 2 3" xfId="3481" xr:uid="{E4FD0A0F-AEA7-40CE-B594-83368061886E}"/>
    <cellStyle name="Note 53 2 4" xfId="3804" xr:uid="{9720FAE0-5104-49B6-82D6-C7E06045B1AB}"/>
    <cellStyle name="Note 53 2 5" xfId="4496" xr:uid="{E30141B2-8910-4AF2-B5ED-C9E05DD42EB6}"/>
    <cellStyle name="Note 53 2 6" xfId="4872" xr:uid="{0EFC0669-E4BF-4587-A993-282003A30C71}"/>
    <cellStyle name="Note 53 2 7" xfId="5034" xr:uid="{8344D00C-3A5F-44C1-A2F7-219C950BA752}"/>
    <cellStyle name="Note 53 3" xfId="2332" xr:uid="{00000000-0005-0000-0000-00001D090000}"/>
    <cellStyle name="Note 53 3 2" xfId="4297" xr:uid="{A2AA1E76-5504-414A-92A8-88AA1EE21618}"/>
    <cellStyle name="Note 53 4" xfId="3328" xr:uid="{E79AC231-CFB8-4D87-B05C-317D4419DA07}"/>
    <cellStyle name="Note 53 5" xfId="3394" xr:uid="{9FBC9FAA-E0ED-4865-A20D-54682241B6C3}"/>
    <cellStyle name="Note 53 6" xfId="3803" xr:uid="{D8D5BEDF-EFA0-44F3-BC4E-B763D538957A}"/>
    <cellStyle name="Note 53 7" xfId="4497" xr:uid="{F335BBF0-72CE-49D0-9D6A-FC20B6D3C4A4}"/>
    <cellStyle name="Note 53 8" xfId="4871" xr:uid="{FB8F36E5-A5E6-4CBF-8966-088258F6E912}"/>
    <cellStyle name="Note 53 9" xfId="5033" xr:uid="{E46E470D-ADC1-485B-929B-54D3C86FF5CF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2 2 2" xfId="4298" xr:uid="{A44A2A2E-F96E-43C8-97CF-8C15EB2F591E}"/>
    <cellStyle name="Note 54 2 3" xfId="3479" xr:uid="{990101D9-287F-48E8-A556-C06EE6895E55}"/>
    <cellStyle name="Note 54 2 4" xfId="3806" xr:uid="{DDFAA899-5C3A-4D12-AD4D-75ADF149E9B2}"/>
    <cellStyle name="Note 54 2 5" xfId="4494" xr:uid="{B8DFDBD2-B93E-40A3-8F7B-EA01C87FC3B6}"/>
    <cellStyle name="Note 54 2 6" xfId="4874" xr:uid="{C0945450-80CF-452D-BC06-7857AC223CB8}"/>
    <cellStyle name="Note 54 2 7" xfId="5036" xr:uid="{5CBAE7FE-C260-4939-8B8C-BE61378ED999}"/>
    <cellStyle name="Note 54 3" xfId="2337" xr:uid="{00000000-0005-0000-0000-000022090000}"/>
    <cellStyle name="Note 54 3 2" xfId="4299" xr:uid="{64C3C11D-BC72-43CE-BD7B-C33027DB89D0}"/>
    <cellStyle name="Note 54 4" xfId="3329" xr:uid="{C592B71B-8874-41FC-9CE1-95C9B48FCA3E}"/>
    <cellStyle name="Note 54 5" xfId="3480" xr:uid="{8F5C4671-A803-4A60-BFC3-522EE258B1A0}"/>
    <cellStyle name="Note 54 6" xfId="3805" xr:uid="{0136DA5B-324A-47B6-81FA-92F1A04C1F5C}"/>
    <cellStyle name="Note 54 7" xfId="4495" xr:uid="{0B3A9E97-BD17-4026-8FAA-4CEDAEE5DEEA}"/>
    <cellStyle name="Note 54 8" xfId="4873" xr:uid="{F9295102-E44D-4A89-BB91-6000DEA85652}"/>
    <cellStyle name="Note 54 9" xfId="5035" xr:uid="{EF15EE79-D58E-4632-8F5A-EC69AFCB58D6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2 2 2" xfId="4300" xr:uid="{F3097C64-2E79-4B72-B231-F382F482B051}"/>
    <cellStyle name="Note 55 2 3" xfId="3477" xr:uid="{E90D818D-A7FA-4CC4-A9F3-6EBCFF1E604A}"/>
    <cellStyle name="Note 55 2 4" xfId="3808" xr:uid="{1E3255EC-C1C4-4C0B-BB27-614AB08AAA2F}"/>
    <cellStyle name="Note 55 2 5" xfId="4492" xr:uid="{6B32CAF6-041E-482C-ABCB-C79CA548E217}"/>
    <cellStyle name="Note 55 2 6" xfId="4876" xr:uid="{90480E07-56A2-4820-BA90-363597142941}"/>
    <cellStyle name="Note 55 2 7" xfId="5038" xr:uid="{C998727B-1E80-4623-8DE1-8D124E5E0D1E}"/>
    <cellStyle name="Note 55 3" xfId="2342" xr:uid="{00000000-0005-0000-0000-000027090000}"/>
    <cellStyle name="Note 55 3 2" xfId="4301" xr:uid="{A31E4B4D-F777-40BB-A1D9-6C98B803EC61}"/>
    <cellStyle name="Note 55 4" xfId="3330" xr:uid="{BB0ABEC9-B454-4F77-834C-6D611339CF04}"/>
    <cellStyle name="Note 55 5" xfId="3478" xr:uid="{11D559F9-B4A9-4F37-9FC6-8D8C510E390C}"/>
    <cellStyle name="Note 55 6" xfId="3807" xr:uid="{BEF54888-FB9E-420C-ADE5-CD8B5F35C7B0}"/>
    <cellStyle name="Note 55 7" xfId="4493" xr:uid="{A660F03B-3D3F-4535-B4A1-CBC71492B5A3}"/>
    <cellStyle name="Note 55 8" xfId="4875" xr:uid="{276F7833-745C-4209-9288-6F5CBB53A10E}"/>
    <cellStyle name="Note 55 9" xfId="5037" xr:uid="{85DD5733-A3FF-4E9B-8048-6A566C03DFC1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2 2 2" xfId="4302" xr:uid="{E86582BB-50AA-4ADC-9E0F-994577600D47}"/>
    <cellStyle name="Note 56 2 3" xfId="3475" xr:uid="{AAF47213-36DC-46F2-B03F-A50480979786}"/>
    <cellStyle name="Note 56 2 4" xfId="3810" xr:uid="{329BAC08-0649-4D00-9FDF-DF6523AA9E5B}"/>
    <cellStyle name="Note 56 2 5" xfId="4490" xr:uid="{BFDB74DE-4A28-4D23-BEDF-310ABF30B4C5}"/>
    <cellStyle name="Note 56 2 6" xfId="4878" xr:uid="{F08B3DEF-E7A2-49BF-9981-1A2F400EBECF}"/>
    <cellStyle name="Note 56 2 7" xfId="5040" xr:uid="{027C86B7-0D4E-4585-8B39-BC97E16E54AD}"/>
    <cellStyle name="Note 56 3" xfId="2347" xr:uid="{00000000-0005-0000-0000-00002C090000}"/>
    <cellStyle name="Note 56 3 2" xfId="4303" xr:uid="{EB9704C6-1EF3-4C0D-A64E-949189FEF90C}"/>
    <cellStyle name="Note 56 4" xfId="3331" xr:uid="{71C853B7-736D-4801-B9FD-393232A7E1E2}"/>
    <cellStyle name="Note 56 5" xfId="3476" xr:uid="{1D07EA67-EA6A-408D-8BAF-46D092EDA221}"/>
    <cellStyle name="Note 56 6" xfId="3809" xr:uid="{023A374C-FB74-401B-B8B5-580DD95BC493}"/>
    <cellStyle name="Note 56 7" xfId="4491" xr:uid="{AB993D80-8D72-4DB5-923F-4F8F12D3D39D}"/>
    <cellStyle name="Note 56 8" xfId="4877" xr:uid="{30E80195-977D-4641-830D-EFF8AB886F01}"/>
    <cellStyle name="Note 56 9" xfId="5039" xr:uid="{440D4CE6-B35C-41B2-ACE2-15102A9880E5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2 2 2" xfId="4304" xr:uid="{42293EF9-6558-4EEA-8968-16EE51D6964A}"/>
    <cellStyle name="Note 57 2 3" xfId="3473" xr:uid="{89D3CF2D-DC43-4D24-9CD4-B7275832E265}"/>
    <cellStyle name="Note 57 2 4" xfId="3812" xr:uid="{EAD1D9D9-99AD-40FB-93F3-4A3B33853E08}"/>
    <cellStyle name="Note 57 2 5" xfId="4488" xr:uid="{06FF2326-7C4B-4407-B7E3-CED4E8C63BC5}"/>
    <cellStyle name="Note 57 2 6" xfId="4880" xr:uid="{AC89FE17-F331-4D7D-B675-21954DD29268}"/>
    <cellStyle name="Note 57 2 7" xfId="5042" xr:uid="{DF588B2C-6C3B-473C-ACC5-3BA7103175E8}"/>
    <cellStyle name="Note 57 3" xfId="2352" xr:uid="{00000000-0005-0000-0000-000031090000}"/>
    <cellStyle name="Note 57 3 2" xfId="4305" xr:uid="{4C6F131D-69AD-4362-B698-96565E7AC33A}"/>
    <cellStyle name="Note 57 4" xfId="3332" xr:uid="{4A540369-4FAD-42A7-9CF0-8DE0EB3AB369}"/>
    <cellStyle name="Note 57 5" xfId="3474" xr:uid="{82306FC1-0703-4ADF-B83C-7DAE4EE56BB4}"/>
    <cellStyle name="Note 57 6" xfId="3811" xr:uid="{B1388A4F-9075-4772-86A0-0F9D534D1181}"/>
    <cellStyle name="Note 57 7" xfId="4489" xr:uid="{5B011AA6-0A74-49FF-A527-A6AE34B1695F}"/>
    <cellStyle name="Note 57 8" xfId="4879" xr:uid="{711D16DD-6D82-455E-994C-2C125699CA57}"/>
    <cellStyle name="Note 57 9" xfId="5041" xr:uid="{2EABFED8-440B-4223-99DA-D931912AFFDE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2 2 2" xfId="4306" xr:uid="{8D818AAB-2307-44FD-8C65-A36660BA3AAA}"/>
    <cellStyle name="Note 58 2 3" xfId="3471" xr:uid="{3C78692E-5082-40E6-B7C3-C43F58BCCAC2}"/>
    <cellStyle name="Note 58 2 4" xfId="3814" xr:uid="{912DA850-2B74-4B59-BECC-BF680D65EF3A}"/>
    <cellStyle name="Note 58 2 5" xfId="4487" xr:uid="{F4406496-2221-43E8-A471-034031492FB9}"/>
    <cellStyle name="Note 58 2 6" xfId="4882" xr:uid="{CD67CA82-A397-4075-A440-810B45DD2268}"/>
    <cellStyle name="Note 58 2 7" xfId="5044" xr:uid="{F474FA25-D61A-409F-99E5-C58438A48FB0}"/>
    <cellStyle name="Note 58 3" xfId="2357" xr:uid="{00000000-0005-0000-0000-000036090000}"/>
    <cellStyle name="Note 58 3 2" xfId="4307" xr:uid="{821BCF80-CC47-4476-A87F-CD8C6A9AFD72}"/>
    <cellStyle name="Note 58 4" xfId="3333" xr:uid="{9CF2F042-3B53-40BB-9D37-89DA46C9BAAC}"/>
    <cellStyle name="Note 58 5" xfId="3472" xr:uid="{2A2A9490-1F54-4575-90DF-188408E8AEEB}"/>
    <cellStyle name="Note 58 6" xfId="3813" xr:uid="{5391D0DE-A78B-4981-9F44-C02B1CFA3550}"/>
    <cellStyle name="Note 58 7" xfId="4405" xr:uid="{17285AB0-7FB3-4FD9-989B-8C6695F4B470}"/>
    <cellStyle name="Note 58 8" xfId="4881" xr:uid="{24A5415B-23D3-4ADA-A30B-A8F826EEEE5D}"/>
    <cellStyle name="Note 58 9" xfId="5043" xr:uid="{3A50DA00-F6CC-42C9-B41F-B0021848D2C7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2 2 2" xfId="4308" xr:uid="{B69348D8-3CF0-48E4-A88B-7E3D01B49E4F}"/>
    <cellStyle name="Note 59 2 3" xfId="3470" xr:uid="{2B8C3AA4-8A17-4CB0-8C48-8DFBE13BD1F0}"/>
    <cellStyle name="Note 59 2 4" xfId="3816" xr:uid="{D73B4D2D-2E63-4A5C-BEAC-89108EDD6216}"/>
    <cellStyle name="Note 59 2 5" xfId="4485" xr:uid="{637E9888-DB5A-431B-ACC0-C6C50FB625DB}"/>
    <cellStyle name="Note 59 2 6" xfId="4884" xr:uid="{1170F1A0-07D6-4CB6-8B84-F1C67E6F20C0}"/>
    <cellStyle name="Note 59 2 7" xfId="5046" xr:uid="{35D60A2C-D9D2-4D01-91DB-5674C199C446}"/>
    <cellStyle name="Note 59 3" xfId="2362" xr:uid="{00000000-0005-0000-0000-00003B090000}"/>
    <cellStyle name="Note 59 3 2" xfId="4309" xr:uid="{3FB6D7A1-F8BA-448A-A99D-ED10F832C376}"/>
    <cellStyle name="Note 59 4" xfId="3334" xr:uid="{16808FD0-904B-4EF0-AE2E-96D0A166EB70}"/>
    <cellStyle name="Note 59 5" xfId="3393" xr:uid="{64D82AD9-A675-4B38-9E4B-CD2C5134517B}"/>
    <cellStyle name="Note 59 6" xfId="3815" xr:uid="{31D11D6C-E1FD-4009-A391-2401F09FF18C}"/>
    <cellStyle name="Note 59 7" xfId="4486" xr:uid="{C8DC304C-D399-441D-B5E7-6A6A36BA0275}"/>
    <cellStyle name="Note 59 8" xfId="4883" xr:uid="{38B902EA-7757-4261-A2B1-A9FD824B1911}"/>
    <cellStyle name="Note 59 9" xfId="5045" xr:uid="{B4A610C0-F360-4607-8837-3149902B2399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2 2" xfId="4310" xr:uid="{02578A69-DEBC-475A-85C2-FD84A13E8912}"/>
    <cellStyle name="Note 6 2 3" xfId="3468" xr:uid="{97EC34DB-90D0-40F0-8583-4477EFC3B95C}"/>
    <cellStyle name="Note 6 2 4" xfId="3818" xr:uid="{92300398-3963-49A4-8915-9C5B5AB884F5}"/>
    <cellStyle name="Note 6 2 5" xfId="4483" xr:uid="{35A82F2A-CE06-455E-9C1E-4827187759FB}"/>
    <cellStyle name="Note 6 2 6" xfId="4886" xr:uid="{F6F98A90-25F1-490C-9DB4-D51667788E06}"/>
    <cellStyle name="Note 6 2 7" xfId="5048" xr:uid="{E479B30C-B067-425B-A220-C6C97F4F0006}"/>
    <cellStyle name="Note 6 3" xfId="2367" xr:uid="{00000000-0005-0000-0000-000040090000}"/>
    <cellStyle name="Note 6 3 2" xfId="4311" xr:uid="{1B3D2CA9-244E-4774-A872-B6C94509CC24}"/>
    <cellStyle name="Note 6 4" xfId="3469" xr:uid="{B4B897CE-54BF-4873-B498-E92023131A54}"/>
    <cellStyle name="Note 6 5" xfId="3817" xr:uid="{BC032CB4-A068-4FC7-8B5C-389A088A1642}"/>
    <cellStyle name="Note 6 6" xfId="4484" xr:uid="{5D6A226C-AEF2-441F-937A-312AF66293D9}"/>
    <cellStyle name="Note 6 7" xfId="4885" xr:uid="{CEDE5ABB-2C0B-4F5F-8DA0-2C51A1FA3DF0}"/>
    <cellStyle name="Note 6 8" xfId="5047" xr:uid="{1AE68ED6-0B5D-4121-8C13-98863A079B64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2 2 2" xfId="4312" xr:uid="{59A23CA7-B1E6-4704-B18D-95566EBAC827}"/>
    <cellStyle name="Note 60 2 3" xfId="3466" xr:uid="{4AA7F023-836A-40A8-806A-A4F62DC226CA}"/>
    <cellStyle name="Note 60 2 4" xfId="3820" xr:uid="{AF4EC94C-CD3C-4971-8C78-1017E88ABA13}"/>
    <cellStyle name="Note 60 2 5" xfId="4481" xr:uid="{C0FDAEC1-EA4C-4BCE-BB72-8CA56D756411}"/>
    <cellStyle name="Note 60 2 6" xfId="4888" xr:uid="{508E5AD0-CA67-4B33-94D6-61B4EE048B66}"/>
    <cellStyle name="Note 60 2 7" xfId="5050" xr:uid="{45F93384-1440-4B7B-9352-B701424DA3A2}"/>
    <cellStyle name="Note 60 3" xfId="2372" xr:uid="{00000000-0005-0000-0000-000045090000}"/>
    <cellStyle name="Note 60 3 2" xfId="4313" xr:uid="{CBA1D702-BB9E-49FA-8B6E-DD03FF78A3BC}"/>
    <cellStyle name="Note 60 4" xfId="3335" xr:uid="{96678D52-40D5-4321-A6B8-177DED92CCE3}"/>
    <cellStyle name="Note 60 5" xfId="3467" xr:uid="{F535990F-0574-4B63-AB98-F1D88A64D7DD}"/>
    <cellStyle name="Note 60 6" xfId="3819" xr:uid="{7FDD56E9-A22A-43B5-A567-52AD1DE2661C}"/>
    <cellStyle name="Note 60 7" xfId="4482" xr:uid="{2D7CDD94-DCDB-4356-B399-4DF137F88FCF}"/>
    <cellStyle name="Note 60 8" xfId="4887" xr:uid="{75557338-F4DA-4271-869F-6790A153A173}"/>
    <cellStyle name="Note 60 9" xfId="5049" xr:uid="{8CA22591-7544-4A52-9EAC-472E403C7FDA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2 2 2" xfId="4314" xr:uid="{DFADA30F-305D-4DCA-8437-B897E11A341B}"/>
    <cellStyle name="Note 61 2 3" xfId="3464" xr:uid="{DDDE5100-46D0-486E-80CF-D7BD87181EE7}"/>
    <cellStyle name="Note 61 2 4" xfId="3822" xr:uid="{66EBCC7F-DAB8-45A0-B165-E680D51691D2}"/>
    <cellStyle name="Note 61 2 5" xfId="4479" xr:uid="{6D840B75-66A2-4F37-9FED-281F3F9107E9}"/>
    <cellStyle name="Note 61 2 6" xfId="4890" xr:uid="{459394A3-A781-40EC-AB20-0F2F07D8ECC4}"/>
    <cellStyle name="Note 61 2 7" xfId="5052" xr:uid="{39522CDC-BE4F-4005-B080-74C38A98D749}"/>
    <cellStyle name="Note 61 3" xfId="2377" xr:uid="{00000000-0005-0000-0000-00004A090000}"/>
    <cellStyle name="Note 61 3 2" xfId="4315" xr:uid="{1E2A9E4C-C662-4001-9452-B22D6C80C5AD}"/>
    <cellStyle name="Note 61 4" xfId="3336" xr:uid="{7B758A73-490D-4951-94FD-64039D089986}"/>
    <cellStyle name="Note 61 5" xfId="3465" xr:uid="{690A406E-BFBB-4745-9DD1-4C56ED1DD053}"/>
    <cellStyle name="Note 61 6" xfId="3821" xr:uid="{88FFC393-030F-4216-9128-D2AA9536DD4F}"/>
    <cellStyle name="Note 61 7" xfId="4480" xr:uid="{45BA7352-7A33-48C3-B7A4-9FF16CC46BA4}"/>
    <cellStyle name="Note 61 8" xfId="4889" xr:uid="{E8278E10-5F66-41F9-8A30-0D693987EC89}"/>
    <cellStyle name="Note 61 9" xfId="5051" xr:uid="{A28343AD-D231-4D3D-9BC7-320E1D553DA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2 2 2" xfId="4316" xr:uid="{B7BD9875-E06B-485D-BF1A-CD7ABE3FD3A6}"/>
    <cellStyle name="Note 62 2 3" xfId="3462" xr:uid="{1258BD25-7A58-4C7F-986D-5AAAE1D66947}"/>
    <cellStyle name="Note 62 2 4" xfId="3824" xr:uid="{C0394381-856B-4E2A-856C-2B85FD9E3C78}"/>
    <cellStyle name="Note 62 2 5" xfId="4477" xr:uid="{3385D6CE-76E4-445E-81A0-A090A92164BD}"/>
    <cellStyle name="Note 62 2 6" xfId="4892" xr:uid="{A93DF843-E3D2-46D0-A986-D035E1D319A0}"/>
    <cellStyle name="Note 62 2 7" xfId="5054" xr:uid="{E06B228A-C299-4B83-864B-4484B7B2F495}"/>
    <cellStyle name="Note 62 3" xfId="2382" xr:uid="{00000000-0005-0000-0000-00004F090000}"/>
    <cellStyle name="Note 62 3 2" xfId="4317" xr:uid="{9BF7B899-E718-49BD-AEA5-7A9FA040C3D6}"/>
    <cellStyle name="Note 62 4" xfId="3337" xr:uid="{B6470EC2-4A3D-4F01-AF60-F61B55ACB861}"/>
    <cellStyle name="Note 62 5" xfId="3463" xr:uid="{2F11BF05-595C-4706-BB1D-3893FB93A963}"/>
    <cellStyle name="Note 62 6" xfId="3823" xr:uid="{D5E3EBE7-8A56-44E2-A7FB-DDA33B8482FB}"/>
    <cellStyle name="Note 62 7" xfId="4478" xr:uid="{7990AEDE-C946-4EF5-850E-D13365D8FCF1}"/>
    <cellStyle name="Note 62 8" xfId="4891" xr:uid="{AE9FB2AB-7EE4-4536-B59C-4D2C97C1494A}"/>
    <cellStyle name="Note 62 9" xfId="5053" xr:uid="{8FB7DFC9-3418-4DFA-92E0-638D4F6E7F9A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2 2 2" xfId="4318" xr:uid="{E69F88D2-13E7-43DD-8A08-80B5D2087763}"/>
    <cellStyle name="Note 63 2 3" xfId="3460" xr:uid="{F029531F-8344-4B58-810E-3D5203E21624}"/>
    <cellStyle name="Note 63 2 4" xfId="3826" xr:uid="{1FB6AD51-60BF-47B0-BA1C-83CDA1B030DD}"/>
    <cellStyle name="Note 63 2 5" xfId="4476" xr:uid="{4657B740-50CD-425B-A19A-90360C3B62F4}"/>
    <cellStyle name="Note 63 2 6" xfId="4894" xr:uid="{BC722987-5B6E-4BB5-9799-E1977E21D715}"/>
    <cellStyle name="Note 63 2 7" xfId="5056" xr:uid="{FFD6C80E-BE1A-495F-A2D8-08F42E1F9FDF}"/>
    <cellStyle name="Note 63 3" xfId="2387" xr:uid="{00000000-0005-0000-0000-000054090000}"/>
    <cellStyle name="Note 63 3 2" xfId="4319" xr:uid="{9C388A64-83D9-40B3-95CE-E1F790973C2D}"/>
    <cellStyle name="Note 63 4" xfId="3338" xr:uid="{171EA315-9363-46C1-B053-286CD271FCA4}"/>
    <cellStyle name="Note 63 5" xfId="3461" xr:uid="{1B84C320-DF0A-40EE-982D-AE54E741206B}"/>
    <cellStyle name="Note 63 6" xfId="3825" xr:uid="{E075383F-90DA-4637-920C-EF63C2205059}"/>
    <cellStyle name="Note 63 7" xfId="4404" xr:uid="{A31712D3-BFDA-4D9C-BDDC-1467C5884FA0}"/>
    <cellStyle name="Note 63 8" xfId="4893" xr:uid="{91012FBA-8FDB-419C-B13A-B922D540B6C5}"/>
    <cellStyle name="Note 63 9" xfId="5055" xr:uid="{85E76F7C-50AC-46FB-944A-F8DB554AAC8D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2 2 2" xfId="4320" xr:uid="{759BE380-A347-4893-B9DC-9CBFDA1B4169}"/>
    <cellStyle name="Note 64 2 3" xfId="3459" xr:uid="{40E0B932-C626-4C4F-9C61-75395C08E8DF}"/>
    <cellStyle name="Note 64 2 4" xfId="3828" xr:uid="{43D7102F-D88C-46F6-89C7-B939854C8691}"/>
    <cellStyle name="Note 64 2 5" xfId="4474" xr:uid="{FC701B23-E32F-4481-B09C-66899BE5FD73}"/>
    <cellStyle name="Note 64 2 6" xfId="4896" xr:uid="{D98E169C-C5AF-4AE5-9EF6-FA5B99131BDF}"/>
    <cellStyle name="Note 64 2 7" xfId="5058" xr:uid="{496213AA-FA9C-4D53-BC31-E3496AC387C3}"/>
    <cellStyle name="Note 64 3" xfId="2392" xr:uid="{00000000-0005-0000-0000-000059090000}"/>
    <cellStyle name="Note 64 3 2" xfId="4321" xr:uid="{6067FB56-D178-467B-B7AE-2AD726F7B3AC}"/>
    <cellStyle name="Note 64 4" xfId="3339" xr:uid="{FC1FFDCA-E227-471E-AC42-2CC6A6D58D84}"/>
    <cellStyle name="Note 64 5" xfId="3392" xr:uid="{A7E9546A-6862-4523-8EA2-72FE9A2B781E}"/>
    <cellStyle name="Note 64 6" xfId="3827" xr:uid="{03C8FEF6-1928-4026-B06C-6BAB5022AFA1}"/>
    <cellStyle name="Note 64 7" xfId="4475" xr:uid="{63DB243A-81DE-41F8-A9F0-06F1F08DAA7C}"/>
    <cellStyle name="Note 64 8" xfId="4895" xr:uid="{03D7D054-2A56-4D5E-B168-FCE6C49DB88E}"/>
    <cellStyle name="Note 64 9" xfId="5057" xr:uid="{8C88CFB1-B31B-400E-A079-03856DB6A5D5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2 2 2" xfId="4322" xr:uid="{E2216EB8-5500-417A-8BBB-E0D41575A25F}"/>
    <cellStyle name="Note 65 2 3" xfId="3457" xr:uid="{CA92A2EF-0D7A-49C5-8FC6-ACFD0EAED52D}"/>
    <cellStyle name="Note 65 2 4" xfId="3830" xr:uid="{11BF8F55-4D06-414D-8391-1246CBE5827F}"/>
    <cellStyle name="Note 65 2 5" xfId="4472" xr:uid="{E4AC2817-44BE-4051-BF03-45CEE5CCF852}"/>
    <cellStyle name="Note 65 2 6" xfId="4898" xr:uid="{1D9EEE31-B12B-4757-8D65-A64EE63AA68F}"/>
    <cellStyle name="Note 65 2 7" xfId="5060" xr:uid="{6ADE31C5-FA31-448C-BB09-03407E444342}"/>
    <cellStyle name="Note 65 3" xfId="2397" xr:uid="{00000000-0005-0000-0000-00005E090000}"/>
    <cellStyle name="Note 65 3 2" xfId="4323" xr:uid="{582672B0-0B36-45C8-865E-85B5315411ED}"/>
    <cellStyle name="Note 65 4" xfId="3340" xr:uid="{BA2B0224-85F1-4C99-8702-2F088FFF9A85}"/>
    <cellStyle name="Note 65 5" xfId="3458" xr:uid="{DDDCB3BA-1FDF-4CB5-A10A-8D5AB44E68B9}"/>
    <cellStyle name="Note 65 6" xfId="3829" xr:uid="{42BD5F55-D6B4-4A39-A658-2064F49D69D1}"/>
    <cellStyle name="Note 65 7" xfId="4473" xr:uid="{F1BB3192-2589-4439-9A70-BD3151E6DCC1}"/>
    <cellStyle name="Note 65 8" xfId="4897" xr:uid="{FBA119A0-A9CD-4389-8780-A0EAD142F20A}"/>
    <cellStyle name="Note 65 9" xfId="5059" xr:uid="{095067DB-F824-4692-9949-E65A0E10753B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2 2 2" xfId="4324" xr:uid="{ED576143-56F7-42D4-A025-8F390ED789C3}"/>
    <cellStyle name="Note 66 2 3" xfId="3455" xr:uid="{081B59F1-515D-435D-A288-DE6361961218}"/>
    <cellStyle name="Note 66 2 4" xfId="3832" xr:uid="{037AF8C6-EC11-48A2-AC8D-059B870460BB}"/>
    <cellStyle name="Note 66 2 5" xfId="4470" xr:uid="{F61EE57D-E977-42D3-A886-1E95AE21DB69}"/>
    <cellStyle name="Note 66 2 6" xfId="4900" xr:uid="{4B45C0CA-FED3-4684-8ACC-A3FFB84F7ED1}"/>
    <cellStyle name="Note 66 2 7" xfId="5062" xr:uid="{B62CB0F4-9A2C-4729-984D-414FAFD7DB4D}"/>
    <cellStyle name="Note 66 3" xfId="2402" xr:uid="{00000000-0005-0000-0000-000063090000}"/>
    <cellStyle name="Note 66 3 2" xfId="4325" xr:uid="{6EE4DFCF-3625-4927-86FE-B55FD9039EA7}"/>
    <cellStyle name="Note 66 4" xfId="3341" xr:uid="{01A20DE4-A345-447B-9688-84BD6B61BB48}"/>
    <cellStyle name="Note 66 5" xfId="3456" xr:uid="{F1989541-4178-4677-BEFA-564EEF1BD133}"/>
    <cellStyle name="Note 66 6" xfId="3831" xr:uid="{DB04C6FE-82F2-44BF-A6BD-A21ACD011A1B}"/>
    <cellStyle name="Note 66 7" xfId="4471" xr:uid="{0D974AE4-69E3-494C-A647-DFA828FBC672}"/>
    <cellStyle name="Note 66 8" xfId="4899" xr:uid="{64A09B45-0CF8-4B63-BD67-7C7DB6A42071}"/>
    <cellStyle name="Note 66 9" xfId="5061" xr:uid="{74AA2EF7-D8BB-43F9-83D4-D6FF7257EB6C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2 2 2" xfId="4326" xr:uid="{74D65EDA-0094-4A28-B396-D4C20830CFE7}"/>
    <cellStyle name="Note 67 2 3" xfId="3453" xr:uid="{C48223B8-8F65-4898-AE82-DE72A4859E49}"/>
    <cellStyle name="Note 67 2 4" xfId="3834" xr:uid="{84B26C43-B468-43D1-81DA-FD855E5E15A6}"/>
    <cellStyle name="Note 67 2 5" xfId="4468" xr:uid="{89428C14-7974-43AF-A2CB-7917E5F58CED}"/>
    <cellStyle name="Note 67 2 6" xfId="4902" xr:uid="{E295D9D4-D133-4EC9-AAD7-43CC6334AFCA}"/>
    <cellStyle name="Note 67 2 7" xfId="5064" xr:uid="{6F36BB38-7DD7-4DCC-94AF-BACFE44B63FA}"/>
    <cellStyle name="Note 67 3" xfId="2407" xr:uid="{00000000-0005-0000-0000-000068090000}"/>
    <cellStyle name="Note 67 3 2" xfId="4327" xr:uid="{4800A7B6-8E43-485D-9E3C-8A78BCA87D95}"/>
    <cellStyle name="Note 67 4" xfId="3342" xr:uid="{0F6AAF5E-DBDE-4B3B-BE82-533A4842E6B1}"/>
    <cellStyle name="Note 67 5" xfId="3454" xr:uid="{696851F2-4068-4699-AD0A-31CFA49A6016}"/>
    <cellStyle name="Note 67 6" xfId="3833" xr:uid="{1712DF40-1AED-4427-AA4D-4034E4F26D78}"/>
    <cellStyle name="Note 67 7" xfId="4469" xr:uid="{4A21C0B0-ABF2-4983-9225-C86E332EFFBF}"/>
    <cellStyle name="Note 67 8" xfId="4901" xr:uid="{DFC0A35D-C7AB-4FB2-A7FD-5AD84FD0DBA8}"/>
    <cellStyle name="Note 67 9" xfId="5063" xr:uid="{5CD71A3A-8BBC-4D93-A6A3-5E29752A0D6C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2 2 2" xfId="4328" xr:uid="{B2A393D6-F06F-4B1E-9EE5-16C47FBFF737}"/>
    <cellStyle name="Note 68 2 3" xfId="3451" xr:uid="{7608682C-D614-4A73-B7D8-6B9C9E2980FB}"/>
    <cellStyle name="Note 68 2 4" xfId="3836" xr:uid="{162450D7-F95E-4FAD-B544-3E51D8F7D45A}"/>
    <cellStyle name="Note 68 2 5" xfId="4466" xr:uid="{7F85A341-2D2A-4055-A874-710B68EFD5BD}"/>
    <cellStyle name="Note 68 2 6" xfId="4904" xr:uid="{198A242D-7C71-47B4-B2DA-C4A7ADABFFC8}"/>
    <cellStyle name="Note 68 2 7" xfId="5066" xr:uid="{CC5703DA-AD87-4AAB-BE9E-1685CAF99E73}"/>
    <cellStyle name="Note 68 3" xfId="2412" xr:uid="{00000000-0005-0000-0000-00006D090000}"/>
    <cellStyle name="Note 68 3 2" xfId="4329" xr:uid="{E13F8607-15AB-4201-9FF7-B0ADB4DB5F4F}"/>
    <cellStyle name="Note 68 4" xfId="3343" xr:uid="{BFE5131E-F159-4CF4-AC7E-5B687C0D0158}"/>
    <cellStyle name="Note 68 5" xfId="3452" xr:uid="{16FAA67A-F6A7-40A3-9ED8-E7AB801D4CC5}"/>
    <cellStyle name="Note 68 6" xfId="3835" xr:uid="{450B9826-D0C2-4FB1-B9C2-82C21F0F33B4}"/>
    <cellStyle name="Note 68 7" xfId="4467" xr:uid="{615DA755-4122-4A97-8EAE-CB90E3C191EA}"/>
    <cellStyle name="Note 68 8" xfId="4903" xr:uid="{1EDB1D8E-06CA-4A1B-BE82-D5BB788E7E20}"/>
    <cellStyle name="Note 68 9" xfId="5065" xr:uid="{FF71C22F-27D0-43DA-AE60-2CDEA13CD775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2 2 2" xfId="4330" xr:uid="{CDB868D6-2E62-4265-B860-9C08BC9901A1}"/>
    <cellStyle name="Note 69 2 3" xfId="3449" xr:uid="{FFCCD98F-4E39-4BBE-9F3A-7C01D55065D7}"/>
    <cellStyle name="Note 69 2 4" xfId="3838" xr:uid="{E89EACE2-33B6-47DE-935C-4A527E5C934F}"/>
    <cellStyle name="Note 69 2 5" xfId="4465" xr:uid="{171365C3-1482-45C4-A97E-71371C36E6E6}"/>
    <cellStyle name="Note 69 2 6" xfId="4906" xr:uid="{69636414-F700-4BD9-8279-46874BD1367A}"/>
    <cellStyle name="Note 69 2 7" xfId="5068" xr:uid="{8E2AC093-0E1C-4C77-BA47-DA2CE61F9A8D}"/>
    <cellStyle name="Note 69 3" xfId="2417" xr:uid="{00000000-0005-0000-0000-000072090000}"/>
    <cellStyle name="Note 69 3 2" xfId="4331" xr:uid="{D709B28B-EA5C-41E4-BF03-82ED3FFD0FBD}"/>
    <cellStyle name="Note 69 4" xfId="3344" xr:uid="{0939E711-E70E-44FC-8AF8-6EF4F68302DA}"/>
    <cellStyle name="Note 69 5" xfId="3450" xr:uid="{DC7103C6-F5AF-4441-BD29-2865952DEFFA}"/>
    <cellStyle name="Note 69 6" xfId="3837" xr:uid="{59D078DD-2752-40F8-A961-E0DE6A3C0D04}"/>
    <cellStyle name="Note 69 7" xfId="4403" xr:uid="{750C5BF6-78B3-4027-B184-242187028BEB}"/>
    <cellStyle name="Note 69 8" xfId="4905" xr:uid="{BADD62F9-A0FB-4B81-BF31-89B7623D27D7}"/>
    <cellStyle name="Note 69 9" xfId="5067" xr:uid="{73A07BA8-627C-4E26-A3E8-55574156B445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2 2" xfId="4332" xr:uid="{2C267398-017B-447F-A58D-20156D215543}"/>
    <cellStyle name="Note 7 2 3" xfId="3448" xr:uid="{923C6867-DA69-4362-9B42-E45F8A03D181}"/>
    <cellStyle name="Note 7 2 4" xfId="3840" xr:uid="{A0D7EE96-6F9A-48DC-AB8C-6831A57B87A7}"/>
    <cellStyle name="Note 7 2 5" xfId="4463" xr:uid="{1CEF9B4F-4192-44C5-B070-6A427EC118B9}"/>
    <cellStyle name="Note 7 2 6" xfId="4908" xr:uid="{1BF86C60-73B7-41BD-A017-4EA1922EF934}"/>
    <cellStyle name="Note 7 2 7" xfId="5070" xr:uid="{C77B2A6C-9B4E-4DB9-B251-477FAEFBBF3C}"/>
    <cellStyle name="Note 7 3" xfId="2422" xr:uid="{00000000-0005-0000-0000-000077090000}"/>
    <cellStyle name="Note 7 3 2" xfId="4333" xr:uid="{C440E3D5-2D49-4664-BD0D-BF2B4AD127EA}"/>
    <cellStyle name="Note 7 4" xfId="3391" xr:uid="{ADAC95AB-0335-44D0-A3AE-7575F66058E7}"/>
    <cellStyle name="Note 7 5" xfId="3839" xr:uid="{0074306A-67FF-4F11-B876-3679BDFF4C5F}"/>
    <cellStyle name="Note 7 6" xfId="4464" xr:uid="{CB0F2697-67AA-4FD1-8646-47B52055BC2E}"/>
    <cellStyle name="Note 7 7" xfId="4907" xr:uid="{205CB4D3-DF85-4CEF-AE20-EE76730062AC}"/>
    <cellStyle name="Note 7 8" xfId="5069" xr:uid="{B9190A60-908C-44CB-B13C-792D8A98F74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2 2 2" xfId="4334" xr:uid="{763F77B6-6AFD-42B4-8438-DC63E4312762}"/>
    <cellStyle name="Note 70 2 3" xfId="3446" xr:uid="{417A6E39-FE34-4312-9F58-6F02602995FE}"/>
    <cellStyle name="Note 70 2 4" xfId="3842" xr:uid="{FA4A274E-6C9A-47C9-9947-4587FBC73319}"/>
    <cellStyle name="Note 70 2 5" xfId="4461" xr:uid="{3626D80F-307E-48CE-83CA-0854C617C22E}"/>
    <cellStyle name="Note 70 2 6" xfId="4910" xr:uid="{E5C5EC25-13FA-4785-B5ED-CEE658A6811E}"/>
    <cellStyle name="Note 70 2 7" xfId="5072" xr:uid="{AE06DDAC-51A7-4180-970A-2AF16A234378}"/>
    <cellStyle name="Note 70 3" xfId="2427" xr:uid="{00000000-0005-0000-0000-00007C090000}"/>
    <cellStyle name="Note 70 3 2" xfId="4335" xr:uid="{7FF1A8AB-50C4-4AC5-8720-75844785699A}"/>
    <cellStyle name="Note 70 4" xfId="3345" xr:uid="{CA6ECB73-DBF2-4037-9B0E-9DC3B2279B9C}"/>
    <cellStyle name="Note 70 5" xfId="3447" xr:uid="{D25D08D6-B570-4CE4-BD29-C84278E16BF4}"/>
    <cellStyle name="Note 70 6" xfId="3841" xr:uid="{D9E47EDB-BC9F-46F8-9AA5-E91F47075C36}"/>
    <cellStyle name="Note 70 7" xfId="4462" xr:uid="{B3AC25E3-9066-47FA-B2FE-08ECB366E309}"/>
    <cellStyle name="Note 70 8" xfId="4909" xr:uid="{8A23A63F-406E-46FC-AE7B-FC9CB1CC4022}"/>
    <cellStyle name="Note 70 9" xfId="5071" xr:uid="{9640BC5A-A245-46FA-9CA5-38E61C2FD987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2 2 2" xfId="4336" xr:uid="{731E5F3F-96D6-4C98-AD09-9699E404A38B}"/>
    <cellStyle name="Note 71 2 3" xfId="3444" xr:uid="{7DD1238F-C7D2-417B-8478-7DA968FE23FF}"/>
    <cellStyle name="Note 71 2 4" xfId="3844" xr:uid="{EAD1318D-E4A7-4ACA-9E7E-FCB1EBC627CB}"/>
    <cellStyle name="Note 71 2 5" xfId="4459" xr:uid="{565111F1-10A8-449C-A8D5-D7E463C52425}"/>
    <cellStyle name="Note 71 2 6" xfId="4912" xr:uid="{CC5B3BCB-E358-4CCB-8DE1-90683C43CA8D}"/>
    <cellStyle name="Note 71 2 7" xfId="5074" xr:uid="{01230B20-38BA-4C4D-A121-6D13B6174649}"/>
    <cellStyle name="Note 71 3" xfId="2432" xr:uid="{00000000-0005-0000-0000-000081090000}"/>
    <cellStyle name="Note 71 3 2" xfId="4337" xr:uid="{D1F9FB63-33B9-4A8C-9C67-46383462AE67}"/>
    <cellStyle name="Note 71 4" xfId="3346" xr:uid="{9117C561-A2A7-463B-8EB7-96CB7B3F2EB0}"/>
    <cellStyle name="Note 71 5" xfId="3445" xr:uid="{8BB86E47-BD84-451B-B990-8EFDC5F03045}"/>
    <cellStyle name="Note 71 6" xfId="3843" xr:uid="{216B4D68-1757-4DCE-BFEE-D91DC09B9588}"/>
    <cellStyle name="Note 71 7" xfId="4460" xr:uid="{0519ADF5-F032-4607-AC30-14CFBF481AAF}"/>
    <cellStyle name="Note 71 8" xfId="4911" xr:uid="{F802AD71-AE51-4AE7-9FB4-C1808F9D4576}"/>
    <cellStyle name="Note 71 9" xfId="5073" xr:uid="{EF6C4B3C-3539-4DF8-B0DC-6E85A8DF9652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2 2 2" xfId="4338" xr:uid="{2F46750F-388C-4558-A69F-96E8D3FC51FE}"/>
    <cellStyle name="Note 72 2 3" xfId="3442" xr:uid="{AA1E0486-FDEF-46DE-99BE-362FF04E9F90}"/>
    <cellStyle name="Note 72 2 4" xfId="3846" xr:uid="{AA31320A-46C1-40AD-BB49-16F9AEC066F5}"/>
    <cellStyle name="Note 72 2 5" xfId="4457" xr:uid="{78069E4E-2CA8-4E6C-8018-6582A98D4714}"/>
    <cellStyle name="Note 72 2 6" xfId="4914" xr:uid="{3C87F68C-3E1D-4A20-811B-FCA2C0095AD3}"/>
    <cellStyle name="Note 72 2 7" xfId="5076" xr:uid="{1DC02177-0360-4640-8DB4-BB3B3661497B}"/>
    <cellStyle name="Note 72 3" xfId="2437" xr:uid="{00000000-0005-0000-0000-000086090000}"/>
    <cellStyle name="Note 72 3 2" xfId="4339" xr:uid="{A6F6DAC5-284B-4343-B305-1807A6267590}"/>
    <cellStyle name="Note 72 4" xfId="3347" xr:uid="{18B86224-717E-4BE5-AEF4-219EE9E90F24}"/>
    <cellStyle name="Note 72 5" xfId="3443" xr:uid="{7C6FB10D-A3C4-40A8-98EF-029EB96A7CFE}"/>
    <cellStyle name="Note 72 6" xfId="3845" xr:uid="{8491DCAF-4DF1-40E9-A322-5339CF8381BD}"/>
    <cellStyle name="Note 72 7" xfId="4458" xr:uid="{D22E99BF-4951-4415-ABB4-C5455E3C3AA6}"/>
    <cellStyle name="Note 72 8" xfId="4913" xr:uid="{707CAFBE-79A2-4716-B9E8-85F4884ED641}"/>
    <cellStyle name="Note 72 9" xfId="5075" xr:uid="{8C65A647-5CB6-487A-93E7-6AB996AD20A2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2 2 2" xfId="4340" xr:uid="{8BAA4FEA-9743-4170-AAE1-B50031FEC2AE}"/>
    <cellStyle name="Note 73 2 3" xfId="3440" xr:uid="{24B1816B-CE50-40B1-B466-4A7CD878D5AF}"/>
    <cellStyle name="Note 73 2 4" xfId="3848" xr:uid="{1075EE02-CD5E-4D84-9C53-318421321385}"/>
    <cellStyle name="Note 73 2 5" xfId="4455" xr:uid="{39A7BDC1-AAAB-435A-A7E6-706BF3A454D1}"/>
    <cellStyle name="Note 73 2 6" xfId="4916" xr:uid="{DD55211E-DC69-4132-A219-33831E3276B0}"/>
    <cellStyle name="Note 73 2 7" xfId="5078" xr:uid="{7229316C-CB85-456F-A61F-2184D94529F8}"/>
    <cellStyle name="Note 73 3" xfId="2442" xr:uid="{00000000-0005-0000-0000-00008B090000}"/>
    <cellStyle name="Note 73 3 2" xfId="4341" xr:uid="{8A849F18-9A0E-4B7B-A696-2F4E0D23DCA9}"/>
    <cellStyle name="Note 73 4" xfId="3348" xr:uid="{FAA7F6CE-FB6F-4C49-82DB-30E61BFFB3D5}"/>
    <cellStyle name="Note 73 5" xfId="3441" xr:uid="{6BC9D87B-B63C-40B3-9BB3-5F30D06EE3D3}"/>
    <cellStyle name="Note 73 6" xfId="3847" xr:uid="{C9ADFF03-C6DC-486F-90AB-4CCBD5D44FAD}"/>
    <cellStyle name="Note 73 7" xfId="4456" xr:uid="{9D0A5974-63B7-4228-B9BE-E2435085CA26}"/>
    <cellStyle name="Note 73 8" xfId="4915" xr:uid="{4A4D3C57-1F80-4850-95A1-DD3944CEBD56}"/>
    <cellStyle name="Note 73 9" xfId="5077" xr:uid="{797075C8-EFC7-4A28-BE40-79EC773778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2 2 2" xfId="4342" xr:uid="{F7583FCB-D684-4655-B5D8-F411704B36CC}"/>
    <cellStyle name="Note 74 2 3" xfId="3438" xr:uid="{2C949DF1-50AA-4345-9438-D65C5564374F}"/>
    <cellStyle name="Note 74 2 4" xfId="3850" xr:uid="{2D90E540-5BCE-4728-8C71-6949D0940C7A}"/>
    <cellStyle name="Note 74 2 5" xfId="4454" xr:uid="{E95E71D5-569B-4D98-B935-42DC80CA1A2B}"/>
    <cellStyle name="Note 74 2 6" xfId="4918" xr:uid="{C9D6B34C-29CA-4D49-BBBB-D01AC1E94825}"/>
    <cellStyle name="Note 74 2 7" xfId="5080" xr:uid="{90EB5E43-38E2-402A-B06B-91D43AF11EE4}"/>
    <cellStyle name="Note 74 3" xfId="2447" xr:uid="{00000000-0005-0000-0000-000090090000}"/>
    <cellStyle name="Note 74 3 2" xfId="4343" xr:uid="{FF881A97-22AD-47BE-85DE-E477D1F0C133}"/>
    <cellStyle name="Note 74 4" xfId="3349" xr:uid="{CE352438-E17A-43B1-B0DA-37B3E816F236}"/>
    <cellStyle name="Note 74 5" xfId="3439" xr:uid="{3D2857EE-4014-495D-8C83-304F275D079E}"/>
    <cellStyle name="Note 74 6" xfId="3849" xr:uid="{6E6DC408-100D-4F4E-A53F-E86D02A9D073}"/>
    <cellStyle name="Note 74 7" xfId="4402" xr:uid="{BE0E43CC-12BC-4113-B37E-9811BF894A09}"/>
    <cellStyle name="Note 74 8" xfId="4917" xr:uid="{D516EB86-E214-44C1-9BF3-A07D476778A3}"/>
    <cellStyle name="Note 74 9" xfId="5079" xr:uid="{709643FA-5E72-4E2B-8BB0-D9DE582BACDD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2 2 2" xfId="4344" xr:uid="{A899F221-265E-472E-816A-EB67CE41DF8E}"/>
    <cellStyle name="Note 75 2 3" xfId="3437" xr:uid="{14B96D1B-7F2E-4588-A3C6-DD8DE823F93F}"/>
    <cellStyle name="Note 75 2 4" xfId="3852" xr:uid="{4BFF4153-CFB2-4FCB-A428-BDAA4852C4B0}"/>
    <cellStyle name="Note 75 2 5" xfId="4452" xr:uid="{E5C09B4C-BBEC-473F-9D2C-4FFC54A50E1C}"/>
    <cellStyle name="Note 75 2 6" xfId="4920" xr:uid="{CCE4E0E9-2B64-49D7-B5AA-A74D5AAD18DD}"/>
    <cellStyle name="Note 75 2 7" xfId="5082" xr:uid="{05526087-CD06-4BC7-9BD1-C5A7E2A6113A}"/>
    <cellStyle name="Note 75 3" xfId="2452" xr:uid="{00000000-0005-0000-0000-000095090000}"/>
    <cellStyle name="Note 75 3 2" xfId="4345" xr:uid="{0D5D9FC0-ADE7-4221-A385-212A05DFDCC7}"/>
    <cellStyle name="Note 75 4" xfId="3350" xr:uid="{62463FE0-83C0-4B86-8705-E4B5A1ED376C}"/>
    <cellStyle name="Note 75 5" xfId="3390" xr:uid="{840329A8-833D-43E3-9617-09EB61AB8D8C}"/>
    <cellStyle name="Note 75 6" xfId="3851" xr:uid="{D14C6F25-7088-4FB8-98BA-0F0852D0483D}"/>
    <cellStyle name="Note 75 7" xfId="4453" xr:uid="{0B621896-0037-4A50-BDD6-590865902EB4}"/>
    <cellStyle name="Note 75 8" xfId="4919" xr:uid="{4DC6E324-9C47-4640-B3A2-F214EF531E0A}"/>
    <cellStyle name="Note 75 9" xfId="5081" xr:uid="{F2965AA3-7EC4-42A4-902E-DBF2251642C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2 2 2" xfId="4346" xr:uid="{2735C335-48FA-473A-9652-D90037038F41}"/>
    <cellStyle name="Note 76 2 3" xfId="3435" xr:uid="{8E43AD71-6F7D-4403-9C05-05DC9E0C9B47}"/>
    <cellStyle name="Note 76 2 4" xfId="3854" xr:uid="{47BFCD3F-AC23-4157-B93C-E5BB2D0E38CF}"/>
    <cellStyle name="Note 76 2 5" xfId="4450" xr:uid="{BB0AD707-EAA5-4AFA-B8C8-98ECF40B4C15}"/>
    <cellStyle name="Note 76 2 6" xfId="4922" xr:uid="{7BFCB69C-3A18-4C19-8933-FC39C481F33C}"/>
    <cellStyle name="Note 76 2 7" xfId="5084" xr:uid="{B4C67BBC-8D5E-4F1D-ACEA-18FCA2B6A572}"/>
    <cellStyle name="Note 76 3" xfId="2457" xr:uid="{00000000-0005-0000-0000-00009A090000}"/>
    <cellStyle name="Note 76 3 2" xfId="4347" xr:uid="{7DC4257C-805D-4915-8007-89CBEC2C7677}"/>
    <cellStyle name="Note 76 4" xfId="3351" xr:uid="{5326EB08-B7DB-4850-86AA-689A98FA75AE}"/>
    <cellStyle name="Note 76 5" xfId="3436" xr:uid="{592B2660-0C3C-46D0-A493-D10C05FE6637}"/>
    <cellStyle name="Note 76 6" xfId="3853" xr:uid="{04A7BB50-D294-4FD1-A332-021B5F18645E}"/>
    <cellStyle name="Note 76 7" xfId="4451" xr:uid="{9A520C02-165E-47D2-B9E4-20E9CB4ABA12}"/>
    <cellStyle name="Note 76 8" xfId="4921" xr:uid="{BBE54A73-0893-4725-9515-D9BE4266B919}"/>
    <cellStyle name="Note 76 9" xfId="5083" xr:uid="{3C0A1655-AF47-467B-AFFA-4CE7C225525D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2 2 2" xfId="4348" xr:uid="{FE81392D-23E2-4436-AA9A-B446CBCCD1A5}"/>
    <cellStyle name="Note 77 2 3" xfId="3433" xr:uid="{0940FEDE-0766-4A11-A202-D085A79BDE95}"/>
    <cellStyle name="Note 77 2 4" xfId="3856" xr:uid="{C26E0A07-6029-44DF-8DFF-4195E532FFE4}"/>
    <cellStyle name="Note 77 2 5" xfId="4448" xr:uid="{B96FDBAB-04EA-4EBC-ADA8-E6A35A8D1D34}"/>
    <cellStyle name="Note 77 2 6" xfId="4924" xr:uid="{D56CC7A0-5BFB-43CA-A7C1-47091BAD897B}"/>
    <cellStyle name="Note 77 2 7" xfId="5086" xr:uid="{879F4E05-8683-41FC-B0A6-95EDAF801A67}"/>
    <cellStyle name="Note 77 3" xfId="2462" xr:uid="{00000000-0005-0000-0000-00009F090000}"/>
    <cellStyle name="Note 77 3 2" xfId="4349" xr:uid="{899CE4EC-FC74-4A43-B638-0E53695CE3B4}"/>
    <cellStyle name="Note 77 4" xfId="3352" xr:uid="{D9FA8E9A-0515-48DB-97FE-65AEB04846EB}"/>
    <cellStyle name="Note 77 5" xfId="3434" xr:uid="{54602F2D-F6B2-4587-BFF2-4382E3D661A0}"/>
    <cellStyle name="Note 77 6" xfId="3855" xr:uid="{A3B20F7B-4669-4691-A37B-034587F56D84}"/>
    <cellStyle name="Note 77 7" xfId="4449" xr:uid="{00339830-7CE7-40A1-8626-B76A2365A683}"/>
    <cellStyle name="Note 77 8" xfId="4923" xr:uid="{7EDC7755-970A-4627-AC74-37DC0ED901A7}"/>
    <cellStyle name="Note 77 9" xfId="5085" xr:uid="{04190895-2955-4C39-969D-CBF2180AFAD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2 2 2" xfId="4350" xr:uid="{36F512AD-C3C0-423F-A7D2-DE835E33DE3F}"/>
    <cellStyle name="Note 78 2 3" xfId="3431" xr:uid="{83FB903F-87B4-407A-AAD7-B191B3C7BEEE}"/>
    <cellStyle name="Note 78 2 4" xfId="3858" xr:uid="{599DEC17-F1CE-44A6-A138-67D2C384B154}"/>
    <cellStyle name="Note 78 2 5" xfId="4446" xr:uid="{70579B74-5366-42F2-AF57-73739F294D0B}"/>
    <cellStyle name="Note 78 2 6" xfId="4926" xr:uid="{8337A898-E294-43B2-AB07-DC3890943E97}"/>
    <cellStyle name="Note 78 2 7" xfId="5088" xr:uid="{F81CA5AE-C00A-4D4B-895D-D56C847F9A0D}"/>
    <cellStyle name="Note 78 3" xfId="2467" xr:uid="{00000000-0005-0000-0000-0000A4090000}"/>
    <cellStyle name="Note 78 3 2" xfId="4351" xr:uid="{0BC94406-FE77-4B9C-8F4F-13C8F0975A34}"/>
    <cellStyle name="Note 78 4" xfId="3353" xr:uid="{262FA922-FC5B-49C6-85F9-FDB3DFD4364C}"/>
    <cellStyle name="Note 78 5" xfId="3432" xr:uid="{3601523A-0A6A-428B-9742-0206B9331CF0}"/>
    <cellStyle name="Note 78 6" xfId="3857" xr:uid="{86237C0D-B08C-4F92-B51B-AC0690CEF2D1}"/>
    <cellStyle name="Note 78 7" xfId="4447" xr:uid="{633CAF21-9499-407C-A2D5-362D1A6798C4}"/>
    <cellStyle name="Note 78 8" xfId="4925" xr:uid="{05F7BB45-0B28-4CFD-B7F8-35255EC041CF}"/>
    <cellStyle name="Note 78 9" xfId="5087" xr:uid="{BF46A466-28D6-4897-B1B4-59361346CEF9}"/>
    <cellStyle name="Note 78_TRAFO" xfId="2468" xr:uid="{00000000-0005-0000-0000-0000A5090000}"/>
    <cellStyle name="Note 79" xfId="3715" xr:uid="{F51C566C-6202-44DC-A061-9B180D33E092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2 2" xfId="4353" xr:uid="{4E5ED55E-406F-4C4F-B07E-4CB62F4C8E39}"/>
    <cellStyle name="Note 8 2 3" xfId="3429" xr:uid="{F0A438FA-079E-4EF0-8A2C-8E256FCE634C}"/>
    <cellStyle name="Note 8 2 4" xfId="3860" xr:uid="{2BA832EF-8763-4C69-A9D1-1F3C8ADFC82C}"/>
    <cellStyle name="Note 8 2 5" xfId="4444" xr:uid="{98C0E2F9-0DF6-40EB-B59D-6FACCCAC8D6B}"/>
    <cellStyle name="Note 8 2 6" xfId="4928" xr:uid="{7506CC83-9429-4B8A-9765-F38819BBE0F6}"/>
    <cellStyle name="Note 8 2 7" xfId="5090" xr:uid="{E421BFFE-A299-4E1E-9EA9-300470768C80}"/>
    <cellStyle name="Note 8 3" xfId="2472" xr:uid="{00000000-0005-0000-0000-0000A9090000}"/>
    <cellStyle name="Note 8 3 2" xfId="4354" xr:uid="{189A8479-6083-44FA-AA1C-6A050CF664FB}"/>
    <cellStyle name="Note 8 4" xfId="3430" xr:uid="{442B1ED4-E270-45F6-B5BE-1D37D8BF2CAF}"/>
    <cellStyle name="Note 8 5" xfId="3859" xr:uid="{9E67279A-3CCB-4525-ACD7-9AD7E6C144BA}"/>
    <cellStyle name="Note 8 6" xfId="4445" xr:uid="{F93A1C42-6796-4B3C-8024-B4C03220830E}"/>
    <cellStyle name="Note 8 7" xfId="4927" xr:uid="{F112864A-6F07-41FC-8114-37804C68F54E}"/>
    <cellStyle name="Note 8 8" xfId="5089" xr:uid="{6C452AEF-4931-419F-8968-E1D068CD71BA}"/>
    <cellStyle name="Note 8_TRAFO" xfId="2473" xr:uid="{00000000-0005-0000-0000-0000AA090000}"/>
    <cellStyle name="Note 80" xfId="3408" xr:uid="{4C3C4D5C-8407-419D-B626-BCFFB7297398}"/>
    <cellStyle name="Note 81" xfId="4765" xr:uid="{54110480-A861-47ED-80E8-2CB0DB5B2BBC}"/>
    <cellStyle name="Note 82" xfId="4786" xr:uid="{815E9C4E-8BF2-4E66-B319-CD178115B052}"/>
    <cellStyle name="Note 83" xfId="4950" xr:uid="{1FD1E3BA-9D31-4061-AD6F-B024AC53021E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2 2" xfId="4355" xr:uid="{2E671647-22E1-485A-B1C4-93B9598B1D1D}"/>
    <cellStyle name="Note 9 2 3" xfId="3427" xr:uid="{9B3E35A4-5265-4515-AB2E-2DD548422D3D}"/>
    <cellStyle name="Note 9 2 4" xfId="3862" xr:uid="{EB9FB1A4-8DD5-4DC2-8456-04652E426818}"/>
    <cellStyle name="Note 9 2 5" xfId="4443" xr:uid="{A3A04E7F-49E5-4F22-87F8-0B5776D600AB}"/>
    <cellStyle name="Note 9 2 6" xfId="4930" xr:uid="{190AAC0E-7E35-42C8-BA8E-483FAF5AE41C}"/>
    <cellStyle name="Note 9 2 7" xfId="5092" xr:uid="{BDFD22B8-BF6C-47B3-9DDC-4EE0110AD42C}"/>
    <cellStyle name="Note 9 3" xfId="2477" xr:uid="{00000000-0005-0000-0000-0000AE090000}"/>
    <cellStyle name="Note 9 3 2" xfId="4356" xr:uid="{F6012477-C903-4383-86DF-63F91D33BD08}"/>
    <cellStyle name="Note 9 4" xfId="3428" xr:uid="{8373F495-11D6-4841-8C75-7D85A5C0603C}"/>
    <cellStyle name="Note 9 5" xfId="3861" xr:uid="{9B20A953-5E2F-4CBE-8833-98B1E3BAF2A9}"/>
    <cellStyle name="Note 9 6" xfId="4401" xr:uid="{CABA496D-BB76-4D35-AED2-7B5318FEBCF3}"/>
    <cellStyle name="Note 9 7" xfId="4929" xr:uid="{A28655FE-83EF-4993-BD16-A56EADABC805}"/>
    <cellStyle name="Note 9 8" xfId="5091" xr:uid="{703DCAF5-B55E-4246-B5F1-9500D30DDF4D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2 2" xfId="4357" xr:uid="{DFF07C61-88A1-4385-BE35-A14903CB1799}"/>
    <cellStyle name="Output 10 3" xfId="3389" xr:uid="{23C879BC-38B1-427B-8072-6D980818F706}"/>
    <cellStyle name="Output 10 4" xfId="3863" xr:uid="{949CC612-1249-44B6-8FC4-805AF5A5F829}"/>
    <cellStyle name="Output 10 5" xfId="4442" xr:uid="{3BDE9822-4C44-426E-86C0-51BE8EECC132}"/>
    <cellStyle name="Output 10 6" xfId="4931" xr:uid="{23E9D4E0-3A9A-486B-9B6B-9C37E5615F94}"/>
    <cellStyle name="Output 10 7" xfId="5093" xr:uid="{3D2FABCC-3E8F-4F29-A22E-4A5DA24DB849}"/>
    <cellStyle name="Output 11" xfId="2482" xr:uid="{00000000-0005-0000-0000-0000B3090000}"/>
    <cellStyle name="Output 11 2" xfId="2483" xr:uid="{00000000-0005-0000-0000-0000B4090000}"/>
    <cellStyle name="Output 11 2 2" xfId="4358" xr:uid="{F0C7D9DD-B462-4F33-86CB-44D59FF28718}"/>
    <cellStyle name="Output 11 3" xfId="3426" xr:uid="{A020EEDD-4438-433A-8CB1-9F0735CDBA2A}"/>
    <cellStyle name="Output 11 4" xfId="3864" xr:uid="{5452D4DE-0056-4A80-9628-747F8C290C30}"/>
    <cellStyle name="Output 11 5" xfId="4441" xr:uid="{02DB17A8-101F-4682-B6D9-4C975B184A7E}"/>
    <cellStyle name="Output 11 6" xfId="4932" xr:uid="{DC8D31B3-1407-4C5C-B92A-99F6B9BA5718}"/>
    <cellStyle name="Output 11 7" xfId="5094" xr:uid="{87C57539-F931-45C7-900D-5CECD051BDB3}"/>
    <cellStyle name="Output 12" xfId="2484" xr:uid="{00000000-0005-0000-0000-0000B5090000}"/>
    <cellStyle name="Output 12 2" xfId="2485" xr:uid="{00000000-0005-0000-0000-0000B6090000}"/>
    <cellStyle name="Output 12 2 2" xfId="4359" xr:uid="{8927581E-82CA-4157-A4F2-7ADC48B25560}"/>
    <cellStyle name="Output 12 3" xfId="3425" xr:uid="{FA4F44FE-79C9-4B05-9A78-EB3E9019C4E3}"/>
    <cellStyle name="Output 12 4" xfId="3865" xr:uid="{C7F14499-D015-464F-B86B-CE81A39BEE9E}"/>
    <cellStyle name="Output 12 5" xfId="4440" xr:uid="{7EBB050A-D267-4DFD-9429-1A08C94C3A38}"/>
    <cellStyle name="Output 12 6" xfId="4933" xr:uid="{774DF8D2-D108-463F-BC7D-BC3E9CECE815}"/>
    <cellStyle name="Output 12 7" xfId="5095" xr:uid="{E59CC4BC-C2FE-40DC-8E88-B1B35248E196}"/>
    <cellStyle name="Output 13" xfId="2486" xr:uid="{00000000-0005-0000-0000-0000B7090000}"/>
    <cellStyle name="Output 13 2" xfId="2487" xr:uid="{00000000-0005-0000-0000-0000B8090000}"/>
    <cellStyle name="Output 13 2 2" xfId="4360" xr:uid="{0A694B95-CCA6-4EF5-997A-B1A01C8BA3B8}"/>
    <cellStyle name="Output 13 3" xfId="3424" xr:uid="{B868EE45-DE53-40D3-81B5-A7DADA0F053C}"/>
    <cellStyle name="Output 13 4" xfId="3866" xr:uid="{C351880F-000F-4E09-8986-90201E6E41A2}"/>
    <cellStyle name="Output 13 5" xfId="4439" xr:uid="{01DDF189-15C0-4D36-99EE-16153E50AF71}"/>
    <cellStyle name="Output 13 6" xfId="4934" xr:uid="{68D36A6E-9860-449D-BD14-4E048FCB4218}"/>
    <cellStyle name="Output 13 7" xfId="5096" xr:uid="{60FAC7E6-3C89-49ED-9935-334C31E46C3D}"/>
    <cellStyle name="Output 14" xfId="2488" xr:uid="{00000000-0005-0000-0000-0000B9090000}"/>
    <cellStyle name="Output 14 2" xfId="2489" xr:uid="{00000000-0005-0000-0000-0000BA090000}"/>
    <cellStyle name="Output 14 2 2" xfId="4361" xr:uid="{9A8FC6D8-C4D7-4C06-8C63-11CF198ECAF2}"/>
    <cellStyle name="Output 14 3" xfId="3423" xr:uid="{AE375810-D614-4DBD-9518-D9FC1010BE67}"/>
    <cellStyle name="Output 14 4" xfId="3867" xr:uid="{74263D2C-30DA-4A7A-99DB-E10AC6C3DEFD}"/>
    <cellStyle name="Output 14 5" xfId="4438" xr:uid="{3B987408-9993-49EC-8FA9-A1C6639E62FA}"/>
    <cellStyle name="Output 14 6" xfId="4935" xr:uid="{F6DD6B93-B01C-4C6A-B29A-F429BC8A7E8F}"/>
    <cellStyle name="Output 14 7" xfId="5097" xr:uid="{AE99CDDC-F555-4535-9DE3-20A389705D08}"/>
    <cellStyle name="Output 15" xfId="2490" xr:uid="{00000000-0005-0000-0000-0000BB090000}"/>
    <cellStyle name="Output 15 2" xfId="2491" xr:uid="{00000000-0005-0000-0000-0000BC090000}"/>
    <cellStyle name="Output 15 2 2" xfId="4362" xr:uid="{5D9A34F3-83F3-4315-A53E-510723649B6C}"/>
    <cellStyle name="Output 15 3" xfId="3422" xr:uid="{84F4FEC9-15A0-4724-8695-723B8FB7C74C}"/>
    <cellStyle name="Output 15 4" xfId="3868" xr:uid="{74BFF7CF-DB80-4826-8558-9A0BD75E32CE}"/>
    <cellStyle name="Output 15 5" xfId="4437" xr:uid="{9B74FBFA-3C44-4F88-A6EC-FD13168543A4}"/>
    <cellStyle name="Output 15 6" xfId="4936" xr:uid="{75A95F6A-6098-4F74-A051-D10E99F3D2FF}"/>
    <cellStyle name="Output 15 7" xfId="5098" xr:uid="{A0D5ED1B-7991-4BE9-832E-BF9E6671D5CF}"/>
    <cellStyle name="Output 16" xfId="2492" xr:uid="{00000000-0005-0000-0000-0000BD090000}"/>
    <cellStyle name="Output 16 2" xfId="2493" xr:uid="{00000000-0005-0000-0000-0000BE090000}"/>
    <cellStyle name="Output 16 2 2" xfId="4363" xr:uid="{1D9878E4-1B1A-4F4A-97D6-453D19EB4860}"/>
    <cellStyle name="Output 16 3" xfId="3421" xr:uid="{A7D3010F-7882-40AE-A427-EB800A28CF7F}"/>
    <cellStyle name="Output 16 4" xfId="3869" xr:uid="{BAF3036D-E1DD-4A51-8BC9-3C0C19898099}"/>
    <cellStyle name="Output 16 5" xfId="4436" xr:uid="{4156CD8B-79F8-47F3-8A0D-311E293325B9}"/>
    <cellStyle name="Output 16 6" xfId="4937" xr:uid="{933B8875-0D8A-47A6-BE7B-24778E703D0C}"/>
    <cellStyle name="Output 16 7" xfId="5099" xr:uid="{BE87413D-A771-46FB-86A4-B55B6F251F29}"/>
    <cellStyle name="Output 17" xfId="3714" xr:uid="{404C3867-F973-4051-BDB4-B19AED654F7A}"/>
    <cellStyle name="Output 18" xfId="3409" xr:uid="{8CBAB434-9761-4EC3-93AB-7411350CCBB5}"/>
    <cellStyle name="Output 19" xfId="4764" xr:uid="{6D0319CF-7012-41B0-928A-F6295FDF595A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2 2 2" xfId="4364" xr:uid="{FD854782-95BB-45BB-AD45-43098D2CC71A}"/>
    <cellStyle name="Output 2 2 3" xfId="3419" xr:uid="{33193668-AFFE-4918-AA05-18B28EF238A9}"/>
    <cellStyle name="Output 2 2 4" xfId="3871" xr:uid="{D38A73A0-B24C-4CF1-B146-363C66C012C5}"/>
    <cellStyle name="Output 2 2 5" xfId="4434" xr:uid="{E605382F-0E57-4FE3-A741-83FDDE31FD88}"/>
    <cellStyle name="Output 2 2 6" xfId="4939" xr:uid="{0219AE18-7160-4BF4-9DB5-2CF074517569}"/>
    <cellStyle name="Output 2 2 7" xfId="5101" xr:uid="{0FA21B6A-79B6-4901-B4B8-7434D454CA42}"/>
    <cellStyle name="Output 2 3" xfId="2497" xr:uid="{00000000-0005-0000-0000-0000C2090000}"/>
    <cellStyle name="Output 2 3 2" xfId="2498" xr:uid="{00000000-0005-0000-0000-0000C3090000}"/>
    <cellStyle name="Output 2 3 2 2" xfId="4365" xr:uid="{8736497D-DD73-4F46-896F-DF2171B972B8}"/>
    <cellStyle name="Output 2 3 3" xfId="3418" xr:uid="{8858D5E1-9166-4003-B730-34FAEF09A2E2}"/>
    <cellStyle name="Output 2 3 4" xfId="3872" xr:uid="{8B54AC59-3240-4F56-B920-BF68BC9F1E19}"/>
    <cellStyle name="Output 2 3 5" xfId="4433" xr:uid="{C669C01E-E3BE-444B-9254-564EBFA94A51}"/>
    <cellStyle name="Output 2 3 6" xfId="4940" xr:uid="{6D531CF8-1FD9-422E-9A32-E41437B0AA11}"/>
    <cellStyle name="Output 2 3 7" xfId="5102" xr:uid="{F921FCFB-16AF-42E0-839C-878B07D677F4}"/>
    <cellStyle name="Output 2 4" xfId="2499" xr:uid="{00000000-0005-0000-0000-0000C4090000}"/>
    <cellStyle name="Output 2 4 2" xfId="4366" xr:uid="{30494121-3747-44E5-B18D-F7C3753A8EB6}"/>
    <cellStyle name="Output 2 5" xfId="3420" xr:uid="{2F42F3E0-371E-4E70-886A-882B28D3BE76}"/>
    <cellStyle name="Output 2 6" xfId="3870" xr:uid="{9378770E-67D6-44FC-BC4A-47CD2D9DDDBF}"/>
    <cellStyle name="Output 2 7" xfId="4435" xr:uid="{ED698882-D282-47FF-8D6B-29719D394B90}"/>
    <cellStyle name="Output 2 8" xfId="4938" xr:uid="{EE410291-9DF1-42C4-BD84-FD53571F7DCF}"/>
    <cellStyle name="Output 2 9" xfId="5100" xr:uid="{7BF65F00-B653-4522-8338-603A0FFFCAE1}"/>
    <cellStyle name="Output 20" xfId="4785" xr:uid="{98FD550E-846F-461D-AC54-BE678F163B54}"/>
    <cellStyle name="Output 21" xfId="4949" xr:uid="{20D765D5-8DC0-404E-B566-944B38309B69}"/>
    <cellStyle name="Output 3" xfId="2500" xr:uid="{00000000-0005-0000-0000-0000C5090000}"/>
    <cellStyle name="Output 3 2" xfId="2501" xr:uid="{00000000-0005-0000-0000-0000C6090000}"/>
    <cellStyle name="Output 3 2 2" xfId="4367" xr:uid="{452FF1A4-5332-4416-B394-5C4E1798597A}"/>
    <cellStyle name="Output 3 3" xfId="3417" xr:uid="{1A6B0C71-374D-4F4D-B326-2162AC375306}"/>
    <cellStyle name="Output 3 4" xfId="3873" xr:uid="{F4617A6D-2393-497B-8C6B-DD8A005DF71D}"/>
    <cellStyle name="Output 3 5" xfId="4432" xr:uid="{725A1BEA-5FEA-435E-A0E6-1411A03DF455}"/>
    <cellStyle name="Output 3 6" xfId="4941" xr:uid="{AA9CD835-D716-4FE4-A84A-2715929DDBF3}"/>
    <cellStyle name="Output 3 7" xfId="5103" xr:uid="{491F6005-C993-43FD-BCA9-447B6357FD20}"/>
    <cellStyle name="Output 4" xfId="2502" xr:uid="{00000000-0005-0000-0000-0000C7090000}"/>
    <cellStyle name="Output 4 2" xfId="2503" xr:uid="{00000000-0005-0000-0000-0000C8090000}"/>
    <cellStyle name="Output 4 2 2" xfId="4368" xr:uid="{88FAA597-4925-4C6F-A3B4-9015EE521DFA}"/>
    <cellStyle name="Output 4 3" xfId="3416" xr:uid="{CE34D8EC-40C0-432D-8B08-AB0B13CE84A2}"/>
    <cellStyle name="Output 4 4" xfId="3874" xr:uid="{7472B21D-2279-42C8-893D-EE22032A765D}"/>
    <cellStyle name="Output 4 5" xfId="4431" xr:uid="{50A1BA4E-C746-49EF-9ADD-4E692315B587}"/>
    <cellStyle name="Output 4 6" xfId="4942" xr:uid="{A4C157BC-4536-4604-9CE9-FA7D55FA51D7}"/>
    <cellStyle name="Output 4 7" xfId="5104" xr:uid="{D2B73AC5-42A5-4366-A7B7-1884D60D3377}"/>
    <cellStyle name="Output 5" xfId="2504" xr:uid="{00000000-0005-0000-0000-0000C9090000}"/>
    <cellStyle name="Output 5 2" xfId="2505" xr:uid="{00000000-0005-0000-0000-0000CA090000}"/>
    <cellStyle name="Output 5 2 2" xfId="4369" xr:uid="{85ECC3B0-BA96-40EF-A149-B68DA511DD33}"/>
    <cellStyle name="Output 5 3" xfId="3415" xr:uid="{367A79ED-81E1-4820-AFE9-BD9D2F9779FA}"/>
    <cellStyle name="Output 5 4" xfId="3875" xr:uid="{FA247623-8A70-4589-A77C-EF0B4FB7D0F6}"/>
    <cellStyle name="Output 5 5" xfId="4430" xr:uid="{CA1E03F6-9424-42E7-9C39-B4615ED9D6E9}"/>
    <cellStyle name="Output 5 6" xfId="4943" xr:uid="{4B6A88B9-FFC8-4CDF-BB92-9680D50FF076}"/>
    <cellStyle name="Output 5 7" xfId="5105" xr:uid="{9465E8C9-C5BD-432A-8BD0-A9570E7CB761}"/>
    <cellStyle name="Output 6" xfId="2506" xr:uid="{00000000-0005-0000-0000-0000CB090000}"/>
    <cellStyle name="Output 6 2" xfId="2507" xr:uid="{00000000-0005-0000-0000-0000CC090000}"/>
    <cellStyle name="Output 6 2 2" xfId="4370" xr:uid="{EF19EEF1-FA3C-472C-A054-C63DFF957E71}"/>
    <cellStyle name="Output 6 3" xfId="3414" xr:uid="{5592B122-96F2-41B4-9F83-873BEAD05476}"/>
    <cellStyle name="Output 6 4" xfId="3876" xr:uid="{613CAC58-BEB1-4191-9793-7610CEE44845}"/>
    <cellStyle name="Output 6 5" xfId="4429" xr:uid="{C2D93F14-CC9D-4836-9890-EE6FB203AAF2}"/>
    <cellStyle name="Output 6 6" xfId="4944" xr:uid="{40AD1F62-C147-4CAA-8AEB-B5A95DB3F287}"/>
    <cellStyle name="Output 6 7" xfId="5106" xr:uid="{8A925E7A-555A-41E2-B953-C402D35C8105}"/>
    <cellStyle name="Output 7" xfId="2508" xr:uid="{00000000-0005-0000-0000-0000CD090000}"/>
    <cellStyle name="Output 7 2" xfId="2509" xr:uid="{00000000-0005-0000-0000-0000CE090000}"/>
    <cellStyle name="Output 7 2 2" xfId="4371" xr:uid="{538ABA7C-BD0E-4989-B582-D29FE444F519}"/>
    <cellStyle name="Output 7 3" xfId="3413" xr:uid="{AE3389DF-2464-4099-8BB8-158966213727}"/>
    <cellStyle name="Output 7 4" xfId="3877" xr:uid="{10391603-483F-4F78-8174-C0DE624A62FF}"/>
    <cellStyle name="Output 7 5" xfId="4428" xr:uid="{734D0CAE-EB02-49B9-84C8-2471C6694C5C}"/>
    <cellStyle name="Output 7 6" xfId="4945" xr:uid="{597383E5-399D-4D94-82A0-33F3B3064252}"/>
    <cellStyle name="Output 7 7" xfId="5107" xr:uid="{75269231-E11C-40E9-8A54-176A33F2D1CA}"/>
    <cellStyle name="Output 8" xfId="2510" xr:uid="{00000000-0005-0000-0000-0000CF090000}"/>
    <cellStyle name="Output 8 2" xfId="2511" xr:uid="{00000000-0005-0000-0000-0000D0090000}"/>
    <cellStyle name="Output 8 2 2" xfId="4372" xr:uid="{AEA546F9-342C-4222-9B10-8DF0CA3F0333}"/>
    <cellStyle name="Output 8 3" xfId="3412" xr:uid="{F99A4484-96DF-4229-9991-F87C65C67450}"/>
    <cellStyle name="Output 8 4" xfId="3878" xr:uid="{526C98A9-F1E0-4442-BC65-7DD604074A72}"/>
    <cellStyle name="Output 8 5" xfId="4400" xr:uid="{7425AF2B-0571-4A89-991A-98B38625A407}"/>
    <cellStyle name="Output 8 6" xfId="4946" xr:uid="{D093A350-D779-491C-8350-E0432DBF4455}"/>
    <cellStyle name="Output 8 7" xfId="5108" xr:uid="{EA158FD7-277F-4D7E-928D-D5C9F1DD73EF}"/>
    <cellStyle name="Output 9" xfId="2512" xr:uid="{00000000-0005-0000-0000-0000D1090000}"/>
    <cellStyle name="Output 9 2" xfId="2513" xr:uid="{00000000-0005-0000-0000-0000D2090000}"/>
    <cellStyle name="Output 9 2 2" xfId="4373" xr:uid="{21BE75B3-6BC5-4F82-89F7-577D97D9602A}"/>
    <cellStyle name="Output 9 3" xfId="3411" xr:uid="{23C653BE-F4A1-4F1B-9333-25D34FA1192E}"/>
    <cellStyle name="Output 9 4" xfId="3879" xr:uid="{C4F4F3AA-ACF9-40CF-86BA-D553AFCC6248}"/>
    <cellStyle name="Output 9 5" xfId="4427" xr:uid="{2162F85F-B52A-4927-AED4-7AC202389C27}"/>
    <cellStyle name="Output 9 6" xfId="4947" xr:uid="{F2C6FB3F-6621-4B53-B790-E68F18EA3D69}"/>
    <cellStyle name="Output 9 7" xfId="5109" xr:uid="{D02D6FE3-AC89-4A3B-B0B1-16AB874EE6E9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4374" xr:uid="{0116E0E1-9F1E-4FFE-8A3B-8DFC88B8EF2B}"/>
    <cellStyle name="Percent 13" xfId="4399" xr:uid="{2B3645F0-9B33-4F84-BE90-843D20DB9842}"/>
    <cellStyle name="Percent 14" xfId="4352" xr:uid="{E145616E-EE9B-4ADB-8A94-D8C2754412CF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3" xfId="4375" xr:uid="{74EAE7C2-1266-4F59-B8B4-E739C2EA5A4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5110" xr:uid="{6F58A75F-A8AD-41A4-A5F6-F1DA7B8C9F65}"/>
    <cellStyle name="sbt2 2" xfId="2588" xr:uid="{00000000-0005-0000-0000-00001E0A0000}"/>
    <cellStyle name="sbt2 2 2" xfId="4377" xr:uid="{A8CDBA88-9486-4BA7-9EA9-9283205D6774}"/>
    <cellStyle name="sbt2 3" xfId="3386" xr:uid="{C388C377-9D31-4001-8867-7FA674D891F0}"/>
    <cellStyle name="sbt2 4" xfId="3407" xr:uid="{1BC5D7CB-E782-4D96-87B6-08CB7451E43B}"/>
    <cellStyle name="sbt2 5" xfId="3880" xr:uid="{7DEDF8B1-0A08-4CBB-BFBA-62CA0B2C6FAC}"/>
    <cellStyle name="sbt2 6" xfId="4376" xr:uid="{D346A65D-8E75-49BD-85F6-159CACE1457E}"/>
    <cellStyle name="sbt2 7" xfId="4762" xr:uid="{AABBC7CE-B546-46EE-9997-3189CE8CB0EF}"/>
    <cellStyle name="sbt2 8" xfId="4787" xr:uid="{C746AEFC-779A-4E43-984B-393BD6A02367}"/>
    <cellStyle name="sbt2 9" xfId="4951" xr:uid="{D842ADC5-80AF-4B21-8932-4D67ABCD0185}"/>
    <cellStyle name="subt1" xfId="2589" xr:uid="{00000000-0005-0000-0000-00001F0A0000}"/>
    <cellStyle name="subt1 2" xfId="2590" xr:uid="{00000000-0005-0000-0000-0000200A0000}"/>
    <cellStyle name="subt1 2 2" xfId="4379" xr:uid="{1A01BBEC-BBDE-466E-B500-0EDD5061D5AB}"/>
    <cellStyle name="subt1 3" xfId="3387" xr:uid="{465694C6-D059-4306-8695-F4759D8BF803}"/>
    <cellStyle name="subt1 4" xfId="4378" xr:uid="{15D5D86A-483C-4B72-91A2-5CF6B23B59E5}"/>
    <cellStyle name="subt1 5" xfId="4763" xr:uid="{38F338B5-4FFE-4EE8-949F-66DB2CBED407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2 2" xfId="4380" xr:uid="{55FA844B-7425-4A47-B3DB-1B1A652E961E}"/>
    <cellStyle name="Total 10 3" xfId="3724" xr:uid="{86E145AE-4552-483F-9E81-C255B03648C9}"/>
    <cellStyle name="Total 10 4" xfId="3882" xr:uid="{47D89516-8FC2-466D-BA5A-5C86D29C9526}"/>
    <cellStyle name="Total 10 5" xfId="4790" xr:uid="{DE991C11-1724-4B88-917D-77D16D6FDCB8}"/>
    <cellStyle name="Total 10 6" xfId="4954" xr:uid="{1018CF61-4F00-41AC-836D-835706FD3C49}"/>
    <cellStyle name="Total 10 7" xfId="5111" xr:uid="{C27CE0C5-57D6-4E08-8711-2B96EFD78A78}"/>
    <cellStyle name="Total 11" xfId="2619" xr:uid="{00000000-0005-0000-0000-00003D0A0000}"/>
    <cellStyle name="Total 11 2" xfId="2620" xr:uid="{00000000-0005-0000-0000-00003E0A0000}"/>
    <cellStyle name="Total 11 2 2" xfId="4381" xr:uid="{88298BE0-78B8-4263-9AF1-6D05E68F9E5F}"/>
    <cellStyle name="Total 11 3" xfId="3725" xr:uid="{13848CE4-A845-48E4-9104-64104333B927}"/>
    <cellStyle name="Total 11 4" xfId="3883" xr:uid="{1C26165E-8C75-4309-ADB3-A0440765934C}"/>
    <cellStyle name="Total 11 5" xfId="4791" xr:uid="{7F3C3494-92DF-468C-AB50-014F417B416F}"/>
    <cellStyle name="Total 11 6" xfId="4955" xr:uid="{C6E209AD-2CB9-4711-853B-8F352A50A82A}"/>
    <cellStyle name="Total 11 7" xfId="5112" xr:uid="{D2980002-4DE2-4C2A-8880-48B76DBC609E}"/>
    <cellStyle name="Total 12" xfId="2621" xr:uid="{00000000-0005-0000-0000-00003F0A0000}"/>
    <cellStyle name="Total 12 2" xfId="2622" xr:uid="{00000000-0005-0000-0000-0000400A0000}"/>
    <cellStyle name="Total 12 2 2" xfId="4382" xr:uid="{8E4E4493-174C-4A94-8E4E-6963FC42419B}"/>
    <cellStyle name="Total 12 3" xfId="3726" xr:uid="{CBD45986-39E9-44A1-B75F-FB781600BF4D}"/>
    <cellStyle name="Total 12 4" xfId="3884" xr:uid="{E6D2A310-C98B-4C22-9965-F07450C3CACD}"/>
    <cellStyle name="Total 12 5" xfId="4792" xr:uid="{85F15A61-47FF-45E2-BEE4-DE6CC15864A8}"/>
    <cellStyle name="Total 12 6" xfId="4956" xr:uid="{DCC82CF7-C790-4C7F-B803-8213B824F215}"/>
    <cellStyle name="Total 12 7" xfId="5113" xr:uid="{0F0FB956-AFCA-4943-901B-A882BA691139}"/>
    <cellStyle name="Total 13" xfId="2623" xr:uid="{00000000-0005-0000-0000-0000410A0000}"/>
    <cellStyle name="Total 13 2" xfId="2624" xr:uid="{00000000-0005-0000-0000-0000420A0000}"/>
    <cellStyle name="Total 13 2 2" xfId="4383" xr:uid="{3E2CFF47-4D99-499B-8ED0-0617AD340755}"/>
    <cellStyle name="Total 13 3" xfId="3727" xr:uid="{D4A0B537-429B-4AA2-AAB4-9096E2FBFE18}"/>
    <cellStyle name="Total 13 4" xfId="3885" xr:uid="{54465F3A-9643-49F2-B909-C356D31B87CC}"/>
    <cellStyle name="Total 13 5" xfId="4793" xr:uid="{7358C83A-A752-4414-85C5-969F472CB709}"/>
    <cellStyle name="Total 13 6" xfId="4957" xr:uid="{5AB28AF1-C116-49A2-8850-B105FCD88CC8}"/>
    <cellStyle name="Total 13 7" xfId="5114" xr:uid="{8A1E0F1D-114F-48AA-A54D-FA9D6B5E02A5}"/>
    <cellStyle name="Total 14" xfId="2625" xr:uid="{00000000-0005-0000-0000-0000430A0000}"/>
    <cellStyle name="Total 14 2" xfId="2626" xr:uid="{00000000-0005-0000-0000-0000440A0000}"/>
    <cellStyle name="Total 14 2 2" xfId="4384" xr:uid="{D9ABF7EE-4C72-4A5A-9731-6722720829AB}"/>
    <cellStyle name="Total 14 3" xfId="3728" xr:uid="{F172138A-309D-45C5-8619-65549C71FD94}"/>
    <cellStyle name="Total 14 4" xfId="3886" xr:uid="{F6C4AE91-A886-4693-ACDB-D7D2EABD659E}"/>
    <cellStyle name="Total 14 5" xfId="4794" xr:uid="{C3F13717-D580-4B86-89E8-65C477AADF1D}"/>
    <cellStyle name="Total 14 6" xfId="4958" xr:uid="{9B304D3C-0EE3-46A9-9ABB-2176697335FE}"/>
    <cellStyle name="Total 14 7" xfId="5115" xr:uid="{1BC1900F-79AF-4B31-9876-B223788FDB90}"/>
    <cellStyle name="Total 15" xfId="2627" xr:uid="{00000000-0005-0000-0000-0000450A0000}"/>
    <cellStyle name="Total 15 2" xfId="2628" xr:uid="{00000000-0005-0000-0000-0000460A0000}"/>
    <cellStyle name="Total 15 2 2" xfId="4385" xr:uid="{A7892031-595E-4825-A268-92F69A6094DB}"/>
    <cellStyle name="Total 15 3" xfId="3729" xr:uid="{8F513A61-49F1-42B1-9005-E596941EBDCD}"/>
    <cellStyle name="Total 15 4" xfId="3887" xr:uid="{841FA0FC-A8FB-4A81-A9A2-6D1E9547489B}"/>
    <cellStyle name="Total 15 5" xfId="4795" xr:uid="{EDB35455-C49F-4C95-8795-38CE74B63DD4}"/>
    <cellStyle name="Total 15 6" xfId="4959" xr:uid="{C8C51162-2EF1-4764-AC23-C07A01AC1803}"/>
    <cellStyle name="Total 15 7" xfId="5116" xr:uid="{439A9F07-0A06-4760-8186-0776E39E0EB9}"/>
    <cellStyle name="Total 16" xfId="2629" xr:uid="{00000000-0005-0000-0000-0000470A0000}"/>
    <cellStyle name="Total 16 2" xfId="2630" xr:uid="{00000000-0005-0000-0000-0000480A0000}"/>
    <cellStyle name="Total 16 2 2" xfId="4386" xr:uid="{E3AEAE1E-935A-40BC-A652-CBBCE5604315}"/>
    <cellStyle name="Total 16 3" xfId="3730" xr:uid="{BAD29367-B061-41D9-B868-4B176FD2C766}"/>
    <cellStyle name="Total 16 4" xfId="3888" xr:uid="{0BBE37B0-847D-43BE-ACB2-D576B2B11AC1}"/>
    <cellStyle name="Total 16 5" xfId="4796" xr:uid="{D1F8D950-5805-405A-BAB9-7407C326FBD5}"/>
    <cellStyle name="Total 16 6" xfId="4960" xr:uid="{428B1997-4107-4C7E-ACF8-C3A2C8FAD528}"/>
    <cellStyle name="Total 16 7" xfId="5117" xr:uid="{045D14C1-AD50-480F-9614-E080F44944DD}"/>
    <cellStyle name="Total 17" xfId="3404" xr:uid="{DFF4C364-18BE-4071-BB53-D1CDA624EC41}"/>
    <cellStyle name="Total 18" xfId="3410" xr:uid="{B9AC091C-9B6F-4475-B592-F1A1B28B63DB}"/>
    <cellStyle name="Total 19" xfId="4420" xr:uid="{3F709CDB-7D6B-4F7F-9FC9-E347CED38B8E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2 2 2" xfId="4387" xr:uid="{A29ABC3C-AC27-42BB-A73C-9C25908D01AF}"/>
    <cellStyle name="Total 2 2 3" xfId="3732" xr:uid="{87B8E481-9F0D-49CC-9011-3BA0104C3285}"/>
    <cellStyle name="Total 2 2 4" xfId="3890" xr:uid="{4D9D757D-0ECD-465B-AAC0-70CE798DCD55}"/>
    <cellStyle name="Total 2 2 5" xfId="4798" xr:uid="{5BA02A83-EA62-4B62-B12D-02923E70CBAD}"/>
    <cellStyle name="Total 2 2 6" xfId="4962" xr:uid="{07EC16D5-EDCB-4C43-9C2B-268982DCD54C}"/>
    <cellStyle name="Total 2 2 7" xfId="5119" xr:uid="{D67EB373-F52E-4926-BC6A-EBDCB7955053}"/>
    <cellStyle name="Total 2 3" xfId="2634" xr:uid="{00000000-0005-0000-0000-00004C0A0000}"/>
    <cellStyle name="Total 2 3 2" xfId="2635" xr:uid="{00000000-0005-0000-0000-00004D0A0000}"/>
    <cellStyle name="Total 2 3 2 2" xfId="4388" xr:uid="{B5E76BDD-C3E3-4D72-9670-1CB037B1CCA8}"/>
    <cellStyle name="Total 2 3 3" xfId="3733" xr:uid="{8D5F63D0-937F-4AF0-921D-855A2464779B}"/>
    <cellStyle name="Total 2 3 4" xfId="3891" xr:uid="{D2870CC4-1BFE-42E5-85D9-456A83543970}"/>
    <cellStyle name="Total 2 3 5" xfId="4799" xr:uid="{C69B7CE2-852F-4668-A8D1-2AC0C1632685}"/>
    <cellStyle name="Total 2 3 6" xfId="4963" xr:uid="{7283AFAC-562A-4792-8720-42317B2E5035}"/>
    <cellStyle name="Total 2 3 7" xfId="5120" xr:uid="{326380D5-36EB-4E2D-9490-1AE3956EED5C}"/>
    <cellStyle name="Total 2 4" xfId="2636" xr:uid="{00000000-0005-0000-0000-00004E0A0000}"/>
    <cellStyle name="Total 2 4 2" xfId="4389" xr:uid="{846496AC-DB50-4AC7-B661-A83A011FF9E8}"/>
    <cellStyle name="Total 2 5" xfId="3731" xr:uid="{1C2B8D53-325D-4991-9936-4BCEF4AD4213}"/>
    <cellStyle name="Total 2 6" xfId="3889" xr:uid="{07E61543-3F01-446D-A797-705F4854D11C}"/>
    <cellStyle name="Total 2 7" xfId="4797" xr:uid="{A53D71D9-6897-484B-9BF1-FEA8C12C23DD}"/>
    <cellStyle name="Total 2 8" xfId="4961" xr:uid="{1FB2DB8B-F527-4D8D-8F49-5A7D093BEEE9}"/>
    <cellStyle name="Total 2 9" xfId="5118" xr:uid="{A9C7B6FB-2057-4C54-A799-F1CCC8238E63}"/>
    <cellStyle name="Total 20" xfId="4784" xr:uid="{7D1E646C-483B-4245-90D1-BEDAD18372E9}"/>
    <cellStyle name="Total 21" xfId="4948" xr:uid="{91C7A899-679C-47C8-8265-485C8DFCD114}"/>
    <cellStyle name="Total 3" xfId="2637" xr:uid="{00000000-0005-0000-0000-00004F0A0000}"/>
    <cellStyle name="Total 3 2" xfId="2638" xr:uid="{00000000-0005-0000-0000-0000500A0000}"/>
    <cellStyle name="Total 3 2 2" xfId="4390" xr:uid="{3C524FE1-4FC1-4920-925E-F6B2048DB3D8}"/>
    <cellStyle name="Total 3 3" xfId="3734" xr:uid="{8CA0F4EE-DB20-45AA-84B7-DBBB1EA56B3C}"/>
    <cellStyle name="Total 3 4" xfId="3892" xr:uid="{14BAE761-CB6F-47AC-AAC8-D819EC5893E7}"/>
    <cellStyle name="Total 3 5" xfId="4800" xr:uid="{F9B7769E-699C-4404-B178-932DED9BF6EA}"/>
    <cellStyle name="Total 3 6" xfId="4964" xr:uid="{E709B130-329B-4D9D-A3EB-633741A4F495}"/>
    <cellStyle name="Total 3 7" xfId="5121" xr:uid="{82291E71-8267-4800-968E-2026EA48A5E1}"/>
    <cellStyle name="Total 4" xfId="2639" xr:uid="{00000000-0005-0000-0000-0000510A0000}"/>
    <cellStyle name="Total 4 2" xfId="2640" xr:uid="{00000000-0005-0000-0000-0000520A0000}"/>
    <cellStyle name="Total 4 2 2" xfId="4391" xr:uid="{D2B3F027-8C24-4627-9DFE-00E137666F88}"/>
    <cellStyle name="Total 4 3" xfId="3735" xr:uid="{50748572-3DE8-41E8-8F72-7DA26F91126C}"/>
    <cellStyle name="Total 4 4" xfId="3893" xr:uid="{0003443C-CABE-404B-8D62-01AC10135B4F}"/>
    <cellStyle name="Total 4 5" xfId="4801" xr:uid="{1B204291-D6D7-4AC8-88C7-BC9F3929219B}"/>
    <cellStyle name="Total 4 6" xfId="4965" xr:uid="{8721E7F4-2E76-4CB8-A235-E7E3ED1F9D72}"/>
    <cellStyle name="Total 4 7" xfId="5122" xr:uid="{D3CFCA8D-9EBB-4FB6-8CD8-5BFC5CCEF865}"/>
    <cellStyle name="Total 5" xfId="2641" xr:uid="{00000000-0005-0000-0000-0000530A0000}"/>
    <cellStyle name="Total 5 2" xfId="2642" xr:uid="{00000000-0005-0000-0000-0000540A0000}"/>
    <cellStyle name="Total 5 2 2" xfId="4392" xr:uid="{F3A1A266-E9FF-4BB4-94AE-46253094A6A9}"/>
    <cellStyle name="Total 5 3" xfId="3736" xr:uid="{E925D102-EA0B-4B4E-A617-4B1090109F0F}"/>
    <cellStyle name="Total 5 4" xfId="3894" xr:uid="{05C4FE2C-8570-4A4D-B084-A5F2B6C86664}"/>
    <cellStyle name="Total 5 5" xfId="4802" xr:uid="{143CFEB7-C43F-4BBD-80BA-6BA5069D0596}"/>
    <cellStyle name="Total 5 6" xfId="4966" xr:uid="{DD9BB4E8-5B30-46B7-92BA-F89A07382D5A}"/>
    <cellStyle name="Total 5 7" xfId="5123" xr:uid="{53798DAF-82B3-41B9-BE06-42427C221B76}"/>
    <cellStyle name="Total 6" xfId="2643" xr:uid="{00000000-0005-0000-0000-0000550A0000}"/>
    <cellStyle name="Total 6 2" xfId="2644" xr:uid="{00000000-0005-0000-0000-0000560A0000}"/>
    <cellStyle name="Total 6 2 2" xfId="4393" xr:uid="{8315A9EC-60DA-4824-8BD6-C83171DFDB70}"/>
    <cellStyle name="Total 6 3" xfId="3737" xr:uid="{796C814F-B916-4EB5-8115-19365CAB7E9C}"/>
    <cellStyle name="Total 6 4" xfId="3895" xr:uid="{2B213A10-8D50-4457-AA2C-CE5D122BEB4D}"/>
    <cellStyle name="Total 6 5" xfId="4803" xr:uid="{18592AC1-A314-4421-881A-1FE3BD28B9E3}"/>
    <cellStyle name="Total 6 6" xfId="4967" xr:uid="{7308AF57-67B6-421E-888E-3C3C013C8F9C}"/>
    <cellStyle name="Total 6 7" xfId="5124" xr:uid="{34FB98D9-1987-48E1-8B2C-E6B548F0C178}"/>
    <cellStyle name="Total 7" xfId="2645" xr:uid="{00000000-0005-0000-0000-0000570A0000}"/>
    <cellStyle name="Total 7 2" xfId="2646" xr:uid="{00000000-0005-0000-0000-0000580A0000}"/>
    <cellStyle name="Total 7 2 2" xfId="4394" xr:uid="{8ACAA4F8-7FF8-4C20-A1C0-4997C3139962}"/>
    <cellStyle name="Total 7 3" xfId="3738" xr:uid="{B62579A2-E5C3-4BB9-A18E-94E3ABBB0EA8}"/>
    <cellStyle name="Total 7 4" xfId="3896" xr:uid="{628A1F94-96DC-4085-B6E7-22E7E8E7A51F}"/>
    <cellStyle name="Total 7 5" xfId="4804" xr:uid="{5DEDCB0D-BE8C-4EEF-B1DE-8F4C2176BF23}"/>
    <cellStyle name="Total 7 6" xfId="4968" xr:uid="{2FB5402E-8DA1-40B0-BF04-034E3AA8AAB2}"/>
    <cellStyle name="Total 7 7" xfId="5125" xr:uid="{6AF0C8DD-DCBA-4E9F-AE41-561761082BDB}"/>
    <cellStyle name="Total 8" xfId="2647" xr:uid="{00000000-0005-0000-0000-0000590A0000}"/>
    <cellStyle name="Total 8 2" xfId="2648" xr:uid="{00000000-0005-0000-0000-00005A0A0000}"/>
    <cellStyle name="Total 8 2 2" xfId="4395" xr:uid="{CE7A498F-BBDF-42D2-A7EE-C83A0A78159B}"/>
    <cellStyle name="Total 8 3" xfId="3739" xr:uid="{ED68500C-8A82-4E70-AE8E-686FB3784AFE}"/>
    <cellStyle name="Total 8 4" xfId="3897" xr:uid="{99FFA9EE-BE8C-4CF1-BF11-6A6E5D172AD7}"/>
    <cellStyle name="Total 8 5" xfId="4805" xr:uid="{C7C77F48-B2C6-451D-BFB8-D06119BEC3F3}"/>
    <cellStyle name="Total 8 6" xfId="4969" xr:uid="{8EE7D81B-0D55-4F3E-9FEF-1EA38D8A07AD}"/>
    <cellStyle name="Total 8 7" xfId="5126" xr:uid="{DC4E7739-F55A-40C5-9C04-D0C46C4AB6C6}"/>
    <cellStyle name="Total 9" xfId="2649" xr:uid="{00000000-0005-0000-0000-00005B0A0000}"/>
    <cellStyle name="Total 9 2" xfId="2650" xr:uid="{00000000-0005-0000-0000-00005C0A0000}"/>
    <cellStyle name="Total 9 2 2" xfId="4396" xr:uid="{2BD2C64A-316E-4152-A294-709C195CB3DB}"/>
    <cellStyle name="Total 9 3" xfId="3740" xr:uid="{01213A58-782F-4F90-8277-00B067E72030}"/>
    <cellStyle name="Total 9 4" xfId="3898" xr:uid="{7D06D3A8-4D09-48E9-AB05-EDD12017DCA7}"/>
    <cellStyle name="Total 9 5" xfId="4806" xr:uid="{979D345E-D127-4E96-9AE5-0C958269F05D}"/>
    <cellStyle name="Total 9 6" xfId="4970" xr:uid="{0B477CC3-AC8B-4AE4-A7C0-BCF3C4340D8E}"/>
    <cellStyle name="Total 9 7" xfId="5127" xr:uid="{FD9CBEB0-4C37-42B9-8777-CD008FF406FA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15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62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63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2381</xdr:colOff>
      <xdr:row>25</xdr:row>
      <xdr:rowOff>47256</xdr:rowOff>
    </xdr:from>
    <xdr:to>
      <xdr:col>16</xdr:col>
      <xdr:colOff>345281</xdr:colOff>
      <xdr:row>25</xdr:row>
      <xdr:rowOff>56781</xdr:rowOff>
    </xdr:to>
    <xdr:cxnSp macro="">
      <xdr:nvCxnSpPr>
        <xdr:cNvPr id="149" name="Straight Connector 148">
          <a:extLst>
            <a:ext uri="{FF2B5EF4-FFF2-40B4-BE49-F238E27FC236}">
              <a16:creationId xmlns:a16="http://schemas.microsoft.com/office/drawing/2014/main" id="{FD7CF556-DB04-4781-9AA5-936A3E04B755}"/>
            </a:ext>
          </a:extLst>
        </xdr:cNvPr>
        <xdr:cNvCxnSpPr/>
      </xdr:nvCxnSpPr>
      <xdr:spPr>
        <a:xfrm flipH="1">
          <a:off x="4879181" y="3885831"/>
          <a:ext cx="1104900" cy="952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297656</xdr:colOff>
      <xdr:row>8</xdr:row>
      <xdr:rowOff>109168</xdr:rowOff>
    </xdr:from>
    <xdr:to>
      <xdr:col>6</xdr:col>
      <xdr:colOff>333375</xdr:colOff>
      <xdr:row>21</xdr:row>
      <xdr:rowOff>142506</xdr:rowOff>
    </xdr:to>
    <xdr:cxnSp macro="">
      <xdr:nvCxnSpPr>
        <xdr:cNvPr id="158" name="Straight Connector 157">
          <a:extLst>
            <a:ext uri="{FF2B5EF4-FFF2-40B4-BE49-F238E27FC236}">
              <a16:creationId xmlns:a16="http://schemas.microsoft.com/office/drawing/2014/main" id="{93D26A83-7E56-4F0A-962B-D7D0F16C188D}"/>
            </a:ext>
          </a:extLst>
        </xdr:cNvPr>
        <xdr:cNvCxnSpPr/>
      </xdr:nvCxnSpPr>
      <xdr:spPr>
        <a:xfrm flipV="1">
          <a:off x="2126456" y="1347418"/>
          <a:ext cx="35719" cy="2024063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142875</xdr:colOff>
      <xdr:row>8</xdr:row>
      <xdr:rowOff>109168</xdr:rowOff>
    </xdr:from>
    <xdr:to>
      <xdr:col>15</xdr:col>
      <xdr:colOff>178594</xdr:colOff>
      <xdr:row>39</xdr:row>
      <xdr:rowOff>13918</xdr:rowOff>
    </xdr:to>
    <xdr:cxnSp macro="">
      <xdr:nvCxnSpPr>
        <xdr:cNvPr id="160" name="Straight Connector 159">
          <a:extLst>
            <a:ext uri="{FF2B5EF4-FFF2-40B4-BE49-F238E27FC236}">
              <a16:creationId xmlns:a16="http://schemas.microsoft.com/office/drawing/2014/main" id="{83E87199-FDB0-4C47-9252-A8A010A3D44E}"/>
            </a:ext>
          </a:extLst>
        </xdr:cNvPr>
        <xdr:cNvCxnSpPr/>
      </xdr:nvCxnSpPr>
      <xdr:spPr>
        <a:xfrm flipV="1">
          <a:off x="5400675" y="1347418"/>
          <a:ext cx="35719" cy="4648200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7108</xdr:colOff>
      <xdr:row>13</xdr:row>
      <xdr:rowOff>92848</xdr:rowOff>
    </xdr:from>
    <xdr:to>
      <xdr:col>18</xdr:col>
      <xdr:colOff>303040</xdr:colOff>
      <xdr:row>13</xdr:row>
      <xdr:rowOff>142506</xdr:rowOff>
    </xdr:to>
    <xdr:cxnSp macro="">
      <xdr:nvCxnSpPr>
        <xdr:cNvPr id="161" name="Straight Connector 160">
          <a:extLst>
            <a:ext uri="{FF2B5EF4-FFF2-40B4-BE49-F238E27FC236}">
              <a16:creationId xmlns:a16="http://schemas.microsoft.com/office/drawing/2014/main" id="{3463FE1F-4D09-483A-A98A-D3D838C52D26}"/>
            </a:ext>
          </a:extLst>
        </xdr:cNvPr>
        <xdr:cNvCxnSpPr>
          <a:stCxn id="323" idx="1"/>
          <a:endCxn id="281" idx="0"/>
        </xdr:cNvCxnSpPr>
      </xdr:nvCxnSpPr>
      <xdr:spPr>
        <a:xfrm>
          <a:off x="1835908" y="2102623"/>
          <a:ext cx="4867932" cy="4965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119063</xdr:colOff>
      <xdr:row>34</xdr:row>
      <xdr:rowOff>2013</xdr:rowOff>
    </xdr:from>
    <xdr:to>
      <xdr:col>18</xdr:col>
      <xdr:colOff>0</xdr:colOff>
      <xdr:row>34</xdr:row>
      <xdr:rowOff>2013</xdr:rowOff>
    </xdr:to>
    <xdr:cxnSp macro="">
      <xdr:nvCxnSpPr>
        <xdr:cNvPr id="162" name="Straight Connector 161">
          <a:extLst>
            <a:ext uri="{FF2B5EF4-FFF2-40B4-BE49-F238E27FC236}">
              <a16:creationId xmlns:a16="http://schemas.microsoft.com/office/drawing/2014/main" id="{FD9B1B52-D5E8-42D9-AFA0-4667F15D30EA}"/>
            </a:ext>
          </a:extLst>
        </xdr:cNvPr>
        <xdr:cNvCxnSpPr/>
      </xdr:nvCxnSpPr>
      <xdr:spPr>
        <a:xfrm>
          <a:off x="3852863" y="5202663"/>
          <a:ext cx="2547937" cy="0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369094</xdr:colOff>
      <xdr:row>9</xdr:row>
      <xdr:rowOff>109358</xdr:rowOff>
    </xdr:from>
    <xdr:to>
      <xdr:col>16</xdr:col>
      <xdr:colOff>16632</xdr:colOff>
      <xdr:row>29</xdr:row>
      <xdr:rowOff>139137</xdr:rowOff>
    </xdr:to>
    <xdr:cxnSp macro="">
      <xdr:nvCxnSpPr>
        <xdr:cNvPr id="163" name="Straight Connector 162">
          <a:extLst>
            <a:ext uri="{FF2B5EF4-FFF2-40B4-BE49-F238E27FC236}">
              <a16:creationId xmlns:a16="http://schemas.microsoft.com/office/drawing/2014/main" id="{6A7ED8A8-7275-48D6-B79E-81E27BA7E5CC}"/>
            </a:ext>
          </a:extLst>
        </xdr:cNvPr>
        <xdr:cNvCxnSpPr>
          <a:stCxn id="296" idx="2"/>
          <a:endCxn id="262" idx="1"/>
        </xdr:cNvCxnSpPr>
      </xdr:nvCxnSpPr>
      <xdr:spPr>
        <a:xfrm flipV="1">
          <a:off x="5626894" y="1500008"/>
          <a:ext cx="28538" cy="3087304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281347</xdr:colOff>
      <xdr:row>1</xdr:row>
      <xdr:rowOff>123825</xdr:rowOff>
    </xdr:from>
    <xdr:to>
      <xdr:col>21</xdr:col>
      <xdr:colOff>374182</xdr:colOff>
      <xdr:row>5</xdr:row>
      <xdr:rowOff>127660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3E972C20-8FDD-4263-8096-525F1FF4D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7063147" y="285750"/>
          <a:ext cx="854835" cy="622960"/>
        </a:xfrm>
        <a:prstGeom prst="rect">
          <a:avLst/>
        </a:prstGeom>
      </xdr:spPr>
    </xdr:pic>
    <xdr:clientData/>
  </xdr:twoCellAnchor>
  <xdr:twoCellAnchor>
    <xdr:from>
      <xdr:col>26</xdr:col>
      <xdr:colOff>174656</xdr:colOff>
      <xdr:row>5</xdr:row>
      <xdr:rowOff>9213</xdr:rowOff>
    </xdr:from>
    <xdr:to>
      <xdr:col>29</xdr:col>
      <xdr:colOff>355820</xdr:colOff>
      <xdr:row>16</xdr:row>
      <xdr:rowOff>138441</xdr:rowOff>
    </xdr:to>
    <xdr:grpSp>
      <xdr:nvGrpSpPr>
        <xdr:cNvPr id="165" name="Group 164">
          <a:extLst>
            <a:ext uri="{FF2B5EF4-FFF2-40B4-BE49-F238E27FC236}">
              <a16:creationId xmlns:a16="http://schemas.microsoft.com/office/drawing/2014/main" id="{5E731289-1988-4DFB-B8D2-C47B10A53DF9}"/>
            </a:ext>
          </a:extLst>
        </xdr:cNvPr>
        <xdr:cNvGrpSpPr/>
      </xdr:nvGrpSpPr>
      <xdr:grpSpPr>
        <a:xfrm>
          <a:off x="9674808" y="787778"/>
          <a:ext cx="1382142" cy="1785750"/>
          <a:chOff x="9713886" y="808452"/>
          <a:chExt cx="1342558" cy="1766630"/>
        </a:xfrm>
      </xdr:grpSpPr>
      <xdr:grpSp>
        <xdr:nvGrpSpPr>
          <xdr:cNvPr id="166" name="Group 13">
            <a:extLst>
              <a:ext uri="{FF2B5EF4-FFF2-40B4-BE49-F238E27FC236}">
                <a16:creationId xmlns:a16="http://schemas.microsoft.com/office/drawing/2014/main" id="{4F3377FC-FA9D-426E-8CBB-D7FE8C735AD4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255" name="Oval 1">
              <a:extLst>
                <a:ext uri="{FF2B5EF4-FFF2-40B4-BE49-F238E27FC236}">
                  <a16:creationId xmlns:a16="http://schemas.microsoft.com/office/drawing/2014/main" id="{7BEB20EB-E55A-4E2A-886F-A968699C313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56" name="Straight Connector 3">
              <a:extLst>
                <a:ext uri="{FF2B5EF4-FFF2-40B4-BE49-F238E27FC236}">
                  <a16:creationId xmlns:a16="http://schemas.microsoft.com/office/drawing/2014/main" id="{7D66BB01-C530-4249-9D4B-898514BB6A88}"/>
                </a:ext>
              </a:extLst>
            </xdr:cNvPr>
            <xdr:cNvCxnSpPr>
              <a:stCxn id="190" idx="1"/>
              <a:endCxn id="19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7" name="Straight Connector 7">
              <a:extLst>
                <a:ext uri="{FF2B5EF4-FFF2-40B4-BE49-F238E27FC236}">
                  <a16:creationId xmlns:a16="http://schemas.microsoft.com/office/drawing/2014/main" id="{32E30CB5-1E7B-4B95-959B-B98D9012881B}"/>
                </a:ext>
              </a:extLst>
            </xdr:cNvPr>
            <xdr:cNvCxnSpPr>
              <a:stCxn id="190" idx="3"/>
              <a:endCxn id="19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67" name="Oval 166">
            <a:extLst>
              <a:ext uri="{FF2B5EF4-FFF2-40B4-BE49-F238E27FC236}">
                <a16:creationId xmlns:a16="http://schemas.microsoft.com/office/drawing/2014/main" id="{A8F03797-89DA-4A36-A02C-8C3DA95723FE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68" name="Group 14">
            <a:extLst>
              <a:ext uri="{FF2B5EF4-FFF2-40B4-BE49-F238E27FC236}">
                <a16:creationId xmlns:a16="http://schemas.microsoft.com/office/drawing/2014/main" id="{4E92D9EC-5282-4D97-95EB-C2339079180B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252" name="Oval 251">
              <a:extLst>
                <a:ext uri="{FF2B5EF4-FFF2-40B4-BE49-F238E27FC236}">
                  <a16:creationId xmlns:a16="http://schemas.microsoft.com/office/drawing/2014/main" id="{0D25F0ED-F2B2-4DE9-B042-7103B965CB0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53" name="Straight Connector 252">
              <a:extLst>
                <a:ext uri="{FF2B5EF4-FFF2-40B4-BE49-F238E27FC236}">
                  <a16:creationId xmlns:a16="http://schemas.microsoft.com/office/drawing/2014/main" id="{CE9C6D43-CEF0-4C5F-A319-436D4497BEE3}"/>
                </a:ext>
              </a:extLst>
            </xdr:cNvPr>
            <xdr:cNvCxnSpPr>
              <a:stCxn id="252" idx="1"/>
              <a:endCxn id="252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4" name="Straight Connector 253">
              <a:extLst>
                <a:ext uri="{FF2B5EF4-FFF2-40B4-BE49-F238E27FC236}">
                  <a16:creationId xmlns:a16="http://schemas.microsoft.com/office/drawing/2014/main" id="{2D744C44-969F-410F-A69E-72D75CFA9698}"/>
                </a:ext>
              </a:extLst>
            </xdr:cNvPr>
            <xdr:cNvCxnSpPr>
              <a:stCxn id="252" idx="3"/>
              <a:endCxn id="252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70" name="Oval 169">
            <a:extLst>
              <a:ext uri="{FF2B5EF4-FFF2-40B4-BE49-F238E27FC236}">
                <a16:creationId xmlns:a16="http://schemas.microsoft.com/office/drawing/2014/main" id="{9069FE5D-C619-4CB8-9CC3-85A71329B84C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F81A6F90-DA76-43C7-8602-E2C63F66B153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2722011D-5CAD-4A77-82E9-2ABC22C62DFD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3052B645-D714-4509-B5B3-718BA817C336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173">
            <a:extLst>
              <a:ext uri="{FF2B5EF4-FFF2-40B4-BE49-F238E27FC236}">
                <a16:creationId xmlns:a16="http://schemas.microsoft.com/office/drawing/2014/main" id="{89CA1776-764C-4A36-BCBA-1BD97798AD1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7FF68DF7-4DFD-4E00-8632-F9E456B502E9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Connector 175">
            <a:extLst>
              <a:ext uri="{FF2B5EF4-FFF2-40B4-BE49-F238E27FC236}">
                <a16:creationId xmlns:a16="http://schemas.microsoft.com/office/drawing/2014/main" id="{75746B15-AAC4-4E7D-B808-DF99A7F7ACE2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176">
            <a:extLst>
              <a:ext uri="{FF2B5EF4-FFF2-40B4-BE49-F238E27FC236}">
                <a16:creationId xmlns:a16="http://schemas.microsoft.com/office/drawing/2014/main" id="{7B095ABA-8F4D-41F0-B0AB-8C7D501FFBCD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094A8851-0985-4578-91F6-2D88EFAA7A7E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67905501-57B7-4B5B-A578-87F274435F8B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Straight Connector 180">
            <a:extLst>
              <a:ext uri="{FF2B5EF4-FFF2-40B4-BE49-F238E27FC236}">
                <a16:creationId xmlns:a16="http://schemas.microsoft.com/office/drawing/2014/main" id="{4986D063-B0DD-4C70-9084-B015E39C4B32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181">
            <a:extLst>
              <a:ext uri="{FF2B5EF4-FFF2-40B4-BE49-F238E27FC236}">
                <a16:creationId xmlns:a16="http://schemas.microsoft.com/office/drawing/2014/main" id="{CB327821-24F6-43AF-9550-CFE74CDF72EE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56D8AFEC-AF03-4A9D-A130-1EBB847CF236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Straight Connector 50">
            <a:extLst>
              <a:ext uri="{FF2B5EF4-FFF2-40B4-BE49-F238E27FC236}">
                <a16:creationId xmlns:a16="http://schemas.microsoft.com/office/drawing/2014/main" id="{ECBCB31C-8F44-4B6F-AB8A-37116DA9E848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Straight Connector 190">
            <a:extLst>
              <a:ext uri="{FF2B5EF4-FFF2-40B4-BE49-F238E27FC236}">
                <a16:creationId xmlns:a16="http://schemas.microsoft.com/office/drawing/2014/main" id="{2E41E633-4930-4E8D-9CE4-4EAF394AE4F1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Straight Connector 52">
            <a:extLst>
              <a:ext uri="{FF2B5EF4-FFF2-40B4-BE49-F238E27FC236}">
                <a16:creationId xmlns:a16="http://schemas.microsoft.com/office/drawing/2014/main" id="{3F4A18A2-33A5-4983-B9EA-176181E1BA97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214">
            <a:extLst>
              <a:ext uri="{FF2B5EF4-FFF2-40B4-BE49-F238E27FC236}">
                <a16:creationId xmlns:a16="http://schemas.microsoft.com/office/drawing/2014/main" id="{3AD1B7A8-B15D-4419-8FD6-BE00D46C9DA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6" name="Straight Connector 215">
            <a:extLst>
              <a:ext uri="{FF2B5EF4-FFF2-40B4-BE49-F238E27FC236}">
                <a16:creationId xmlns:a16="http://schemas.microsoft.com/office/drawing/2014/main" id="{317BAB73-C5CE-4619-A9AD-C0B966BEE94A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216">
            <a:extLst>
              <a:ext uri="{FF2B5EF4-FFF2-40B4-BE49-F238E27FC236}">
                <a16:creationId xmlns:a16="http://schemas.microsoft.com/office/drawing/2014/main" id="{C482453E-C084-4D39-85B1-16DB9FB023B3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Straight Connector 217">
            <a:extLst>
              <a:ext uri="{FF2B5EF4-FFF2-40B4-BE49-F238E27FC236}">
                <a16:creationId xmlns:a16="http://schemas.microsoft.com/office/drawing/2014/main" id="{996D8F11-8BA2-463B-A527-C409663112DF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Connector 218">
            <a:extLst>
              <a:ext uri="{FF2B5EF4-FFF2-40B4-BE49-F238E27FC236}">
                <a16:creationId xmlns:a16="http://schemas.microsoft.com/office/drawing/2014/main" id="{DD219CF3-47EA-466A-A9C1-9B00647B901C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Straight Connector 219">
            <a:extLst>
              <a:ext uri="{FF2B5EF4-FFF2-40B4-BE49-F238E27FC236}">
                <a16:creationId xmlns:a16="http://schemas.microsoft.com/office/drawing/2014/main" id="{E85BCD02-A5E6-43B2-A5F8-9923B0737F9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1" name="Straight Connector 220">
            <a:extLst>
              <a:ext uri="{FF2B5EF4-FFF2-40B4-BE49-F238E27FC236}">
                <a16:creationId xmlns:a16="http://schemas.microsoft.com/office/drawing/2014/main" id="{67404F49-3CF2-42CA-AB41-2DBD6ECB3D67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2" name="Isosceles Triangle 221">
            <a:extLst>
              <a:ext uri="{FF2B5EF4-FFF2-40B4-BE49-F238E27FC236}">
                <a16:creationId xmlns:a16="http://schemas.microsoft.com/office/drawing/2014/main" id="{BEEEF883-03B2-4372-B787-4DEBB45BC28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23" name="Isosceles Triangle 222">
            <a:extLst>
              <a:ext uri="{FF2B5EF4-FFF2-40B4-BE49-F238E27FC236}">
                <a16:creationId xmlns:a16="http://schemas.microsoft.com/office/drawing/2014/main" id="{ECB65BFE-5399-4765-8EE5-8C6450AEB247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24" name="Group 73">
            <a:extLst>
              <a:ext uri="{FF2B5EF4-FFF2-40B4-BE49-F238E27FC236}">
                <a16:creationId xmlns:a16="http://schemas.microsoft.com/office/drawing/2014/main" id="{5CA5581A-F5BE-4F5A-9D67-E318D11FF960}"/>
              </a:ext>
            </a:extLst>
          </xdr:cNvPr>
          <xdr:cNvGrpSpPr/>
        </xdr:nvGrpSpPr>
        <xdr:grpSpPr>
          <a:xfrm>
            <a:off x="9893935" y="2006659"/>
            <a:ext cx="197304" cy="125136"/>
            <a:chOff x="9849712" y="2062724"/>
            <a:chExt cx="197304" cy="128441"/>
          </a:xfrm>
        </xdr:grpSpPr>
        <xdr:sp macro="" textlink="">
          <xdr:nvSpPr>
            <xdr:cNvPr id="250" name="TextBox 249">
              <a:extLst>
                <a:ext uri="{FF2B5EF4-FFF2-40B4-BE49-F238E27FC236}">
                  <a16:creationId xmlns:a16="http://schemas.microsoft.com/office/drawing/2014/main" id="{4D56A19F-ADAF-421C-8BF6-7FAC6D9A37EC}"/>
                </a:ext>
              </a:extLst>
            </xdr:cNvPr>
            <xdr:cNvSpPr txBox="1"/>
          </xdr:nvSpPr>
          <xdr:spPr>
            <a:xfrm>
              <a:off x="9849712" y="2078906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251" name="Straight Connector 250">
              <a:extLst>
                <a:ext uri="{FF2B5EF4-FFF2-40B4-BE49-F238E27FC236}">
                  <a16:creationId xmlns:a16="http://schemas.microsoft.com/office/drawing/2014/main" id="{E0E31722-31A9-4FDD-B751-C6760F5CC8B0}"/>
                </a:ext>
              </a:extLst>
            </xdr:cNvPr>
            <xdr:cNvCxnSpPr/>
          </xdr:nvCxnSpPr>
          <xdr:spPr>
            <a:xfrm rot="5400000" flipH="1" flipV="1">
              <a:off x="9890169" y="2101844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25" name="Group 74">
            <a:extLst>
              <a:ext uri="{FF2B5EF4-FFF2-40B4-BE49-F238E27FC236}">
                <a16:creationId xmlns:a16="http://schemas.microsoft.com/office/drawing/2014/main" id="{A8FFD95C-9CDD-4797-B6D8-26909F4F96E2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248" name="TextBox 247">
              <a:extLst>
                <a:ext uri="{FF2B5EF4-FFF2-40B4-BE49-F238E27FC236}">
                  <a16:creationId xmlns:a16="http://schemas.microsoft.com/office/drawing/2014/main" id="{AA9BC250-5498-4C54-939D-AC5282E6B817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249" name="Straight Connector 248">
              <a:extLst>
                <a:ext uri="{FF2B5EF4-FFF2-40B4-BE49-F238E27FC236}">
                  <a16:creationId xmlns:a16="http://schemas.microsoft.com/office/drawing/2014/main" id="{6649A66A-10E8-4686-B4AC-6532CAA069E4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26" name="Group 89">
            <a:extLst>
              <a:ext uri="{FF2B5EF4-FFF2-40B4-BE49-F238E27FC236}">
                <a16:creationId xmlns:a16="http://schemas.microsoft.com/office/drawing/2014/main" id="{F06B2A0F-D028-4E0E-ACA2-28BA04B5071C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44" name="Straight Connector 243">
              <a:extLst>
                <a:ext uri="{FF2B5EF4-FFF2-40B4-BE49-F238E27FC236}">
                  <a16:creationId xmlns:a16="http://schemas.microsoft.com/office/drawing/2014/main" id="{63115335-846B-493E-A64F-2EE0C72999F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5" name="Straight Connector 79">
              <a:extLst>
                <a:ext uri="{FF2B5EF4-FFF2-40B4-BE49-F238E27FC236}">
                  <a16:creationId xmlns:a16="http://schemas.microsoft.com/office/drawing/2014/main" id="{8C1CC1D4-6E87-4FDD-AB99-31394CB9BD42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6" name="Straight Connector 80">
              <a:extLst>
                <a:ext uri="{FF2B5EF4-FFF2-40B4-BE49-F238E27FC236}">
                  <a16:creationId xmlns:a16="http://schemas.microsoft.com/office/drawing/2014/main" id="{9EA60A9C-2DBE-4FE7-A009-DF8B845AAC3C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7" name="Straight Connector 88">
              <a:extLst>
                <a:ext uri="{FF2B5EF4-FFF2-40B4-BE49-F238E27FC236}">
                  <a16:creationId xmlns:a16="http://schemas.microsoft.com/office/drawing/2014/main" id="{B2F5F942-24A3-43D0-AAD2-88A50252DB8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27" name="Group 90">
            <a:extLst>
              <a:ext uri="{FF2B5EF4-FFF2-40B4-BE49-F238E27FC236}">
                <a16:creationId xmlns:a16="http://schemas.microsoft.com/office/drawing/2014/main" id="{9A940029-6F27-4292-AC74-5493827CFC15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240" name="Straight Connector 239">
              <a:extLst>
                <a:ext uri="{FF2B5EF4-FFF2-40B4-BE49-F238E27FC236}">
                  <a16:creationId xmlns:a16="http://schemas.microsoft.com/office/drawing/2014/main" id="{4C1D099C-8778-44E6-8C78-AD1F1ACFBA28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1" name="Straight Connector 240">
              <a:extLst>
                <a:ext uri="{FF2B5EF4-FFF2-40B4-BE49-F238E27FC236}">
                  <a16:creationId xmlns:a16="http://schemas.microsoft.com/office/drawing/2014/main" id="{AAC63722-7A30-478A-B45B-1456BC3186DC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2" name="Straight Connector 241">
              <a:extLst>
                <a:ext uri="{FF2B5EF4-FFF2-40B4-BE49-F238E27FC236}">
                  <a16:creationId xmlns:a16="http://schemas.microsoft.com/office/drawing/2014/main" id="{BA871B35-647A-4B04-84EF-62437BAEAACD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3" name="Straight Connector 242">
              <a:extLst>
                <a:ext uri="{FF2B5EF4-FFF2-40B4-BE49-F238E27FC236}">
                  <a16:creationId xmlns:a16="http://schemas.microsoft.com/office/drawing/2014/main" id="{3B69B550-9AC2-4A06-906D-E7FC5B3B3A8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BE05D94F-E64A-4796-8C18-B4EFEE59EC19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9" name="Straight Connector 228">
            <a:extLst>
              <a:ext uri="{FF2B5EF4-FFF2-40B4-BE49-F238E27FC236}">
                <a16:creationId xmlns:a16="http://schemas.microsoft.com/office/drawing/2014/main" id="{D52D68DA-EFE2-4F68-8B6B-B0B529B34783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Arrow Connector 229">
            <a:extLst>
              <a:ext uri="{FF2B5EF4-FFF2-40B4-BE49-F238E27FC236}">
                <a16:creationId xmlns:a16="http://schemas.microsoft.com/office/drawing/2014/main" id="{C9561D79-2A25-4C9F-BAEA-1D366E03733A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1" name="Straight Arrow Connector 230">
            <a:extLst>
              <a:ext uri="{FF2B5EF4-FFF2-40B4-BE49-F238E27FC236}">
                <a16:creationId xmlns:a16="http://schemas.microsoft.com/office/drawing/2014/main" id="{35AA41E8-4430-489F-9F06-FB6D35D7131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32" name="Group 155">
            <a:extLst>
              <a:ext uri="{FF2B5EF4-FFF2-40B4-BE49-F238E27FC236}">
                <a16:creationId xmlns:a16="http://schemas.microsoft.com/office/drawing/2014/main" id="{9439C3AB-5D49-487E-9796-2644555C31CB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237" name="Isosceles Triangle 236">
              <a:extLst>
                <a:ext uri="{FF2B5EF4-FFF2-40B4-BE49-F238E27FC236}">
                  <a16:creationId xmlns:a16="http://schemas.microsoft.com/office/drawing/2014/main" id="{9B3E1F75-4082-4486-A1F6-2046542209F7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38" name="Isosceles Triangle 237">
              <a:extLst>
                <a:ext uri="{FF2B5EF4-FFF2-40B4-BE49-F238E27FC236}">
                  <a16:creationId xmlns:a16="http://schemas.microsoft.com/office/drawing/2014/main" id="{FBA7ED6F-8FD4-430B-86C6-A53FE094FC5A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39" name="Isosceles Triangle 238">
              <a:extLst>
                <a:ext uri="{FF2B5EF4-FFF2-40B4-BE49-F238E27FC236}">
                  <a16:creationId xmlns:a16="http://schemas.microsoft.com/office/drawing/2014/main" id="{3E22FE06-8CC4-4700-904A-12589EB89B97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233" name="Group 134">
            <a:extLst>
              <a:ext uri="{FF2B5EF4-FFF2-40B4-BE49-F238E27FC236}">
                <a16:creationId xmlns:a16="http://schemas.microsoft.com/office/drawing/2014/main" id="{59F5C9D3-5859-48BC-B0F5-DDBC90AF3D6D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234" name="Isosceles Triangle 233">
              <a:extLst>
                <a:ext uri="{FF2B5EF4-FFF2-40B4-BE49-F238E27FC236}">
                  <a16:creationId xmlns:a16="http://schemas.microsoft.com/office/drawing/2014/main" id="{055142A3-77EB-4381-94EA-9528092CC8F4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35" name="Isosceles Triangle 234">
              <a:extLst>
                <a:ext uri="{FF2B5EF4-FFF2-40B4-BE49-F238E27FC236}">
                  <a16:creationId xmlns:a16="http://schemas.microsoft.com/office/drawing/2014/main" id="{DED9E11E-E33A-43A8-B3DE-6197448799D6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36" name="Isosceles Triangle 235">
              <a:extLst>
                <a:ext uri="{FF2B5EF4-FFF2-40B4-BE49-F238E27FC236}">
                  <a16:creationId xmlns:a16="http://schemas.microsoft.com/office/drawing/2014/main" id="{965E7F4E-B675-4F45-AB05-4D7669E1A37C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5</xdr:col>
      <xdr:colOff>47625</xdr:colOff>
      <xdr:row>12</xdr:row>
      <xdr:rowOff>85356</xdr:rowOff>
    </xdr:from>
    <xdr:to>
      <xdr:col>19</xdr:col>
      <xdr:colOff>59531</xdr:colOff>
      <xdr:row>13</xdr:row>
      <xdr:rowOff>2012</xdr:rowOff>
    </xdr:to>
    <xdr:cxnSp macro="">
      <xdr:nvCxnSpPr>
        <xdr:cNvPr id="258" name="Straight Connector 257">
          <a:extLst>
            <a:ext uri="{FF2B5EF4-FFF2-40B4-BE49-F238E27FC236}">
              <a16:creationId xmlns:a16="http://schemas.microsoft.com/office/drawing/2014/main" id="{5DD2E99D-AA18-4CBA-B5BA-1BBEE14CC2FA}"/>
            </a:ext>
          </a:extLst>
        </xdr:cNvPr>
        <xdr:cNvCxnSpPr/>
      </xdr:nvCxnSpPr>
      <xdr:spPr>
        <a:xfrm>
          <a:off x="1495425" y="1933206"/>
          <a:ext cx="5345906" cy="78581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129089</xdr:colOff>
      <xdr:row>36</xdr:row>
      <xdr:rowOff>127691</xdr:rowOff>
    </xdr:from>
    <xdr:to>
      <xdr:col>13</xdr:col>
      <xdr:colOff>229352</xdr:colOff>
      <xdr:row>39</xdr:row>
      <xdr:rowOff>8279</xdr:rowOff>
    </xdr:to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28523898-5BC0-47F5-B7AC-4F8A1E298D93}"/>
            </a:ext>
          </a:extLst>
        </xdr:cNvPr>
        <xdr:cNvSpPr txBox="1"/>
      </xdr:nvSpPr>
      <xdr:spPr>
        <a:xfrm>
          <a:off x="4243889" y="5633141"/>
          <a:ext cx="481263" cy="356838"/>
        </a:xfrm>
        <a:prstGeom prst="rect">
          <a:avLst/>
        </a:prstGeom>
        <a:solidFill>
          <a:schemeClr val="accen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600" b="1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PABRIK ES</a:t>
          </a:r>
          <a:endParaRPr lang="id-ID" sz="600" b="1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300903</xdr:colOff>
      <xdr:row>35</xdr:row>
      <xdr:rowOff>2445</xdr:rowOff>
    </xdr:from>
    <xdr:to>
      <xdr:col>17</xdr:col>
      <xdr:colOff>166688</xdr:colOff>
      <xdr:row>38</xdr:row>
      <xdr:rowOff>25825</xdr:rowOff>
    </xdr:to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6696946E-9043-4D14-A0CC-1CA7624C1356}"/>
            </a:ext>
          </a:extLst>
        </xdr:cNvPr>
        <xdr:cNvSpPr txBox="1"/>
      </xdr:nvSpPr>
      <xdr:spPr>
        <a:xfrm>
          <a:off x="5558703" y="5355495"/>
          <a:ext cx="627785" cy="49963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C11-200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CA3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CJ6-T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15</xdr:col>
      <xdr:colOff>378619</xdr:colOff>
      <xdr:row>9</xdr:row>
      <xdr:rowOff>90119</xdr:rowOff>
    </xdr:from>
    <xdr:to>
      <xdr:col>16</xdr:col>
      <xdr:colOff>127447</xdr:colOff>
      <xdr:row>10</xdr:row>
      <xdr:rowOff>66711</xdr:rowOff>
    </xdr:to>
    <xdr:grpSp>
      <xdr:nvGrpSpPr>
        <xdr:cNvPr id="261" name="Group 260">
          <a:extLst>
            <a:ext uri="{FF2B5EF4-FFF2-40B4-BE49-F238E27FC236}">
              <a16:creationId xmlns:a16="http://schemas.microsoft.com/office/drawing/2014/main" id="{7E986C52-BAC2-4905-AD38-EFFCFBFB2F17}"/>
            </a:ext>
          </a:extLst>
        </xdr:cNvPr>
        <xdr:cNvGrpSpPr/>
      </xdr:nvGrpSpPr>
      <xdr:grpSpPr>
        <a:xfrm>
          <a:off x="5646358" y="1465032"/>
          <a:ext cx="129828" cy="12567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62" name="Oval 261">
            <a:extLst>
              <a:ext uri="{FF2B5EF4-FFF2-40B4-BE49-F238E27FC236}">
                <a16:creationId xmlns:a16="http://schemas.microsoft.com/office/drawing/2014/main" id="{A7D3CB6F-4370-4852-924C-43F4B314F65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3" name="Straight Connector 262">
            <a:extLst>
              <a:ext uri="{FF2B5EF4-FFF2-40B4-BE49-F238E27FC236}">
                <a16:creationId xmlns:a16="http://schemas.microsoft.com/office/drawing/2014/main" id="{4101C48D-EA05-40DD-BFFD-0077746852B7}"/>
              </a:ext>
            </a:extLst>
          </xdr:cNvPr>
          <xdr:cNvCxnSpPr>
            <a:stCxn id="262" idx="1"/>
            <a:endCxn id="26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4" name="Straight Connector 263">
            <a:extLst>
              <a:ext uri="{FF2B5EF4-FFF2-40B4-BE49-F238E27FC236}">
                <a16:creationId xmlns:a16="http://schemas.microsoft.com/office/drawing/2014/main" id="{58E1978F-8984-4E31-8B88-B0FE7CDBDFC3}"/>
              </a:ext>
            </a:extLst>
          </xdr:cNvPr>
          <xdr:cNvCxnSpPr>
            <a:stCxn id="262" idx="3"/>
            <a:endCxn id="26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79970</xdr:colOff>
      <xdr:row>12</xdr:row>
      <xdr:rowOff>19051</xdr:rowOff>
    </xdr:from>
    <xdr:to>
      <xdr:col>16</xdr:col>
      <xdr:colOff>266700</xdr:colOff>
      <xdr:row>13</xdr:row>
      <xdr:rowOff>66432</xdr:rowOff>
    </xdr:to>
    <xdr:sp macro="" textlink="">
      <xdr:nvSpPr>
        <xdr:cNvPr id="265" name="Isosceles Triangle 264">
          <a:extLst>
            <a:ext uri="{FF2B5EF4-FFF2-40B4-BE49-F238E27FC236}">
              <a16:creationId xmlns:a16="http://schemas.microsoft.com/office/drawing/2014/main" id="{57CA85B2-D3F0-4A96-8E9D-C71F46D34E4D}"/>
            </a:ext>
          </a:extLst>
        </xdr:cNvPr>
        <xdr:cNvSpPr/>
      </xdr:nvSpPr>
      <xdr:spPr>
        <a:xfrm>
          <a:off x="5718770" y="1866901"/>
          <a:ext cx="186730" cy="20930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200025</xdr:colOff>
      <xdr:row>15</xdr:row>
      <xdr:rowOff>36431</xdr:rowOff>
    </xdr:from>
    <xdr:to>
      <xdr:col>18</xdr:col>
      <xdr:colOff>80963</xdr:colOff>
      <xdr:row>23</xdr:row>
      <xdr:rowOff>73450</xdr:rowOff>
    </xdr:to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532567C5-25E6-4758-9AF8-3596CCBAB51C}"/>
            </a:ext>
          </a:extLst>
        </xdr:cNvPr>
        <xdr:cNvSpPr txBox="1"/>
      </xdr:nvSpPr>
      <xdr:spPr>
        <a:xfrm>
          <a:off x="5838825" y="2351006"/>
          <a:ext cx="642938" cy="125621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 b="1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SYG5-96/83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CC1A</a:t>
          </a:r>
        </a:p>
        <a:p>
          <a:pPr algn="l"/>
          <a:r>
            <a:rPr lang="en-US" sz="700" b="0" u="none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CA9-N</a:t>
          </a:r>
        </a:p>
        <a:p>
          <a:pPr algn="l"/>
          <a:r>
            <a:rPr lang="en-US" sz="700" b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CM5-9</a:t>
          </a:r>
        </a:p>
        <a:p>
          <a:pPr algn="l"/>
          <a:r>
            <a:rPr lang="en-US" sz="700" b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CJ5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CA6-N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CG312A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12</xdr:col>
      <xdr:colOff>178594</xdr:colOff>
      <xdr:row>35</xdr:row>
      <xdr:rowOff>85356</xdr:rowOff>
    </xdr:from>
    <xdr:to>
      <xdr:col>14</xdr:col>
      <xdr:colOff>226220</xdr:colOff>
      <xdr:row>35</xdr:row>
      <xdr:rowOff>93894</xdr:rowOff>
    </xdr:to>
    <xdr:cxnSp macro="">
      <xdr:nvCxnSpPr>
        <xdr:cNvPr id="267" name="Straight Connector 266">
          <a:extLst>
            <a:ext uri="{FF2B5EF4-FFF2-40B4-BE49-F238E27FC236}">
              <a16:creationId xmlns:a16="http://schemas.microsoft.com/office/drawing/2014/main" id="{C667E22F-FF86-4B5F-B916-8032CA83988B}"/>
            </a:ext>
          </a:extLst>
        </xdr:cNvPr>
        <xdr:cNvCxnSpPr>
          <a:stCxn id="284" idx="6"/>
          <a:endCxn id="300" idx="2"/>
        </xdr:cNvCxnSpPr>
      </xdr:nvCxnSpPr>
      <xdr:spPr>
        <a:xfrm>
          <a:off x="4293394" y="5438406"/>
          <a:ext cx="809626" cy="853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245233</xdr:colOff>
      <xdr:row>29</xdr:row>
      <xdr:rowOff>137305</xdr:rowOff>
    </xdr:from>
    <xdr:to>
      <xdr:col>15</xdr:col>
      <xdr:colOff>369094</xdr:colOff>
      <xdr:row>35</xdr:row>
      <xdr:rowOff>47772</xdr:rowOff>
    </xdr:to>
    <xdr:cxnSp macro="">
      <xdr:nvCxnSpPr>
        <xdr:cNvPr id="268" name="Straight Connector 267">
          <a:extLst>
            <a:ext uri="{FF2B5EF4-FFF2-40B4-BE49-F238E27FC236}">
              <a16:creationId xmlns:a16="http://schemas.microsoft.com/office/drawing/2014/main" id="{60C62EDC-7902-4300-9592-E63F73C1AC8A}"/>
            </a:ext>
          </a:extLst>
        </xdr:cNvPr>
        <xdr:cNvCxnSpPr>
          <a:stCxn id="296" idx="2"/>
          <a:endCxn id="300" idx="1"/>
        </xdr:cNvCxnSpPr>
      </xdr:nvCxnSpPr>
      <xdr:spPr>
        <a:xfrm flipH="1">
          <a:off x="5122033" y="4585480"/>
          <a:ext cx="504861" cy="815342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26484</xdr:colOff>
      <xdr:row>36</xdr:row>
      <xdr:rowOff>116788</xdr:rowOff>
    </xdr:from>
    <xdr:to>
      <xdr:col>14</xdr:col>
      <xdr:colOff>30935</xdr:colOff>
      <xdr:row>37</xdr:row>
      <xdr:rowOff>57801</xdr:rowOff>
    </xdr:to>
    <xdr:cxnSp macro="">
      <xdr:nvCxnSpPr>
        <xdr:cNvPr id="269" name="Straight Connector 268">
          <a:extLst>
            <a:ext uri="{FF2B5EF4-FFF2-40B4-BE49-F238E27FC236}">
              <a16:creationId xmlns:a16="http://schemas.microsoft.com/office/drawing/2014/main" id="{4D9A52E4-C3BE-4BC4-BBA9-E2D8554F878C}"/>
            </a:ext>
          </a:extLst>
        </xdr:cNvPr>
        <xdr:cNvCxnSpPr/>
      </xdr:nvCxnSpPr>
      <xdr:spPr>
        <a:xfrm flipV="1">
          <a:off x="4903284" y="5622238"/>
          <a:ext cx="4451" cy="102938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63215</xdr:colOff>
      <xdr:row>36</xdr:row>
      <xdr:rowOff>92286</xdr:rowOff>
    </xdr:from>
    <xdr:to>
      <xdr:col>14</xdr:col>
      <xdr:colOff>67666</xdr:colOff>
      <xdr:row>37</xdr:row>
      <xdr:rowOff>19945</xdr:rowOff>
    </xdr:to>
    <xdr:cxnSp macro="">
      <xdr:nvCxnSpPr>
        <xdr:cNvPr id="270" name="Straight Connector 269">
          <a:extLst>
            <a:ext uri="{FF2B5EF4-FFF2-40B4-BE49-F238E27FC236}">
              <a16:creationId xmlns:a16="http://schemas.microsoft.com/office/drawing/2014/main" id="{6B391D95-BBAF-4EC2-99ED-EDD878D442FC}"/>
            </a:ext>
          </a:extLst>
        </xdr:cNvPr>
        <xdr:cNvCxnSpPr/>
      </xdr:nvCxnSpPr>
      <xdr:spPr>
        <a:xfrm flipV="1">
          <a:off x="4940015" y="5597736"/>
          <a:ext cx="4451" cy="89584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130969</xdr:colOff>
      <xdr:row>10</xdr:row>
      <xdr:rowOff>109169</xdr:rowOff>
    </xdr:from>
    <xdr:to>
      <xdr:col>5</xdr:col>
      <xdr:colOff>311137</xdr:colOff>
      <xdr:row>11</xdr:row>
      <xdr:rowOff>85356</xdr:rowOff>
    </xdr:to>
    <xdr:sp macro="" textlink="">
      <xdr:nvSpPr>
        <xdr:cNvPr id="271" name="Isosceles Triangle 270">
          <a:extLst>
            <a:ext uri="{FF2B5EF4-FFF2-40B4-BE49-F238E27FC236}">
              <a16:creationId xmlns:a16="http://schemas.microsoft.com/office/drawing/2014/main" id="{AEB398A0-893F-4B2B-8D74-1D083A79F8CB}"/>
            </a:ext>
          </a:extLst>
        </xdr:cNvPr>
        <xdr:cNvSpPr/>
      </xdr:nvSpPr>
      <xdr:spPr>
        <a:xfrm>
          <a:off x="1578769" y="1652219"/>
          <a:ext cx="180168" cy="128587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219538</xdr:colOff>
      <xdr:row>35</xdr:row>
      <xdr:rowOff>49833</xdr:rowOff>
    </xdr:from>
    <xdr:to>
      <xdr:col>13</xdr:col>
      <xdr:colOff>321598</xdr:colOff>
      <xdr:row>35</xdr:row>
      <xdr:rowOff>126194</xdr:rowOff>
    </xdr:to>
    <xdr:grpSp>
      <xdr:nvGrpSpPr>
        <xdr:cNvPr id="272" name="Group 271">
          <a:extLst>
            <a:ext uri="{FF2B5EF4-FFF2-40B4-BE49-F238E27FC236}">
              <a16:creationId xmlns:a16="http://schemas.microsoft.com/office/drawing/2014/main" id="{5C9BFBB4-CE88-414D-A23F-7EA777541A2E}"/>
            </a:ext>
          </a:extLst>
        </xdr:cNvPr>
        <xdr:cNvGrpSpPr/>
      </xdr:nvGrpSpPr>
      <xdr:grpSpPr>
        <a:xfrm rot="4396012">
          <a:off x="4738126" y="5296441"/>
          <a:ext cx="76361" cy="102060"/>
          <a:chOff x="4078687" y="2936713"/>
          <a:chExt cx="79159" cy="99180"/>
        </a:xfrm>
      </xdr:grpSpPr>
      <xdr:cxnSp macro="">
        <xdr:nvCxnSpPr>
          <xdr:cNvPr id="273" name="Straight Connector 272">
            <a:extLst>
              <a:ext uri="{FF2B5EF4-FFF2-40B4-BE49-F238E27FC236}">
                <a16:creationId xmlns:a16="http://schemas.microsoft.com/office/drawing/2014/main" id="{87DD6D05-5E9E-42AE-996B-CD4B8005F230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4" name="Straight Connector 273">
            <a:extLst>
              <a:ext uri="{FF2B5EF4-FFF2-40B4-BE49-F238E27FC236}">
                <a16:creationId xmlns:a16="http://schemas.microsoft.com/office/drawing/2014/main" id="{D3235A8E-C6F4-4A67-A7C7-4E646BC32633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5" name="Straight Connector 274">
            <a:extLst>
              <a:ext uri="{FF2B5EF4-FFF2-40B4-BE49-F238E27FC236}">
                <a16:creationId xmlns:a16="http://schemas.microsoft.com/office/drawing/2014/main" id="{366540C9-2281-44A2-80E6-E67AA7CEF906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0</xdr:colOff>
      <xdr:row>10</xdr:row>
      <xdr:rowOff>121075</xdr:rowOff>
    </xdr:from>
    <xdr:to>
      <xdr:col>6</xdr:col>
      <xdr:colOff>129828</xdr:colOff>
      <xdr:row>11</xdr:row>
      <xdr:rowOff>97667</xdr:rowOff>
    </xdr:to>
    <xdr:grpSp>
      <xdr:nvGrpSpPr>
        <xdr:cNvPr id="276" name="Group 275">
          <a:extLst>
            <a:ext uri="{FF2B5EF4-FFF2-40B4-BE49-F238E27FC236}">
              <a16:creationId xmlns:a16="http://schemas.microsoft.com/office/drawing/2014/main" id="{FB7EE10B-ECF5-4118-9EA8-C325EABDEDE4}"/>
            </a:ext>
          </a:extLst>
        </xdr:cNvPr>
        <xdr:cNvGrpSpPr/>
      </xdr:nvGrpSpPr>
      <xdr:grpSpPr>
        <a:xfrm>
          <a:off x="1838739" y="1645075"/>
          <a:ext cx="129828" cy="12567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77" name="Oval 276">
            <a:extLst>
              <a:ext uri="{FF2B5EF4-FFF2-40B4-BE49-F238E27FC236}">
                <a16:creationId xmlns:a16="http://schemas.microsoft.com/office/drawing/2014/main" id="{74C0DA68-A8A5-45E6-A08D-0017035CC96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8" name="Straight Connector 277">
            <a:extLst>
              <a:ext uri="{FF2B5EF4-FFF2-40B4-BE49-F238E27FC236}">
                <a16:creationId xmlns:a16="http://schemas.microsoft.com/office/drawing/2014/main" id="{40DCFAB9-11C0-4213-B0D3-922FC3EDEB79}"/>
              </a:ext>
            </a:extLst>
          </xdr:cNvPr>
          <xdr:cNvCxnSpPr>
            <a:stCxn id="277" idx="1"/>
            <a:endCxn id="27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9" name="Straight Connector 278">
            <a:extLst>
              <a:ext uri="{FF2B5EF4-FFF2-40B4-BE49-F238E27FC236}">
                <a16:creationId xmlns:a16="http://schemas.microsoft.com/office/drawing/2014/main" id="{0C4464DF-734B-4763-8C49-0860CA970A71}"/>
              </a:ext>
            </a:extLst>
          </xdr:cNvPr>
          <xdr:cNvCxnSpPr>
            <a:stCxn id="277" idx="3"/>
            <a:endCxn id="27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238126</xdr:colOff>
      <xdr:row>13</xdr:row>
      <xdr:rowOff>142506</xdr:rowOff>
    </xdr:from>
    <xdr:to>
      <xdr:col>18</xdr:col>
      <xdr:colOff>367954</xdr:colOff>
      <xdr:row>14</xdr:row>
      <xdr:rowOff>121479</xdr:rowOff>
    </xdr:to>
    <xdr:grpSp>
      <xdr:nvGrpSpPr>
        <xdr:cNvPr id="280" name="Group 279">
          <a:extLst>
            <a:ext uri="{FF2B5EF4-FFF2-40B4-BE49-F238E27FC236}">
              <a16:creationId xmlns:a16="http://schemas.microsoft.com/office/drawing/2014/main" id="{0EAC7ED9-EBB8-4ABD-BDE3-94CB172C3A49}"/>
            </a:ext>
          </a:extLst>
        </xdr:cNvPr>
        <xdr:cNvGrpSpPr/>
      </xdr:nvGrpSpPr>
      <xdr:grpSpPr>
        <a:xfrm>
          <a:off x="6648865" y="2130332"/>
          <a:ext cx="129828" cy="12806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81" name="Oval 280">
            <a:extLst>
              <a:ext uri="{FF2B5EF4-FFF2-40B4-BE49-F238E27FC236}">
                <a16:creationId xmlns:a16="http://schemas.microsoft.com/office/drawing/2014/main" id="{85F1F125-11E6-412E-9009-583CAE18E48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82" name="Straight Connector 281">
            <a:extLst>
              <a:ext uri="{FF2B5EF4-FFF2-40B4-BE49-F238E27FC236}">
                <a16:creationId xmlns:a16="http://schemas.microsoft.com/office/drawing/2014/main" id="{F55403D8-DF75-4289-86C0-DDB81E32FC52}"/>
              </a:ext>
            </a:extLst>
          </xdr:cNvPr>
          <xdr:cNvCxnSpPr>
            <a:stCxn id="281" idx="1"/>
            <a:endCxn id="28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3" name="Straight Connector 282">
            <a:extLst>
              <a:ext uri="{FF2B5EF4-FFF2-40B4-BE49-F238E27FC236}">
                <a16:creationId xmlns:a16="http://schemas.microsoft.com/office/drawing/2014/main" id="{A1A7C14E-18BB-4514-B7FA-734E8B2BE90B}"/>
              </a:ext>
            </a:extLst>
          </xdr:cNvPr>
          <xdr:cNvCxnSpPr>
            <a:stCxn id="281" idx="3"/>
            <a:endCxn id="28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23813</xdr:colOff>
      <xdr:row>35</xdr:row>
      <xdr:rowOff>2012</xdr:rowOff>
    </xdr:from>
    <xdr:to>
      <xdr:col>12</xdr:col>
      <xdr:colOff>178594</xdr:colOff>
      <xdr:row>36</xdr:row>
      <xdr:rowOff>13918</xdr:rowOff>
    </xdr:to>
    <xdr:sp macro="" textlink="">
      <xdr:nvSpPr>
        <xdr:cNvPr id="284" name="Oval 283">
          <a:extLst>
            <a:ext uri="{FF2B5EF4-FFF2-40B4-BE49-F238E27FC236}">
              <a16:creationId xmlns:a16="http://schemas.microsoft.com/office/drawing/2014/main" id="{054BDF72-DDEB-46C9-BB58-0563F0DDF40B}"/>
            </a:ext>
          </a:extLst>
        </xdr:cNvPr>
        <xdr:cNvSpPr/>
      </xdr:nvSpPr>
      <xdr:spPr>
        <a:xfrm>
          <a:off x="4138613" y="5355062"/>
          <a:ext cx="154781" cy="164306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337035</xdr:colOff>
      <xdr:row>29</xdr:row>
      <xdr:rowOff>139137</xdr:rowOff>
    </xdr:from>
    <xdr:to>
      <xdr:col>16</xdr:col>
      <xdr:colOff>117922</xdr:colOff>
      <xdr:row>35</xdr:row>
      <xdr:rowOff>137959</xdr:rowOff>
    </xdr:to>
    <xdr:cxnSp macro="">
      <xdr:nvCxnSpPr>
        <xdr:cNvPr id="285" name="Straight Connector 284">
          <a:extLst>
            <a:ext uri="{FF2B5EF4-FFF2-40B4-BE49-F238E27FC236}">
              <a16:creationId xmlns:a16="http://schemas.microsoft.com/office/drawing/2014/main" id="{D33D4C96-4B6A-41AD-B910-56FD791C57B6}"/>
            </a:ext>
          </a:extLst>
        </xdr:cNvPr>
        <xdr:cNvCxnSpPr>
          <a:stCxn id="296" idx="6"/>
          <a:endCxn id="300" idx="5"/>
        </xdr:cNvCxnSpPr>
      </xdr:nvCxnSpPr>
      <xdr:spPr>
        <a:xfrm flipH="1">
          <a:off x="5213835" y="4587312"/>
          <a:ext cx="542887" cy="903697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98909</xdr:colOff>
      <xdr:row>14</xdr:row>
      <xdr:rowOff>55793</xdr:rowOff>
    </xdr:from>
    <xdr:to>
      <xdr:col>16</xdr:col>
      <xdr:colOff>129828</xdr:colOff>
      <xdr:row>30</xdr:row>
      <xdr:rowOff>42709</xdr:rowOff>
    </xdr:to>
    <xdr:cxnSp macro="">
      <xdr:nvCxnSpPr>
        <xdr:cNvPr id="286" name="Straight Connector 285">
          <a:extLst>
            <a:ext uri="{FF2B5EF4-FFF2-40B4-BE49-F238E27FC236}">
              <a16:creationId xmlns:a16="http://schemas.microsoft.com/office/drawing/2014/main" id="{972B70FA-F0DB-43E5-8F3A-43A0F871E896}"/>
            </a:ext>
          </a:extLst>
        </xdr:cNvPr>
        <xdr:cNvCxnSpPr>
          <a:stCxn id="310" idx="6"/>
          <a:endCxn id="296" idx="5"/>
        </xdr:cNvCxnSpPr>
      </xdr:nvCxnSpPr>
      <xdr:spPr>
        <a:xfrm flipH="1">
          <a:off x="5737709" y="2217968"/>
          <a:ext cx="30919" cy="2415791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4762</xdr:colOff>
      <xdr:row>18</xdr:row>
      <xdr:rowOff>111550</xdr:rowOff>
    </xdr:from>
    <xdr:to>
      <xdr:col>16</xdr:col>
      <xdr:colOff>134590</xdr:colOff>
      <xdr:row>19</xdr:row>
      <xdr:rowOff>88141</xdr:rowOff>
    </xdr:to>
    <xdr:grpSp>
      <xdr:nvGrpSpPr>
        <xdr:cNvPr id="287" name="Group 286">
          <a:extLst>
            <a:ext uri="{FF2B5EF4-FFF2-40B4-BE49-F238E27FC236}">
              <a16:creationId xmlns:a16="http://schemas.microsoft.com/office/drawing/2014/main" id="{CF2938BE-77AE-46D1-A42D-F4A33F7D689A}"/>
            </a:ext>
          </a:extLst>
        </xdr:cNvPr>
        <xdr:cNvGrpSpPr/>
      </xdr:nvGrpSpPr>
      <xdr:grpSpPr>
        <a:xfrm>
          <a:off x="5653501" y="2844811"/>
          <a:ext cx="129828" cy="12567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88" name="Oval 287">
            <a:extLst>
              <a:ext uri="{FF2B5EF4-FFF2-40B4-BE49-F238E27FC236}">
                <a16:creationId xmlns:a16="http://schemas.microsoft.com/office/drawing/2014/main" id="{C51DCC7E-B402-4A22-8D1D-F4B2F495070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89" name="Straight Connector 288">
            <a:extLst>
              <a:ext uri="{FF2B5EF4-FFF2-40B4-BE49-F238E27FC236}">
                <a16:creationId xmlns:a16="http://schemas.microsoft.com/office/drawing/2014/main" id="{82F80E12-9C2D-4536-92B5-85B898F81C86}"/>
              </a:ext>
            </a:extLst>
          </xdr:cNvPr>
          <xdr:cNvCxnSpPr>
            <a:stCxn id="288" idx="1"/>
            <a:endCxn id="28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0" name="Straight Connector 289">
            <a:extLst>
              <a:ext uri="{FF2B5EF4-FFF2-40B4-BE49-F238E27FC236}">
                <a16:creationId xmlns:a16="http://schemas.microsoft.com/office/drawing/2014/main" id="{1746BF69-E962-4328-B24A-C917B5573826}"/>
              </a:ext>
            </a:extLst>
          </xdr:cNvPr>
          <xdr:cNvCxnSpPr>
            <a:stCxn id="288" idx="3"/>
            <a:endCxn id="28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369095</xdr:colOff>
      <xdr:row>23</xdr:row>
      <xdr:rowOff>61544</xdr:rowOff>
    </xdr:from>
    <xdr:to>
      <xdr:col>16</xdr:col>
      <xdr:colOff>117923</xdr:colOff>
      <xdr:row>24</xdr:row>
      <xdr:rowOff>38136</xdr:rowOff>
    </xdr:to>
    <xdr:grpSp>
      <xdr:nvGrpSpPr>
        <xdr:cNvPr id="291" name="Group 290">
          <a:extLst>
            <a:ext uri="{FF2B5EF4-FFF2-40B4-BE49-F238E27FC236}">
              <a16:creationId xmlns:a16="http://schemas.microsoft.com/office/drawing/2014/main" id="{F672FE5F-BE13-4C4C-9B1E-03679D513C41}"/>
            </a:ext>
          </a:extLst>
        </xdr:cNvPr>
        <xdr:cNvGrpSpPr/>
      </xdr:nvGrpSpPr>
      <xdr:grpSpPr>
        <a:xfrm>
          <a:off x="5636834" y="3540240"/>
          <a:ext cx="129828" cy="12567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92" name="Oval 291">
            <a:extLst>
              <a:ext uri="{FF2B5EF4-FFF2-40B4-BE49-F238E27FC236}">
                <a16:creationId xmlns:a16="http://schemas.microsoft.com/office/drawing/2014/main" id="{0A18B114-AA5A-4801-86B7-884D87388DE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93" name="Straight Connector 292">
            <a:extLst>
              <a:ext uri="{FF2B5EF4-FFF2-40B4-BE49-F238E27FC236}">
                <a16:creationId xmlns:a16="http://schemas.microsoft.com/office/drawing/2014/main" id="{C169E6DA-12DF-4922-BA7A-29AEE4484776}"/>
              </a:ext>
            </a:extLst>
          </xdr:cNvPr>
          <xdr:cNvCxnSpPr>
            <a:stCxn id="292" idx="1"/>
            <a:endCxn id="29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4" name="Straight Connector 293">
            <a:extLst>
              <a:ext uri="{FF2B5EF4-FFF2-40B4-BE49-F238E27FC236}">
                <a16:creationId xmlns:a16="http://schemas.microsoft.com/office/drawing/2014/main" id="{7779DE6C-5BED-4BAF-AFA7-580DBE7A6708}"/>
              </a:ext>
            </a:extLst>
          </xdr:cNvPr>
          <xdr:cNvCxnSpPr>
            <a:stCxn id="292" idx="3"/>
            <a:endCxn id="29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369094</xdr:colOff>
      <xdr:row>29</xdr:row>
      <xdr:rowOff>73450</xdr:rowOff>
    </xdr:from>
    <xdr:to>
      <xdr:col>16</xdr:col>
      <xdr:colOff>117922</xdr:colOff>
      <xdr:row>30</xdr:row>
      <xdr:rowOff>61948</xdr:rowOff>
    </xdr:to>
    <xdr:grpSp>
      <xdr:nvGrpSpPr>
        <xdr:cNvPr id="295" name="Group 294">
          <a:extLst>
            <a:ext uri="{FF2B5EF4-FFF2-40B4-BE49-F238E27FC236}">
              <a16:creationId xmlns:a16="http://schemas.microsoft.com/office/drawing/2014/main" id="{51A72448-8A67-4974-8447-4C7D2A328A9E}"/>
            </a:ext>
          </a:extLst>
        </xdr:cNvPr>
        <xdr:cNvGrpSpPr/>
      </xdr:nvGrpSpPr>
      <xdr:grpSpPr>
        <a:xfrm>
          <a:off x="5636833" y="4446667"/>
          <a:ext cx="129828" cy="12930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96" name="Oval 295">
            <a:extLst>
              <a:ext uri="{FF2B5EF4-FFF2-40B4-BE49-F238E27FC236}">
                <a16:creationId xmlns:a16="http://schemas.microsoft.com/office/drawing/2014/main" id="{F19CB8A1-F400-4876-8EB1-FE793403507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97" name="Straight Connector 296">
            <a:extLst>
              <a:ext uri="{FF2B5EF4-FFF2-40B4-BE49-F238E27FC236}">
                <a16:creationId xmlns:a16="http://schemas.microsoft.com/office/drawing/2014/main" id="{044791FF-8475-41F6-896C-25C88F80EBB7}"/>
              </a:ext>
            </a:extLst>
          </xdr:cNvPr>
          <xdr:cNvCxnSpPr>
            <a:stCxn id="296" idx="1"/>
            <a:endCxn id="29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8" name="Straight Connector 297">
            <a:extLst>
              <a:ext uri="{FF2B5EF4-FFF2-40B4-BE49-F238E27FC236}">
                <a16:creationId xmlns:a16="http://schemas.microsoft.com/office/drawing/2014/main" id="{C2EC88BE-FB7F-4861-9DE2-8E32BC983C63}"/>
              </a:ext>
            </a:extLst>
          </xdr:cNvPr>
          <xdr:cNvCxnSpPr>
            <a:stCxn id="296" idx="3"/>
            <a:endCxn id="29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226220</xdr:colOff>
      <xdr:row>35</xdr:row>
      <xdr:rowOff>28207</xdr:rowOff>
    </xdr:from>
    <xdr:to>
      <xdr:col>14</xdr:col>
      <xdr:colOff>356048</xdr:colOff>
      <xdr:row>36</xdr:row>
      <xdr:rowOff>4798</xdr:rowOff>
    </xdr:to>
    <xdr:grpSp>
      <xdr:nvGrpSpPr>
        <xdr:cNvPr id="299" name="Group 298">
          <a:extLst>
            <a:ext uri="{FF2B5EF4-FFF2-40B4-BE49-F238E27FC236}">
              <a16:creationId xmlns:a16="http://schemas.microsoft.com/office/drawing/2014/main" id="{BE70770F-13BD-489B-8FFE-087CEDC50CDF}"/>
            </a:ext>
          </a:extLst>
        </xdr:cNvPr>
        <xdr:cNvGrpSpPr/>
      </xdr:nvGrpSpPr>
      <xdr:grpSpPr>
        <a:xfrm>
          <a:off x="5112959" y="5287664"/>
          <a:ext cx="129828" cy="12567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00" name="Oval 299">
            <a:extLst>
              <a:ext uri="{FF2B5EF4-FFF2-40B4-BE49-F238E27FC236}">
                <a16:creationId xmlns:a16="http://schemas.microsoft.com/office/drawing/2014/main" id="{D4CC071B-945B-4955-A89F-086174C5409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01" name="Straight Connector 300">
            <a:extLst>
              <a:ext uri="{FF2B5EF4-FFF2-40B4-BE49-F238E27FC236}">
                <a16:creationId xmlns:a16="http://schemas.microsoft.com/office/drawing/2014/main" id="{8EFAAC15-63C1-4F95-9536-AB7A85309A07}"/>
              </a:ext>
            </a:extLst>
          </xdr:cNvPr>
          <xdr:cNvCxnSpPr>
            <a:stCxn id="300" idx="1"/>
            <a:endCxn id="30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2" name="Straight Connector 301">
            <a:extLst>
              <a:ext uri="{FF2B5EF4-FFF2-40B4-BE49-F238E27FC236}">
                <a16:creationId xmlns:a16="http://schemas.microsoft.com/office/drawing/2014/main" id="{100ADB60-8723-4729-A04A-0A15A8008D38}"/>
              </a:ext>
            </a:extLst>
          </xdr:cNvPr>
          <xdr:cNvCxnSpPr>
            <a:stCxn id="300" idx="3"/>
            <a:endCxn id="30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276069</xdr:colOff>
      <xdr:row>36</xdr:row>
      <xdr:rowOff>4798</xdr:rowOff>
    </xdr:from>
    <xdr:to>
      <xdr:col>14</xdr:col>
      <xdr:colOff>291134</xdr:colOff>
      <xdr:row>38</xdr:row>
      <xdr:rowOff>124738</xdr:rowOff>
    </xdr:to>
    <xdr:cxnSp macro="">
      <xdr:nvCxnSpPr>
        <xdr:cNvPr id="303" name="Straight Connector 302">
          <a:extLst>
            <a:ext uri="{FF2B5EF4-FFF2-40B4-BE49-F238E27FC236}">
              <a16:creationId xmlns:a16="http://schemas.microsoft.com/office/drawing/2014/main" id="{53510087-A208-4E7F-8EC0-294511203EBF}"/>
            </a:ext>
          </a:extLst>
        </xdr:cNvPr>
        <xdr:cNvCxnSpPr>
          <a:stCxn id="300" idx="4"/>
        </xdr:cNvCxnSpPr>
      </xdr:nvCxnSpPr>
      <xdr:spPr>
        <a:xfrm flipH="1">
          <a:off x="5152869" y="5510248"/>
          <a:ext cx="15065" cy="44379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53009</xdr:colOff>
      <xdr:row>14</xdr:row>
      <xdr:rowOff>50042</xdr:rowOff>
    </xdr:from>
    <xdr:to>
      <xdr:col>18</xdr:col>
      <xdr:colOff>303040</xdr:colOff>
      <xdr:row>14</xdr:row>
      <xdr:rowOff>121479</xdr:rowOff>
    </xdr:to>
    <xdr:cxnSp macro="">
      <xdr:nvCxnSpPr>
        <xdr:cNvPr id="304" name="Straight Connector 303">
          <a:extLst>
            <a:ext uri="{FF2B5EF4-FFF2-40B4-BE49-F238E27FC236}">
              <a16:creationId xmlns:a16="http://schemas.microsoft.com/office/drawing/2014/main" id="{7D3DDD7A-6A04-4151-BDF5-ECC8B03050B4}"/>
            </a:ext>
          </a:extLst>
        </xdr:cNvPr>
        <xdr:cNvCxnSpPr>
          <a:stCxn id="323" idx="4"/>
          <a:endCxn id="281" idx="4"/>
        </xdr:cNvCxnSpPr>
      </xdr:nvCxnSpPr>
      <xdr:spPr>
        <a:xfrm>
          <a:off x="1881809" y="2212217"/>
          <a:ext cx="4822031" cy="7143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166688</xdr:colOff>
      <xdr:row>13</xdr:row>
      <xdr:rowOff>121074</xdr:rowOff>
    </xdr:from>
    <xdr:to>
      <xdr:col>13</xdr:col>
      <xdr:colOff>296516</xdr:colOff>
      <xdr:row>14</xdr:row>
      <xdr:rowOff>97666</xdr:rowOff>
    </xdr:to>
    <xdr:grpSp>
      <xdr:nvGrpSpPr>
        <xdr:cNvPr id="305" name="Group 304">
          <a:extLst>
            <a:ext uri="{FF2B5EF4-FFF2-40B4-BE49-F238E27FC236}">
              <a16:creationId xmlns:a16="http://schemas.microsoft.com/office/drawing/2014/main" id="{0CEBF0DB-B8A3-40A1-93CA-B71F1284F735}"/>
            </a:ext>
          </a:extLst>
        </xdr:cNvPr>
        <xdr:cNvGrpSpPr/>
      </xdr:nvGrpSpPr>
      <xdr:grpSpPr>
        <a:xfrm>
          <a:off x="4672427" y="2108900"/>
          <a:ext cx="129828" cy="12567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06" name="Oval 305">
            <a:extLst>
              <a:ext uri="{FF2B5EF4-FFF2-40B4-BE49-F238E27FC236}">
                <a16:creationId xmlns:a16="http://schemas.microsoft.com/office/drawing/2014/main" id="{8C113560-32B4-4A25-BAF9-D28F9376DB5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07" name="Straight Connector 306">
            <a:extLst>
              <a:ext uri="{FF2B5EF4-FFF2-40B4-BE49-F238E27FC236}">
                <a16:creationId xmlns:a16="http://schemas.microsoft.com/office/drawing/2014/main" id="{84AFD66C-029B-4E62-A43D-34FCFD7C1A99}"/>
              </a:ext>
            </a:extLst>
          </xdr:cNvPr>
          <xdr:cNvCxnSpPr>
            <a:stCxn id="306" idx="1"/>
            <a:endCxn id="30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8" name="Straight Connector 307">
            <a:extLst>
              <a:ext uri="{FF2B5EF4-FFF2-40B4-BE49-F238E27FC236}">
                <a16:creationId xmlns:a16="http://schemas.microsoft.com/office/drawing/2014/main" id="{A516655C-36F4-4A0A-A015-E048EED430E7}"/>
              </a:ext>
            </a:extLst>
          </xdr:cNvPr>
          <xdr:cNvCxnSpPr>
            <a:stCxn id="306" idx="3"/>
            <a:endCxn id="30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0</xdr:colOff>
      <xdr:row>13</xdr:row>
      <xdr:rowOff>142506</xdr:rowOff>
    </xdr:from>
    <xdr:to>
      <xdr:col>16</xdr:col>
      <xdr:colOff>129828</xdr:colOff>
      <xdr:row>14</xdr:row>
      <xdr:rowOff>121479</xdr:rowOff>
    </xdr:to>
    <xdr:grpSp>
      <xdr:nvGrpSpPr>
        <xdr:cNvPr id="309" name="Group 308">
          <a:extLst>
            <a:ext uri="{FF2B5EF4-FFF2-40B4-BE49-F238E27FC236}">
              <a16:creationId xmlns:a16="http://schemas.microsoft.com/office/drawing/2014/main" id="{5F54434A-2C03-4B29-9E57-BB07F6EC9301}"/>
            </a:ext>
          </a:extLst>
        </xdr:cNvPr>
        <xdr:cNvGrpSpPr/>
      </xdr:nvGrpSpPr>
      <xdr:grpSpPr>
        <a:xfrm>
          <a:off x="5648739" y="2130332"/>
          <a:ext cx="129828" cy="12806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10" name="Oval 309">
            <a:extLst>
              <a:ext uri="{FF2B5EF4-FFF2-40B4-BE49-F238E27FC236}">
                <a16:creationId xmlns:a16="http://schemas.microsoft.com/office/drawing/2014/main" id="{301F38AC-5D39-48F6-AA84-377AA7FE0EA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11" name="Straight Connector 310">
            <a:extLst>
              <a:ext uri="{FF2B5EF4-FFF2-40B4-BE49-F238E27FC236}">
                <a16:creationId xmlns:a16="http://schemas.microsoft.com/office/drawing/2014/main" id="{8F681E0C-20CB-4535-B45A-60E0ACF7E60E}"/>
              </a:ext>
            </a:extLst>
          </xdr:cNvPr>
          <xdr:cNvCxnSpPr>
            <a:stCxn id="310" idx="1"/>
            <a:endCxn id="31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2" name="Straight Connector 311">
            <a:extLst>
              <a:ext uri="{FF2B5EF4-FFF2-40B4-BE49-F238E27FC236}">
                <a16:creationId xmlns:a16="http://schemas.microsoft.com/office/drawing/2014/main" id="{8A7E0CCE-E65B-43A5-976C-ECA64BE8BA34}"/>
              </a:ext>
            </a:extLst>
          </xdr:cNvPr>
          <xdr:cNvCxnSpPr>
            <a:stCxn id="310" idx="3"/>
            <a:endCxn id="31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238126</xdr:colOff>
      <xdr:row>13</xdr:row>
      <xdr:rowOff>97263</xdr:rowOff>
    </xdr:from>
    <xdr:to>
      <xdr:col>8</xdr:col>
      <xdr:colOff>367954</xdr:colOff>
      <xdr:row>14</xdr:row>
      <xdr:rowOff>73855</xdr:rowOff>
    </xdr:to>
    <xdr:grpSp>
      <xdr:nvGrpSpPr>
        <xdr:cNvPr id="313" name="Group 312">
          <a:extLst>
            <a:ext uri="{FF2B5EF4-FFF2-40B4-BE49-F238E27FC236}">
              <a16:creationId xmlns:a16="http://schemas.microsoft.com/office/drawing/2014/main" id="{AF70C88E-499E-4A31-861B-27855B4CF6F3}"/>
            </a:ext>
          </a:extLst>
        </xdr:cNvPr>
        <xdr:cNvGrpSpPr/>
      </xdr:nvGrpSpPr>
      <xdr:grpSpPr>
        <a:xfrm>
          <a:off x="2838865" y="2085089"/>
          <a:ext cx="129828" cy="12567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14" name="Oval 313">
            <a:extLst>
              <a:ext uri="{FF2B5EF4-FFF2-40B4-BE49-F238E27FC236}">
                <a16:creationId xmlns:a16="http://schemas.microsoft.com/office/drawing/2014/main" id="{18845374-CA4D-43CC-A04F-2054C26E0AF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15" name="Straight Connector 314">
            <a:extLst>
              <a:ext uri="{FF2B5EF4-FFF2-40B4-BE49-F238E27FC236}">
                <a16:creationId xmlns:a16="http://schemas.microsoft.com/office/drawing/2014/main" id="{79B048C3-594B-4319-8648-D8741FB7EA8D}"/>
              </a:ext>
            </a:extLst>
          </xdr:cNvPr>
          <xdr:cNvCxnSpPr>
            <a:stCxn id="314" idx="1"/>
            <a:endCxn id="31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6" name="Straight Connector 315">
            <a:extLst>
              <a:ext uri="{FF2B5EF4-FFF2-40B4-BE49-F238E27FC236}">
                <a16:creationId xmlns:a16="http://schemas.microsoft.com/office/drawing/2014/main" id="{4D1B57F3-9EC0-4762-82BA-AA84E8DFC523}"/>
              </a:ext>
            </a:extLst>
          </xdr:cNvPr>
          <xdr:cNvCxnSpPr>
            <a:stCxn id="314" idx="3"/>
            <a:endCxn id="31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15309</xdr:colOff>
      <xdr:row>13</xdr:row>
      <xdr:rowOff>110869</xdr:rowOff>
    </xdr:from>
    <xdr:to>
      <xdr:col>11</xdr:col>
      <xdr:colOff>145137</xdr:colOff>
      <xdr:row>14</xdr:row>
      <xdr:rowOff>87461</xdr:rowOff>
    </xdr:to>
    <xdr:grpSp>
      <xdr:nvGrpSpPr>
        <xdr:cNvPr id="317" name="Group 316">
          <a:extLst>
            <a:ext uri="{FF2B5EF4-FFF2-40B4-BE49-F238E27FC236}">
              <a16:creationId xmlns:a16="http://schemas.microsoft.com/office/drawing/2014/main" id="{618FC8C0-1CD5-4040-B859-FC0BC6CC2F6B}"/>
            </a:ext>
          </a:extLst>
        </xdr:cNvPr>
        <xdr:cNvGrpSpPr/>
      </xdr:nvGrpSpPr>
      <xdr:grpSpPr>
        <a:xfrm>
          <a:off x="3759048" y="2098695"/>
          <a:ext cx="129828" cy="12567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18" name="Oval 317">
            <a:extLst>
              <a:ext uri="{FF2B5EF4-FFF2-40B4-BE49-F238E27FC236}">
                <a16:creationId xmlns:a16="http://schemas.microsoft.com/office/drawing/2014/main" id="{FEFA7D02-45B7-4CFB-9E27-F9C51FCE482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19" name="Straight Connector 318">
            <a:extLst>
              <a:ext uri="{FF2B5EF4-FFF2-40B4-BE49-F238E27FC236}">
                <a16:creationId xmlns:a16="http://schemas.microsoft.com/office/drawing/2014/main" id="{FA538B10-B5D6-4989-8CC0-5FF8EEC61B8C}"/>
              </a:ext>
            </a:extLst>
          </xdr:cNvPr>
          <xdr:cNvCxnSpPr>
            <a:stCxn id="318" idx="1"/>
            <a:endCxn id="31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0" name="Straight Connector 319">
            <a:extLst>
              <a:ext uri="{FF2B5EF4-FFF2-40B4-BE49-F238E27FC236}">
                <a16:creationId xmlns:a16="http://schemas.microsoft.com/office/drawing/2014/main" id="{F4CB866D-09E5-4F7D-87FE-192FAA91B7FC}"/>
              </a:ext>
            </a:extLst>
          </xdr:cNvPr>
          <xdr:cNvCxnSpPr>
            <a:stCxn id="318" idx="3"/>
            <a:endCxn id="31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53009</xdr:colOff>
      <xdr:row>11</xdr:row>
      <xdr:rowOff>97667</xdr:rowOff>
    </xdr:from>
    <xdr:to>
      <xdr:col>6</xdr:col>
      <xdr:colOff>64914</xdr:colOff>
      <xdr:row>14</xdr:row>
      <xdr:rowOff>50042</xdr:rowOff>
    </xdr:to>
    <xdr:cxnSp macro="">
      <xdr:nvCxnSpPr>
        <xdr:cNvPr id="321" name="Straight Connector 320">
          <a:extLst>
            <a:ext uri="{FF2B5EF4-FFF2-40B4-BE49-F238E27FC236}">
              <a16:creationId xmlns:a16="http://schemas.microsoft.com/office/drawing/2014/main" id="{EB2FA797-490E-4E39-852C-A84C52F75964}"/>
            </a:ext>
          </a:extLst>
        </xdr:cNvPr>
        <xdr:cNvCxnSpPr>
          <a:stCxn id="277" idx="4"/>
          <a:endCxn id="323" idx="4"/>
        </xdr:cNvCxnSpPr>
      </xdr:nvCxnSpPr>
      <xdr:spPr>
        <a:xfrm flipH="1">
          <a:off x="1881809" y="1793117"/>
          <a:ext cx="11905" cy="4191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369095</xdr:colOff>
      <xdr:row>13</xdr:row>
      <xdr:rowOff>73450</xdr:rowOff>
    </xdr:from>
    <xdr:to>
      <xdr:col>6</xdr:col>
      <xdr:colOff>117923</xdr:colOff>
      <xdr:row>14</xdr:row>
      <xdr:rowOff>50042</xdr:rowOff>
    </xdr:to>
    <xdr:grpSp>
      <xdr:nvGrpSpPr>
        <xdr:cNvPr id="322" name="Group 321">
          <a:extLst>
            <a:ext uri="{FF2B5EF4-FFF2-40B4-BE49-F238E27FC236}">
              <a16:creationId xmlns:a16="http://schemas.microsoft.com/office/drawing/2014/main" id="{171E385D-DF13-4F73-964E-B17221E3ED49}"/>
            </a:ext>
          </a:extLst>
        </xdr:cNvPr>
        <xdr:cNvGrpSpPr/>
      </xdr:nvGrpSpPr>
      <xdr:grpSpPr>
        <a:xfrm>
          <a:off x="1826834" y="2061276"/>
          <a:ext cx="129828" cy="12567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23" name="Oval 322">
            <a:extLst>
              <a:ext uri="{FF2B5EF4-FFF2-40B4-BE49-F238E27FC236}">
                <a16:creationId xmlns:a16="http://schemas.microsoft.com/office/drawing/2014/main" id="{900B556B-BB2F-4ABF-BD17-56D036BB5B2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4" name="Straight Connector 323">
            <a:extLst>
              <a:ext uri="{FF2B5EF4-FFF2-40B4-BE49-F238E27FC236}">
                <a16:creationId xmlns:a16="http://schemas.microsoft.com/office/drawing/2014/main" id="{C1377431-B961-481E-96D1-7B7CF1666006}"/>
              </a:ext>
            </a:extLst>
          </xdr:cNvPr>
          <xdr:cNvCxnSpPr>
            <a:stCxn id="323" idx="1"/>
            <a:endCxn id="32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5" name="Straight Connector 324">
            <a:extLst>
              <a:ext uri="{FF2B5EF4-FFF2-40B4-BE49-F238E27FC236}">
                <a16:creationId xmlns:a16="http://schemas.microsoft.com/office/drawing/2014/main" id="{E43DC57C-51BD-4898-85C0-63572E55A37C}"/>
              </a:ext>
            </a:extLst>
          </xdr:cNvPr>
          <xdr:cNvCxnSpPr>
            <a:stCxn id="323" idx="3"/>
            <a:endCxn id="32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94285</xdr:colOff>
      <xdr:row>14</xdr:row>
      <xdr:rowOff>23390</xdr:rowOff>
    </xdr:from>
    <xdr:to>
      <xdr:col>7</xdr:col>
      <xdr:colOff>193580</xdr:colOff>
      <xdr:row>14</xdr:row>
      <xdr:rowOff>100344</xdr:rowOff>
    </xdr:to>
    <xdr:grpSp>
      <xdr:nvGrpSpPr>
        <xdr:cNvPr id="326" name="Group 325">
          <a:extLst>
            <a:ext uri="{FF2B5EF4-FFF2-40B4-BE49-F238E27FC236}">
              <a16:creationId xmlns:a16="http://schemas.microsoft.com/office/drawing/2014/main" id="{85531D22-D4A8-4647-BB78-6DBC1B2DAA76}"/>
            </a:ext>
          </a:extLst>
        </xdr:cNvPr>
        <xdr:cNvGrpSpPr/>
      </xdr:nvGrpSpPr>
      <xdr:grpSpPr>
        <a:xfrm rot="15655018">
          <a:off x="2325195" y="2149132"/>
          <a:ext cx="76954" cy="99295"/>
          <a:chOff x="4078687" y="2936713"/>
          <a:chExt cx="79159" cy="99180"/>
        </a:xfrm>
      </xdr:grpSpPr>
      <xdr:cxnSp macro="">
        <xdr:nvCxnSpPr>
          <xdr:cNvPr id="327" name="Straight Connector 326">
            <a:extLst>
              <a:ext uri="{FF2B5EF4-FFF2-40B4-BE49-F238E27FC236}">
                <a16:creationId xmlns:a16="http://schemas.microsoft.com/office/drawing/2014/main" id="{AE09566B-0EF5-42A7-9BED-5A0DCFBAD2BA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8" name="Straight Connector 327">
            <a:extLst>
              <a:ext uri="{FF2B5EF4-FFF2-40B4-BE49-F238E27FC236}">
                <a16:creationId xmlns:a16="http://schemas.microsoft.com/office/drawing/2014/main" id="{E52C9C40-AFDB-4628-968A-B31548486D5F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9" name="Straight Connector 328">
            <a:extLst>
              <a:ext uri="{FF2B5EF4-FFF2-40B4-BE49-F238E27FC236}">
                <a16:creationId xmlns:a16="http://schemas.microsoft.com/office/drawing/2014/main" id="{7CBA817C-24C4-497A-B869-E3EFD3D99314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301328</xdr:colOff>
      <xdr:row>14</xdr:row>
      <xdr:rowOff>35852</xdr:rowOff>
    </xdr:from>
    <xdr:to>
      <xdr:col>10</xdr:col>
      <xdr:colOff>19623</xdr:colOff>
      <xdr:row>14</xdr:row>
      <xdr:rowOff>112806</xdr:rowOff>
    </xdr:to>
    <xdr:grpSp>
      <xdr:nvGrpSpPr>
        <xdr:cNvPr id="330" name="Group 329">
          <a:extLst>
            <a:ext uri="{FF2B5EF4-FFF2-40B4-BE49-F238E27FC236}">
              <a16:creationId xmlns:a16="http://schemas.microsoft.com/office/drawing/2014/main" id="{C47FB79D-4F50-4C57-A487-E56A81BDF1E4}"/>
            </a:ext>
          </a:extLst>
        </xdr:cNvPr>
        <xdr:cNvGrpSpPr/>
      </xdr:nvGrpSpPr>
      <xdr:grpSpPr>
        <a:xfrm rot="15655018">
          <a:off x="3294238" y="2161594"/>
          <a:ext cx="76954" cy="99295"/>
          <a:chOff x="4078687" y="2936713"/>
          <a:chExt cx="79159" cy="99180"/>
        </a:xfrm>
      </xdr:grpSpPr>
      <xdr:cxnSp macro="">
        <xdr:nvCxnSpPr>
          <xdr:cNvPr id="331" name="Straight Connector 330">
            <a:extLst>
              <a:ext uri="{FF2B5EF4-FFF2-40B4-BE49-F238E27FC236}">
                <a16:creationId xmlns:a16="http://schemas.microsoft.com/office/drawing/2014/main" id="{21FFEC06-4AA9-414B-AC01-139F74B7CB7E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2" name="Straight Connector 331">
            <a:extLst>
              <a:ext uri="{FF2B5EF4-FFF2-40B4-BE49-F238E27FC236}">
                <a16:creationId xmlns:a16="http://schemas.microsoft.com/office/drawing/2014/main" id="{0A66E45E-D801-4955-BBC7-8F9AA9770333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3" name="Straight Connector 332">
            <a:extLst>
              <a:ext uri="{FF2B5EF4-FFF2-40B4-BE49-F238E27FC236}">
                <a16:creationId xmlns:a16="http://schemas.microsoft.com/office/drawing/2014/main" id="{5E75C285-780E-4209-8DAC-90F171A85D14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129090</xdr:colOff>
      <xdr:row>14</xdr:row>
      <xdr:rowOff>48385</xdr:rowOff>
    </xdr:from>
    <xdr:to>
      <xdr:col>12</xdr:col>
      <xdr:colOff>228385</xdr:colOff>
      <xdr:row>14</xdr:row>
      <xdr:rowOff>125339</xdr:rowOff>
    </xdr:to>
    <xdr:grpSp>
      <xdr:nvGrpSpPr>
        <xdr:cNvPr id="334" name="Group 333">
          <a:extLst>
            <a:ext uri="{FF2B5EF4-FFF2-40B4-BE49-F238E27FC236}">
              <a16:creationId xmlns:a16="http://schemas.microsoft.com/office/drawing/2014/main" id="{D126FE1D-6DF0-4E84-A81B-DE88E7D8E3E2}"/>
            </a:ext>
          </a:extLst>
        </xdr:cNvPr>
        <xdr:cNvGrpSpPr/>
      </xdr:nvGrpSpPr>
      <xdr:grpSpPr>
        <a:xfrm rot="15655018">
          <a:off x="4265000" y="2174127"/>
          <a:ext cx="76954" cy="99295"/>
          <a:chOff x="4078687" y="2936713"/>
          <a:chExt cx="79159" cy="99180"/>
        </a:xfrm>
      </xdr:grpSpPr>
      <xdr:cxnSp macro="">
        <xdr:nvCxnSpPr>
          <xdr:cNvPr id="335" name="Straight Connector 334">
            <a:extLst>
              <a:ext uri="{FF2B5EF4-FFF2-40B4-BE49-F238E27FC236}">
                <a16:creationId xmlns:a16="http://schemas.microsoft.com/office/drawing/2014/main" id="{5A320DA2-C3CC-4989-95C0-2F6D4D31A42E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6" name="Straight Connector 335">
            <a:extLst>
              <a:ext uri="{FF2B5EF4-FFF2-40B4-BE49-F238E27FC236}">
                <a16:creationId xmlns:a16="http://schemas.microsoft.com/office/drawing/2014/main" id="{FB1EA493-C509-4E01-A406-291249D644B4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7" name="Straight Connector 336">
            <a:extLst>
              <a:ext uri="{FF2B5EF4-FFF2-40B4-BE49-F238E27FC236}">
                <a16:creationId xmlns:a16="http://schemas.microsoft.com/office/drawing/2014/main" id="{0FCCA0EC-901A-401C-9969-5D4C26C883F8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274471</xdr:colOff>
      <xdr:row>14</xdr:row>
      <xdr:rowOff>63424</xdr:rowOff>
    </xdr:from>
    <xdr:to>
      <xdr:col>14</xdr:col>
      <xdr:colOff>373766</xdr:colOff>
      <xdr:row>14</xdr:row>
      <xdr:rowOff>142383</xdr:rowOff>
    </xdr:to>
    <xdr:grpSp>
      <xdr:nvGrpSpPr>
        <xdr:cNvPr id="338" name="Group 337">
          <a:extLst>
            <a:ext uri="{FF2B5EF4-FFF2-40B4-BE49-F238E27FC236}">
              <a16:creationId xmlns:a16="http://schemas.microsoft.com/office/drawing/2014/main" id="{28327287-6D44-42AF-BD6E-B0139ADF550B}"/>
            </a:ext>
          </a:extLst>
        </xdr:cNvPr>
        <xdr:cNvGrpSpPr/>
      </xdr:nvGrpSpPr>
      <xdr:grpSpPr>
        <a:xfrm rot="15655018">
          <a:off x="5171378" y="2190169"/>
          <a:ext cx="78959" cy="99295"/>
          <a:chOff x="4078687" y="2936713"/>
          <a:chExt cx="79159" cy="99180"/>
        </a:xfrm>
      </xdr:grpSpPr>
      <xdr:cxnSp macro="">
        <xdr:nvCxnSpPr>
          <xdr:cNvPr id="339" name="Straight Connector 338">
            <a:extLst>
              <a:ext uri="{FF2B5EF4-FFF2-40B4-BE49-F238E27FC236}">
                <a16:creationId xmlns:a16="http://schemas.microsoft.com/office/drawing/2014/main" id="{66D59437-6598-4313-966B-262E7E68224C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0" name="Straight Connector 339">
            <a:extLst>
              <a:ext uri="{FF2B5EF4-FFF2-40B4-BE49-F238E27FC236}">
                <a16:creationId xmlns:a16="http://schemas.microsoft.com/office/drawing/2014/main" id="{14697CED-538D-4FF4-8BE1-2BA20F3193E6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1" name="Straight Connector 340">
            <a:extLst>
              <a:ext uri="{FF2B5EF4-FFF2-40B4-BE49-F238E27FC236}">
                <a16:creationId xmlns:a16="http://schemas.microsoft.com/office/drawing/2014/main" id="{5918C91F-B1ED-4139-B3E1-A2922F92FE4A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149142</xdr:colOff>
      <xdr:row>14</xdr:row>
      <xdr:rowOff>78463</xdr:rowOff>
    </xdr:from>
    <xdr:to>
      <xdr:col>17</xdr:col>
      <xdr:colOff>248437</xdr:colOff>
      <xdr:row>15</xdr:row>
      <xdr:rowOff>5022</xdr:rowOff>
    </xdr:to>
    <xdr:grpSp>
      <xdr:nvGrpSpPr>
        <xdr:cNvPr id="342" name="Group 341">
          <a:extLst>
            <a:ext uri="{FF2B5EF4-FFF2-40B4-BE49-F238E27FC236}">
              <a16:creationId xmlns:a16="http://schemas.microsoft.com/office/drawing/2014/main" id="{C9226BF6-7FCD-42D7-987D-21576E3302AA}"/>
            </a:ext>
          </a:extLst>
        </xdr:cNvPr>
        <xdr:cNvGrpSpPr/>
      </xdr:nvGrpSpPr>
      <xdr:grpSpPr>
        <a:xfrm rot="15655018">
          <a:off x="6190706" y="2203551"/>
          <a:ext cx="75646" cy="99295"/>
          <a:chOff x="4078687" y="2936713"/>
          <a:chExt cx="79159" cy="99180"/>
        </a:xfrm>
      </xdr:grpSpPr>
      <xdr:cxnSp macro="">
        <xdr:nvCxnSpPr>
          <xdr:cNvPr id="343" name="Straight Connector 342">
            <a:extLst>
              <a:ext uri="{FF2B5EF4-FFF2-40B4-BE49-F238E27FC236}">
                <a16:creationId xmlns:a16="http://schemas.microsoft.com/office/drawing/2014/main" id="{C041B198-6492-4DB9-BA33-8E77E810F4DC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4" name="Straight Connector 343">
            <a:extLst>
              <a:ext uri="{FF2B5EF4-FFF2-40B4-BE49-F238E27FC236}">
                <a16:creationId xmlns:a16="http://schemas.microsoft.com/office/drawing/2014/main" id="{8C3719CE-3474-46AD-B159-B77007727278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5" name="Straight Connector 344">
            <a:extLst>
              <a:ext uri="{FF2B5EF4-FFF2-40B4-BE49-F238E27FC236}">
                <a16:creationId xmlns:a16="http://schemas.microsoft.com/office/drawing/2014/main" id="{1B16C593-71B1-4FB3-93A7-CFE20B37A051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219326</xdr:colOff>
      <xdr:row>15</xdr:row>
      <xdr:rowOff>3265</xdr:rowOff>
    </xdr:from>
    <xdr:to>
      <xdr:col>19</xdr:col>
      <xdr:colOff>18494</xdr:colOff>
      <xdr:row>15</xdr:row>
      <xdr:rowOff>131852</xdr:rowOff>
    </xdr:to>
    <xdr:sp macro="" textlink="">
      <xdr:nvSpPr>
        <xdr:cNvPr id="346" name="Isosceles Triangle 345">
          <a:extLst>
            <a:ext uri="{FF2B5EF4-FFF2-40B4-BE49-F238E27FC236}">
              <a16:creationId xmlns:a16="http://schemas.microsoft.com/office/drawing/2014/main" id="{FBC7154F-1D8E-4667-8631-765FDA36929C}"/>
            </a:ext>
          </a:extLst>
        </xdr:cNvPr>
        <xdr:cNvSpPr/>
      </xdr:nvSpPr>
      <xdr:spPr>
        <a:xfrm>
          <a:off x="6620126" y="2317840"/>
          <a:ext cx="180168" cy="128587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229352</xdr:colOff>
      <xdr:row>35</xdr:row>
      <xdr:rowOff>138601</xdr:rowOff>
    </xdr:from>
    <xdr:to>
      <xdr:col>14</xdr:col>
      <xdr:colOff>245233</xdr:colOff>
      <xdr:row>37</xdr:row>
      <xdr:rowOff>144687</xdr:rowOff>
    </xdr:to>
    <xdr:cxnSp macro="">
      <xdr:nvCxnSpPr>
        <xdr:cNvPr id="347" name="Straight Connector 346">
          <a:extLst>
            <a:ext uri="{FF2B5EF4-FFF2-40B4-BE49-F238E27FC236}">
              <a16:creationId xmlns:a16="http://schemas.microsoft.com/office/drawing/2014/main" id="{7936E221-BBB9-447D-B440-61F68F541956}"/>
            </a:ext>
          </a:extLst>
        </xdr:cNvPr>
        <xdr:cNvCxnSpPr>
          <a:stCxn id="300" idx="3"/>
          <a:endCxn id="259" idx="3"/>
        </xdr:cNvCxnSpPr>
      </xdr:nvCxnSpPr>
      <xdr:spPr>
        <a:xfrm flipH="1">
          <a:off x="4725152" y="5491651"/>
          <a:ext cx="396881" cy="320411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73944</xdr:colOff>
      <xdr:row>36</xdr:row>
      <xdr:rowOff>93503</xdr:rowOff>
    </xdr:from>
    <xdr:to>
      <xdr:col>14</xdr:col>
      <xdr:colOff>254112</xdr:colOff>
      <xdr:row>37</xdr:row>
      <xdr:rowOff>59664</xdr:rowOff>
    </xdr:to>
    <xdr:sp macro="" textlink="">
      <xdr:nvSpPr>
        <xdr:cNvPr id="348" name="Isosceles Triangle 347">
          <a:extLst>
            <a:ext uri="{FF2B5EF4-FFF2-40B4-BE49-F238E27FC236}">
              <a16:creationId xmlns:a16="http://schemas.microsoft.com/office/drawing/2014/main" id="{561B01DC-DA62-4EC8-A5EE-54E8AD76B6AB}"/>
            </a:ext>
          </a:extLst>
        </xdr:cNvPr>
        <xdr:cNvSpPr/>
      </xdr:nvSpPr>
      <xdr:spPr>
        <a:xfrm>
          <a:off x="4950744" y="5598953"/>
          <a:ext cx="180168" cy="128086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72120</xdr:colOff>
      <xdr:row>26</xdr:row>
      <xdr:rowOff>133931</xdr:rowOff>
    </xdr:from>
    <xdr:to>
      <xdr:col>16</xdr:col>
      <xdr:colOff>156331</xdr:colOff>
      <xdr:row>27</xdr:row>
      <xdr:rowOff>99777</xdr:rowOff>
    </xdr:to>
    <xdr:grpSp>
      <xdr:nvGrpSpPr>
        <xdr:cNvPr id="349" name="Group 348">
          <a:extLst>
            <a:ext uri="{FF2B5EF4-FFF2-40B4-BE49-F238E27FC236}">
              <a16:creationId xmlns:a16="http://schemas.microsoft.com/office/drawing/2014/main" id="{5602B845-0032-489A-B395-D1CC5FBD6452}"/>
            </a:ext>
          </a:extLst>
        </xdr:cNvPr>
        <xdr:cNvGrpSpPr/>
      </xdr:nvGrpSpPr>
      <xdr:grpSpPr>
        <a:xfrm rot="19949595">
          <a:off x="5720859" y="4059888"/>
          <a:ext cx="84211" cy="114932"/>
          <a:chOff x="4078687" y="2907502"/>
          <a:chExt cx="80544" cy="128391"/>
        </a:xfrm>
      </xdr:grpSpPr>
      <xdr:cxnSp macro="">
        <xdr:nvCxnSpPr>
          <xdr:cNvPr id="350" name="Straight Connector 349">
            <a:extLst>
              <a:ext uri="{FF2B5EF4-FFF2-40B4-BE49-F238E27FC236}">
                <a16:creationId xmlns:a16="http://schemas.microsoft.com/office/drawing/2014/main" id="{A105F01B-CAE3-4B5C-9B5B-BDEDF7D1847F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1" name="Straight Connector 350">
            <a:extLst>
              <a:ext uri="{FF2B5EF4-FFF2-40B4-BE49-F238E27FC236}">
                <a16:creationId xmlns:a16="http://schemas.microsoft.com/office/drawing/2014/main" id="{F2EE6ABF-9C08-4DED-A9C5-E793D9A990F7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2" name="Straight Connector 50">
            <a:extLst>
              <a:ext uri="{FF2B5EF4-FFF2-40B4-BE49-F238E27FC236}">
                <a16:creationId xmlns:a16="http://schemas.microsoft.com/office/drawing/2014/main" id="{CDD3D9DE-5416-4378-B746-93D7CADA6EEF}"/>
              </a:ext>
            </a:extLst>
          </xdr:cNvPr>
          <xdr:cNvCxnSpPr/>
        </xdr:nvCxnSpPr>
        <xdr:spPr>
          <a:xfrm flipH="1" flipV="1">
            <a:off x="4095312" y="2907502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3" name="Straight Connector 352">
            <a:extLst>
              <a:ext uri="{FF2B5EF4-FFF2-40B4-BE49-F238E27FC236}">
                <a16:creationId xmlns:a16="http://schemas.microsoft.com/office/drawing/2014/main" id="{ED46FF1C-29E8-47DF-9A36-639C2DB68CAA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68787</xdr:colOff>
      <xdr:row>21</xdr:row>
      <xdr:rowOff>11775</xdr:rowOff>
    </xdr:from>
    <xdr:to>
      <xdr:col>16</xdr:col>
      <xdr:colOff>152998</xdr:colOff>
      <xdr:row>21</xdr:row>
      <xdr:rowOff>128271</xdr:rowOff>
    </xdr:to>
    <xdr:grpSp>
      <xdr:nvGrpSpPr>
        <xdr:cNvPr id="354" name="Group 353">
          <a:extLst>
            <a:ext uri="{FF2B5EF4-FFF2-40B4-BE49-F238E27FC236}">
              <a16:creationId xmlns:a16="http://schemas.microsoft.com/office/drawing/2014/main" id="{0678DDF5-5BEE-41DC-9074-E8305788FE9F}"/>
            </a:ext>
          </a:extLst>
        </xdr:cNvPr>
        <xdr:cNvGrpSpPr/>
      </xdr:nvGrpSpPr>
      <xdr:grpSpPr>
        <a:xfrm rot="19949595">
          <a:off x="5717526" y="3192297"/>
          <a:ext cx="84211" cy="116496"/>
          <a:chOff x="4078687" y="2907502"/>
          <a:chExt cx="80544" cy="128391"/>
        </a:xfrm>
      </xdr:grpSpPr>
      <xdr:cxnSp macro="">
        <xdr:nvCxnSpPr>
          <xdr:cNvPr id="355" name="Straight Connector 354">
            <a:extLst>
              <a:ext uri="{FF2B5EF4-FFF2-40B4-BE49-F238E27FC236}">
                <a16:creationId xmlns:a16="http://schemas.microsoft.com/office/drawing/2014/main" id="{8C5DBB3E-8ACA-4889-9E60-9EDB6B71E020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6" name="Straight Connector 355">
            <a:extLst>
              <a:ext uri="{FF2B5EF4-FFF2-40B4-BE49-F238E27FC236}">
                <a16:creationId xmlns:a16="http://schemas.microsoft.com/office/drawing/2014/main" id="{7F797A12-846C-4D31-8E7D-A26C2CFFC4D3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7" name="Straight Connector 50">
            <a:extLst>
              <a:ext uri="{FF2B5EF4-FFF2-40B4-BE49-F238E27FC236}">
                <a16:creationId xmlns:a16="http://schemas.microsoft.com/office/drawing/2014/main" id="{433C8527-74EE-43E6-B49A-E3A5DDD2420E}"/>
              </a:ext>
            </a:extLst>
          </xdr:cNvPr>
          <xdr:cNvCxnSpPr/>
        </xdr:nvCxnSpPr>
        <xdr:spPr>
          <a:xfrm flipH="1" flipV="1">
            <a:off x="4095312" y="2907502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8" name="Straight Connector 357">
            <a:extLst>
              <a:ext uri="{FF2B5EF4-FFF2-40B4-BE49-F238E27FC236}">
                <a16:creationId xmlns:a16="http://schemas.microsoft.com/office/drawing/2014/main" id="{1199F466-9460-4AF2-9A8A-1EDADE3793F0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83099</xdr:colOff>
      <xdr:row>16</xdr:row>
      <xdr:rowOff>119131</xdr:rowOff>
    </xdr:from>
    <xdr:to>
      <xdr:col>16</xdr:col>
      <xdr:colOff>167310</xdr:colOff>
      <xdr:row>17</xdr:row>
      <xdr:rowOff>84976</xdr:rowOff>
    </xdr:to>
    <xdr:grpSp>
      <xdr:nvGrpSpPr>
        <xdr:cNvPr id="359" name="Group 358">
          <a:extLst>
            <a:ext uri="{FF2B5EF4-FFF2-40B4-BE49-F238E27FC236}">
              <a16:creationId xmlns:a16="http://schemas.microsoft.com/office/drawing/2014/main" id="{8C2B112F-C1E9-42CD-8578-09ED0385C68C}"/>
            </a:ext>
          </a:extLst>
        </xdr:cNvPr>
        <xdr:cNvGrpSpPr/>
      </xdr:nvGrpSpPr>
      <xdr:grpSpPr>
        <a:xfrm rot="19949595">
          <a:off x="5731838" y="2554218"/>
          <a:ext cx="84211" cy="114932"/>
          <a:chOff x="4078687" y="2907502"/>
          <a:chExt cx="80544" cy="128391"/>
        </a:xfrm>
      </xdr:grpSpPr>
      <xdr:cxnSp macro="">
        <xdr:nvCxnSpPr>
          <xdr:cNvPr id="360" name="Straight Connector 359">
            <a:extLst>
              <a:ext uri="{FF2B5EF4-FFF2-40B4-BE49-F238E27FC236}">
                <a16:creationId xmlns:a16="http://schemas.microsoft.com/office/drawing/2014/main" id="{FDFB24EE-CCDD-46A2-A27B-0977F1319243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1" name="Straight Connector 360">
            <a:extLst>
              <a:ext uri="{FF2B5EF4-FFF2-40B4-BE49-F238E27FC236}">
                <a16:creationId xmlns:a16="http://schemas.microsoft.com/office/drawing/2014/main" id="{6F02D55A-DA60-42AB-A04A-53AF8697E6D6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2" name="Straight Connector 50">
            <a:extLst>
              <a:ext uri="{FF2B5EF4-FFF2-40B4-BE49-F238E27FC236}">
                <a16:creationId xmlns:a16="http://schemas.microsoft.com/office/drawing/2014/main" id="{9BD54E9B-39D2-43E4-A2F9-25FD01ABBEA5}"/>
              </a:ext>
            </a:extLst>
          </xdr:cNvPr>
          <xdr:cNvCxnSpPr/>
        </xdr:nvCxnSpPr>
        <xdr:spPr>
          <a:xfrm flipH="1" flipV="1">
            <a:off x="4095312" y="2907502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3" name="Straight Connector 362">
            <a:extLst>
              <a:ext uri="{FF2B5EF4-FFF2-40B4-BE49-F238E27FC236}">
                <a16:creationId xmlns:a16="http://schemas.microsoft.com/office/drawing/2014/main" id="{18C0FC9C-4826-4C98-90D2-1DDA28E88B4B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191959</xdr:colOff>
      <xdr:row>32</xdr:row>
      <xdr:rowOff>80253</xdr:rowOff>
    </xdr:from>
    <xdr:to>
      <xdr:col>15</xdr:col>
      <xdr:colOff>274226</xdr:colOff>
      <xdr:row>33</xdr:row>
      <xdr:rowOff>46098</xdr:rowOff>
    </xdr:to>
    <xdr:grpSp>
      <xdr:nvGrpSpPr>
        <xdr:cNvPr id="364" name="Group 363">
          <a:extLst>
            <a:ext uri="{FF2B5EF4-FFF2-40B4-BE49-F238E27FC236}">
              <a16:creationId xmlns:a16="http://schemas.microsoft.com/office/drawing/2014/main" id="{EE9AAE41-5B5E-4EA1-A275-7250FB9F2AB2}"/>
            </a:ext>
          </a:extLst>
        </xdr:cNvPr>
        <xdr:cNvGrpSpPr/>
      </xdr:nvGrpSpPr>
      <xdr:grpSpPr>
        <a:xfrm rot="246143">
          <a:off x="5459698" y="4892449"/>
          <a:ext cx="82267" cy="114932"/>
          <a:chOff x="4078687" y="2907502"/>
          <a:chExt cx="80544" cy="128391"/>
        </a:xfrm>
      </xdr:grpSpPr>
      <xdr:cxnSp macro="">
        <xdr:nvCxnSpPr>
          <xdr:cNvPr id="365" name="Straight Connector 364">
            <a:extLst>
              <a:ext uri="{FF2B5EF4-FFF2-40B4-BE49-F238E27FC236}">
                <a16:creationId xmlns:a16="http://schemas.microsoft.com/office/drawing/2014/main" id="{94FCC8D6-5B91-4F10-8577-29F2FEA459D8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6" name="Straight Connector 365">
            <a:extLst>
              <a:ext uri="{FF2B5EF4-FFF2-40B4-BE49-F238E27FC236}">
                <a16:creationId xmlns:a16="http://schemas.microsoft.com/office/drawing/2014/main" id="{22E7D67C-CE16-47A7-A125-842FBF0E20ED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7" name="Straight Connector 50">
            <a:extLst>
              <a:ext uri="{FF2B5EF4-FFF2-40B4-BE49-F238E27FC236}">
                <a16:creationId xmlns:a16="http://schemas.microsoft.com/office/drawing/2014/main" id="{0A118247-F161-4A57-A713-BF65628855E9}"/>
              </a:ext>
            </a:extLst>
          </xdr:cNvPr>
          <xdr:cNvCxnSpPr/>
        </xdr:nvCxnSpPr>
        <xdr:spPr>
          <a:xfrm flipH="1" flipV="1">
            <a:off x="4095312" y="2907502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8" name="Straight Connector 367">
            <a:extLst>
              <a:ext uri="{FF2B5EF4-FFF2-40B4-BE49-F238E27FC236}">
                <a16:creationId xmlns:a16="http://schemas.microsoft.com/office/drawing/2014/main" id="{ADB4FB53-7E4B-470A-AAFD-12D04E780338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176213</xdr:colOff>
      <xdr:row>29</xdr:row>
      <xdr:rowOff>73450</xdr:rowOff>
    </xdr:from>
    <xdr:to>
      <xdr:col>18</xdr:col>
      <xdr:colOff>41998</xdr:colOff>
      <xdr:row>32</xdr:row>
      <xdr:rowOff>125405</xdr:rowOff>
    </xdr:to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C860628E-807D-4A1B-A02E-402CB7D88D80}"/>
            </a:ext>
          </a:extLst>
        </xdr:cNvPr>
        <xdr:cNvSpPr txBox="1"/>
      </xdr:nvSpPr>
      <xdr:spPr>
        <a:xfrm>
          <a:off x="5815013" y="4521625"/>
          <a:ext cx="627785" cy="49963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C11-200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CJ5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</a:p>
      </xdr:txBody>
    </xdr:sp>
    <xdr:clientData/>
  </xdr:twoCellAnchor>
  <xdr:twoCellAnchor>
    <xdr:from>
      <xdr:col>13</xdr:col>
      <xdr:colOff>157163</xdr:colOff>
      <xdr:row>16</xdr:row>
      <xdr:rowOff>149650</xdr:rowOff>
    </xdr:from>
    <xdr:to>
      <xdr:col>15</xdr:col>
      <xdr:colOff>22948</xdr:colOff>
      <xdr:row>20</xdr:row>
      <xdr:rowOff>39680</xdr:rowOff>
    </xdr:to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EE12D25D-ACD2-420C-9BA0-F5672558D19F}"/>
            </a:ext>
          </a:extLst>
        </xdr:cNvPr>
        <xdr:cNvSpPr txBox="1"/>
      </xdr:nvSpPr>
      <xdr:spPr>
        <a:xfrm>
          <a:off x="4652963" y="2616625"/>
          <a:ext cx="627785" cy="49963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C11-200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CJ5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13</xdr:col>
      <xdr:colOff>157163</xdr:colOff>
      <xdr:row>21</xdr:row>
      <xdr:rowOff>25825</xdr:rowOff>
    </xdr:from>
    <xdr:to>
      <xdr:col>15</xdr:col>
      <xdr:colOff>22948</xdr:colOff>
      <xdr:row>24</xdr:row>
      <xdr:rowOff>68255</xdr:rowOff>
    </xdr:to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1B73F495-1564-4E52-B6D1-E1F85565B5BB}"/>
            </a:ext>
          </a:extLst>
        </xdr:cNvPr>
        <xdr:cNvSpPr txBox="1"/>
      </xdr:nvSpPr>
      <xdr:spPr>
        <a:xfrm>
          <a:off x="4652963" y="3254800"/>
          <a:ext cx="627785" cy="49963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C11-200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CJ5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 editAs="oneCell">
    <xdr:from>
      <xdr:col>2</xdr:col>
      <xdr:colOff>139648</xdr:colOff>
      <xdr:row>43</xdr:row>
      <xdr:rowOff>104774</xdr:rowOff>
    </xdr:from>
    <xdr:to>
      <xdr:col>9</xdr:col>
      <xdr:colOff>2159</xdr:colOff>
      <xdr:row>54</xdr:row>
      <xdr:rowOff>75545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377E52-4C54-4D2A-8F07-302F5666B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148" y="6696074"/>
          <a:ext cx="2643811" cy="176147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51954</xdr:colOff>
      <xdr:row>13</xdr:row>
      <xdr:rowOff>121227</xdr:rowOff>
    </xdr:from>
    <xdr:to>
      <xdr:col>18</xdr:col>
      <xdr:colOff>588817</xdr:colOff>
      <xdr:row>52</xdr:row>
      <xdr:rowOff>58605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03C110-9FD7-46A3-BDE8-702774C9B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0999" y="2112818"/>
          <a:ext cx="5992091" cy="6016060"/>
        </a:xfrm>
        <a:prstGeom prst="rect">
          <a:avLst/>
        </a:prstGeom>
      </xdr:spPr>
    </xdr:pic>
    <xdr:clientData/>
  </xdr:twoCellAnchor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11</xdr:col>
      <xdr:colOff>103909</xdr:colOff>
      <xdr:row>38</xdr:row>
      <xdr:rowOff>69272</xdr:rowOff>
    </xdr:from>
    <xdr:to>
      <xdr:col>11</xdr:col>
      <xdr:colOff>121227</xdr:colOff>
      <xdr:row>48</xdr:row>
      <xdr:rowOff>17318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C1479FC6-CF92-45B8-A252-D09468808FB2}"/>
            </a:ext>
          </a:extLst>
        </xdr:cNvPr>
        <xdr:cNvCxnSpPr/>
      </xdr:nvCxnSpPr>
      <xdr:spPr>
        <a:xfrm flipV="1">
          <a:off x="5455227" y="5957454"/>
          <a:ext cx="17318" cy="150668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329046</xdr:colOff>
      <xdr:row>47</xdr:row>
      <xdr:rowOff>86591</xdr:rowOff>
    </xdr:from>
    <xdr:to>
      <xdr:col>11</xdr:col>
      <xdr:colOff>381001</xdr:colOff>
      <xdr:row>50</xdr:row>
      <xdr:rowOff>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4C0768C8-CB59-4F8C-944F-96306953BA54}"/>
            </a:ext>
          </a:extLst>
        </xdr:cNvPr>
        <xdr:cNvSpPr/>
      </xdr:nvSpPr>
      <xdr:spPr>
        <a:xfrm>
          <a:off x="5074228" y="7377546"/>
          <a:ext cx="658091" cy="38100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topLeftCell="A4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5" t="s">
        <v>1134</v>
      </c>
      <c r="C4" s="515"/>
      <c r="D4" s="515"/>
      <c r="E4" s="515"/>
      <c r="F4" s="515"/>
      <c r="G4" s="515"/>
      <c r="H4" s="51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6" t="s">
        <v>0</v>
      </c>
      <c r="C7" s="516" t="s">
        <v>1</v>
      </c>
      <c r="D7" s="517" t="s">
        <v>42</v>
      </c>
      <c r="E7" s="517" t="s">
        <v>43</v>
      </c>
      <c r="F7" s="517" t="s">
        <v>1135</v>
      </c>
      <c r="G7" s="518" t="s">
        <v>41</v>
      </c>
      <c r="H7" s="514" t="s">
        <v>1042</v>
      </c>
      <c r="I7" s="514" t="s">
        <v>1137</v>
      </c>
      <c r="J7" s="514" t="s">
        <v>1026</v>
      </c>
      <c r="K7" s="508" t="s">
        <v>1024</v>
      </c>
      <c r="L7" s="509"/>
    </row>
    <row r="8" spans="1:12" ht="15" customHeight="1">
      <c r="B8" s="516"/>
      <c r="C8" s="516"/>
      <c r="D8" s="517"/>
      <c r="E8" s="517"/>
      <c r="F8" s="517"/>
      <c r="G8" s="518"/>
      <c r="H8" s="514"/>
      <c r="I8" s="514"/>
      <c r="J8" s="514"/>
      <c r="K8" s="510"/>
      <c r="L8" s="511"/>
    </row>
    <row r="9" spans="1:12" ht="15" customHeight="1">
      <c r="B9" s="516"/>
      <c r="C9" s="516"/>
      <c r="D9" s="517"/>
      <c r="E9" s="517"/>
      <c r="F9" s="517"/>
      <c r="G9" s="518"/>
      <c r="H9" s="514"/>
      <c r="I9" s="514"/>
      <c r="J9" s="514"/>
      <c r="K9" s="512"/>
      <c r="L9" s="51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33 kVA MCCB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213</v>
      </c>
      <c r="G18" s="41">
        <f ca="1">IF(ISERROR(OFFSET('HARGA SATUAN'!$I$6,MATCH(C18,'HARGA SATUAN'!$C$7:$C$1492,0),0)),"",OFFSET('HARGA SATUAN'!$I$6,MATCH(C18,'HARGA SATUAN'!$C$7:$C$1492,0),0))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 4 x 16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20</v>
      </c>
      <c r="G19" s="41">
        <f ca="1">IF(ISERROR(OFFSET('HARGA SATUAN'!$I$6,MATCH(C19,'HARGA SATUAN'!$C$7:$C$1492,0),0)),"",OFFSET('HARGA SATUAN'!$I$6,MATCH(C19,'HARGA SATUAN'!$C$7:$C$1492,0),0))</f>
        <v>13500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SUMIFS(RAB!$F$14:$F$102,RAB!$C$14:$C$102,C714)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SUMIFS(RAB!$F$14:$F$102,RAB!$C$14:$C$102,C715)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SUMIFS(RAB!$F$14:$F$102,RAB!$C$14:$C$102,C716)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SUMIFS(RAB!$F$14:$F$102,RAB!$C$14:$C$102,C717)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SUMIFS(RAB!$F$14:$F$102,RAB!$C$14:$C$102,C718)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SUMIFS(RAB!$F$14:$F$102,RAB!$C$14:$C$102,C719)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SUMIFS(RAB!$F$14:$F$102,RAB!$C$14:$C$102,C720)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SUMIFS(RAB!$F$14:$F$102,RAB!$C$14:$C$102,C721)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SUMIFS(RAB!$F$14:$F$102,RAB!$C$14:$C$102,C722)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SUMIFS(RAB!$F$14:$F$102,RAB!$C$14:$C$102,C723)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SUMIFS(RAB!$F$14:$F$102,RAB!$C$14:$C$102,C724)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SUMIFS(RAB!$F$14:$F$102,RAB!$C$14:$C$102,C725)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SUMIFS(RAB!$F$14:$F$102,RAB!$C$14:$C$102,C726)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SUMIFS(RAB!$F$14:$F$102,RAB!$C$14:$C$102,C727)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SUMIFS(RAB!$F$14:$F$102,RAB!$C$14:$C$102,C728)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SUMIFS(RAB!$F$14:$F$102,RAB!$C$14:$C$102,C729)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SUMIFS(RAB!$F$14:$F$102,RAB!$C$14:$C$102,C730)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SUMIFS(RAB!$F$14:$F$102,RAB!$C$14:$C$102,C731)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SUMIFS(RAB!$F$14:$F$102,RAB!$C$14:$C$102,C732)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SUMIFS(RAB!$F$14:$F$102,RAB!$C$14:$C$102,C733)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SUMIFS(RAB!$F$14:$F$102,RAB!$C$14:$C$102,C734)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SUMIFS(RAB!$F$14:$F$102,RAB!$C$14:$C$102,C735)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SUMIFS(RAB!$F$14:$F$102,RAB!$C$14:$C$102,C736)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SUMIFS(RAB!$F$14:$F$102,RAB!$C$14:$C$102,C737)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SUMIFS(RAB!$F$14:$F$102,RAB!$C$14:$C$102,C738)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SUMIFS(RAB!$F$14:$F$102,RAB!$C$14:$C$102,C739)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SUMIFS(RAB!$F$14:$F$102,RAB!$C$14:$C$102,C740)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SUMIFS(RAB!$F$14:$F$102,RAB!$C$14:$C$102,C741)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SUMIFS(RAB!$F$14:$F$102,RAB!$C$14:$C$102,C742)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SUMIFS(RAB!$F$14:$F$102,RAB!$C$14:$C$102,C743)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SUMIFS(RAB!$F$14:$F$102,RAB!$C$14:$C$102,C744)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SUMIFS(RAB!$F$14:$F$102,RAB!$C$14:$C$102,C745)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SUMIFS(RAB!$F$14:$F$102,RAB!$C$14:$C$102,C746)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SUMIFS(RAB!$F$14:$F$102,RAB!$C$14:$C$102,C747)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SUMIFS(RAB!$F$14:$F$102,RAB!$C$14:$C$102,C748)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SUMIFS(RAB!$F$14:$F$102,RAB!$C$14:$C$102,C749)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SUMIFS(RAB!$F$14:$F$102,RAB!$C$14:$C$102,C750)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SUMIFS(RAB!$F$14:$F$102,RAB!$C$14:$C$102,C751)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SUMIFS(RAB!$F$14:$F$102,RAB!$C$14:$C$102,C752)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SUMIFS(RAB!$F$14:$F$102,RAB!$C$14:$C$102,C753)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SUMIFS(RAB!$F$14:$F$102,RAB!$C$14:$C$102,C754)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SUMIFS(RAB!$F$14:$F$102,RAB!$C$14:$C$102,C755)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SUMIFS(RAB!$F$14:$F$102,RAB!$C$14:$C$102,C756)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SUMIFS(RAB!$F$14:$F$102,RAB!$C$14:$C$102,C757)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SUMIFS(RAB!$F$14:$F$102,RAB!$C$14:$C$102,C758)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SUMIFS(RAB!$F$14:$F$102,RAB!$C$14:$C$102,C759)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SUMIFS(RAB!$F$14:$F$102,RAB!$C$14:$C$102,C760)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SUMIFS(RAB!$F$14:$F$102,RAB!$C$14:$C$102,C761)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SUMIFS(RAB!$F$14:$F$102,RAB!$C$14:$C$102,C762)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SUMIFS(RAB!$F$14:$F$102,RAB!$C$14:$C$102,C763)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SUMIFS(RAB!$F$14:$F$102,RAB!$C$14:$C$102,C764)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SUMIFS(RAB!$F$14:$F$102,RAB!$C$14:$C$102,C765)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SUMIFS(RAB!$F$14:$F$102,RAB!$C$14:$C$102,C766)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SUMIFS(RAB!$F$14:$F$102,RAB!$C$14:$C$102,C767)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SUMIFS(RAB!$F$14:$F$102,RAB!$C$14:$C$102,C768)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SUMIFS(RAB!$F$14:$F$102,RAB!$C$14:$C$102,C769)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SUMIFS(RAB!$F$14:$F$102,RAB!$C$14:$C$102,C770)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SUMIFS(RAB!$F$14:$F$102,RAB!$C$14:$C$102,C771)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SUMIFS(RAB!$F$14:$F$102,RAB!$C$14:$C$102,C772)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SUMIFS(RAB!$F$14:$F$102,RAB!$C$14:$C$102,C773)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SUMIFS(RAB!$F$14:$F$102,RAB!$C$14:$C$102,C774)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SUMIFS(RAB!$F$14:$F$102,RAB!$C$14:$C$102,C775)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SUMIFS(RAB!$F$14:$F$102,RAB!$C$14:$C$102,C776)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SUMIFS(RAB!$F$14:$F$102,RAB!$C$14:$C$102,C777)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SUMIFS(RAB!$F$14:$F$102,RAB!$C$14:$C$102,C778)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SUMIFS(RAB!$F$14:$F$102,RAB!$C$14:$C$102,C779)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SUMIFS(RAB!$F$14:$F$102,RAB!$C$14:$C$102,C780)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SUMIFS(RAB!$F$14:$F$102,RAB!$C$14:$C$102,C781)</f>
        <v>1</v>
      </c>
      <c r="E781" s="26">
        <f t="shared" ca="1" si="34"/>
        <v>1</v>
      </c>
      <c r="F781" s="26">
        <f ca="1">IF(D781=0,0,SUM($E$713:E781))</f>
        <v>2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SUMIFS(RAB!$F$14:$F$102,RAB!$C$14:$C$102,C782)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SUMIFS(RAB!$F$14:$F$102,RAB!$C$14:$C$102,C783)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SUMIFS(RAB!$F$14:$F$102,RAB!$C$14:$C$102,C784)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SUMIFS(RAB!$F$14:$F$102,RAB!$C$14:$C$102,C785)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SUMIFS(RAB!$F$14:$F$102,RAB!$C$14:$C$102,C786)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SUMIFS(RAB!$F$14:$F$102,RAB!$C$14:$C$102,C787)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SUMIFS(RAB!$F$14:$F$102,RAB!$C$14:$C$102,C788)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SUMIFS(RAB!$F$14:$F$102,RAB!$C$14:$C$102,C789)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SUMIFS(RAB!$F$14:$F$102,RAB!$C$14:$C$102,C790)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SUMIFS(RAB!$F$14:$F$102,RAB!$C$14:$C$102,C791)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SUMIFS(RAB!$F$14:$F$102,RAB!$C$14:$C$102,C792)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SUMIFS(RAB!$F$14:$F$102,RAB!$C$14:$C$102,C793)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SUMIFS(RAB!$F$14:$F$102,RAB!$C$14:$C$102,C794)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SUMIFS(RAB!$F$14:$F$102,RAB!$C$14:$C$102,C795)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SUMIFS(RAB!$F$14:$F$102,RAB!$C$14:$C$102,C796)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SUMIFS(RAB!$F$14:$F$102,RAB!$C$14:$C$102,C797)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SUMIFS(RAB!$F$14:$F$102,RAB!$C$14:$C$102,C798)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SUMIFS(RAB!$F$14:$F$102,RAB!$C$14:$C$102,C799)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SUMIFS(RAB!$F$14:$F$102,RAB!$C$14:$C$102,C800)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SUMIFS(RAB!$F$14:$F$102,RAB!$C$14:$C$102,C801)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SUMIFS(RAB!$F$14:$F$102,RAB!$C$14:$C$102,C802)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SUMIFS(RAB!$F$14:$F$102,RAB!$C$14:$C$102,C803)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SUMIFS(RAB!$F$14:$F$102,RAB!$C$14:$C$102,C804)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SUMIFS(RAB!$F$14:$F$102,RAB!$C$14:$C$102,C805)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SUMIFS(RAB!$F$14:$F$102,RAB!$C$14:$C$102,C806)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SUMIFS(RAB!$F$14:$F$102,RAB!$C$14:$C$102,C807)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SUMIFS(RAB!$F$14:$F$102,RAB!$C$14:$C$102,C808)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SUMIFS(RAB!$F$14:$F$102,RAB!$C$14:$C$102,C809)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SUMIFS(RAB!$F$14:$F$102,RAB!$C$14:$C$102,C810)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SUMIFS(RAB!$F$14:$F$102,RAB!$C$14:$C$102,C811)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SUMIFS(RAB!$F$14:$F$102,RAB!$C$14:$C$102,C812)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SUMIFS(RAB!$F$14:$F$102,RAB!$C$14:$C$102,C813)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SUMIFS(RAB!$F$14:$F$102,RAB!$C$14:$C$102,C814)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SUMIFS(RAB!$F$14:$F$102,RAB!$C$14:$C$102,C815)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SUMIFS(RAB!$F$14:$F$102,RAB!$C$14:$C$102,C816)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SUMIFS(RAB!$F$14:$F$102,RAB!$C$14:$C$102,C817)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SUMIFS(RAB!$F$14:$F$102,RAB!$C$14:$C$102,C818)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SUMIFS(RAB!$F$14:$F$102,RAB!$C$14:$C$102,C819)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SUMIFS(RAB!$F$14:$F$102,RAB!$C$14:$C$102,C820)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SUMIFS(RAB!$F$14:$F$102,RAB!$C$14:$C$102,C821)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SUMIFS(RAB!$F$14:$F$102,RAB!$C$14:$C$102,C822)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SUMIFS(RAB!$F$14:$F$102,RAB!$C$14:$C$102,C823)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SUMIFS(RAB!$F$14:$F$102,RAB!$C$14:$C$102,C824)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SUMIFS(RAB!$F$14:$F$102,RAB!$C$14:$C$102,C825)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SUMIFS(RAB!$F$14:$F$102,RAB!$C$14:$C$102,C826)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SUMIFS(RAB!$F$14:$F$102,RAB!$C$14:$C$102,C827)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SUMIFS(RAB!$F$14:$F$102,RAB!$C$14:$C$102,C828)</f>
        <v>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SUMIFS(RAB!$F$14:$F$102,RAB!$C$14:$C$102,C829)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SUMIFS(RAB!$F$14:$F$102,RAB!$C$14:$C$102,C830)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SUMIFS(RAB!$F$14:$F$102,RAB!$C$14:$C$102,C831)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SUMIFS(RAB!$F$14:$F$102,RAB!$C$14:$C$102,C832)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SUMIFS(RAB!$F$14:$F$102,RAB!$C$14:$C$102,C833)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SUMIFS(RAB!$F$14:$F$102,RAB!$C$14:$C$102,C834)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SUMIFS(RAB!$F$14:$F$102,RAB!$C$14:$C$102,C835)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SUMIFS(RAB!$F$14:$F$102,RAB!$C$14:$C$102,C836)</f>
        <v>213</v>
      </c>
      <c r="E836" s="26">
        <f t="shared" ca="1" si="34"/>
        <v>1</v>
      </c>
      <c r="F836" s="26">
        <f ca="1">IF(D836=0,0,SUM($E$713:E836))</f>
        <v>7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SUMIFS(RAB!$F$14:$F$102,RAB!$C$14:$C$102,C837)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SUMIFS(RAB!$F$14:$F$102,RAB!$C$14:$C$102,C838)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SUMIFS(RAB!$F$14:$F$102,RAB!$C$14:$C$102,C839)</f>
        <v>20</v>
      </c>
      <c r="E839" s="26">
        <f t="shared" ca="1" si="34"/>
        <v>1</v>
      </c>
      <c r="F839" s="26">
        <f ca="1">IF(D839=0,0,SUM($E$713:E839))</f>
        <v>8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SUMIFS(RAB!$F$14:$F$102,RAB!$C$14:$C$102,C840)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SUMIFS(RAB!$F$14:$F$102,RAB!$C$14:$C$102,C841)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SUMIFS(RAB!$F$14:$F$102,RAB!$C$14:$C$102,C842)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SUMIFS(RAB!$F$14:$F$102,RAB!$C$14:$C$102,C843)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SUMIFS(RAB!$F$14:$F$102,RAB!$C$14:$C$102,C844)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SUMIFS(RAB!$F$14:$F$102,RAB!$C$14:$C$102,C845)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SUMIFS(RAB!$F$14:$F$102,RAB!$C$14:$C$102,C846)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SUMIFS(RAB!$F$14:$F$102,RAB!$C$14:$C$102,C847)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SUMIFS(RAB!$F$14:$F$102,RAB!$C$14:$C$102,C848)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SUMIFS(RAB!$F$14:$F$102,RAB!$C$14:$C$102,C849)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SUMIFS(RAB!$F$14:$F$102,RAB!$C$14:$C$102,C850)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SUMIFS(RAB!$F$14:$F$102,RAB!$C$14:$C$102,C851)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SUMIFS(RAB!$F$14:$F$102,RAB!$C$14:$C$102,C852)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SUMIFS(RAB!$F$14:$F$102,RAB!$C$14:$C$102,C853)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SUMIFS(RAB!$F$14:$F$102,RAB!$C$14:$C$102,C854)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SUMIFS(RAB!$F$14:$F$102,RAB!$C$14:$C$102,C855)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SUMIFS(RAB!$F$14:$F$102,RAB!$C$14:$C$102,C856)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SUMIFS(RAB!$F$14:$F$102,RAB!$C$14:$C$102,C857)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SUMIFS(RAB!$F$14:$F$102,RAB!$C$14:$C$102,C858)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SUMIFS(RAB!$F$14:$F$102,RAB!$C$14:$C$102,C859)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SUMIFS(RAB!$F$14:$F$102,RAB!$C$14:$C$102,C860)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SUMIFS(RAB!$F$14:$F$102,RAB!$C$14:$C$102,C861)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SUMIFS(RAB!$F$14:$F$102,RAB!$C$14:$C$102,C862)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SUMIFS(RAB!$F$14:$F$102,RAB!$C$14:$C$102,C863)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SUMIFS(RAB!$F$14:$F$102,RAB!$C$14:$C$102,C864)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SUMIFS(RAB!$F$14:$F$102,RAB!$C$14:$C$102,C865)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SUMIFS(RAB!$F$14:$F$102,RAB!$C$14:$C$102,C866)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SUMIFS(RAB!$F$14:$F$102,RAB!$C$14:$C$102,C867)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SUMIFS(RAB!$F$14:$F$102,RAB!$C$14:$C$102,C868)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SUMIFS(RAB!$F$14:$F$102,RAB!$C$14:$C$102,C869)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SUMIFS(RAB!$F$14:$F$102,RAB!$C$14:$C$102,C870)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SUMIFS(RAB!$F$14:$F$102,RAB!$C$14:$C$102,C871)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SUMIFS(RAB!$F$14:$F$102,RAB!$C$14:$C$102,C872)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SUMIFS(RAB!$F$14:$F$102,RAB!$C$14:$C$102,C873)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SUMIFS(RAB!$F$14:$F$102,RAB!$C$14:$C$102,C874)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SUMIFS(RAB!$F$14:$F$102,RAB!$C$14:$C$102,C875)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SUMIFS(RAB!$F$14:$F$102,RAB!$C$14:$C$102,C876)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SUMIFS(RAB!$F$14:$F$102,RAB!$C$14:$C$102,C877)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SUMIFS(RAB!$F$14:$F$102,RAB!$C$14:$C$102,C878)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SUMIFS(RAB!$F$14:$F$102,RAB!$C$14:$C$102,C879)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SUMIFS(RAB!$F$14:$F$102,RAB!$C$14:$C$102,C880)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SUMIFS(RAB!$F$14:$F$102,RAB!$C$14:$C$102,C881)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SUMIFS(RAB!$F$14:$F$102,RAB!$C$14:$C$102,C882)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SUMIFS(RAB!$F$14:$F$102,RAB!$C$14:$C$102,C883)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SUMIFS(RAB!$F$14:$F$102,RAB!$C$14:$C$102,C884)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SUMIFS(RAB!$F$14:$F$102,RAB!$C$14:$C$102,C885)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SUMIFS(RAB!$F$14:$F$102,RAB!$C$14:$C$102,C886)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SUMIFS(RAB!$F$14:$F$102,RAB!$C$14:$C$102,C887)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SUMIFS(RAB!$F$14:$F$102,RAB!$C$14:$C$102,C888)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SUMIFS(RAB!$F$14:$F$102,RAB!$C$14:$C$102,C889)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SUMIFS(RAB!$F$14:$F$102,RAB!$C$14:$C$102,C890)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SUMIFS(RAB!$F$14:$F$102,RAB!$C$14:$C$102,C891)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SUMIFS(RAB!$F$14:$F$102,RAB!$C$14:$C$102,C892)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SUMIFS(RAB!$F$14:$F$102,RAB!$C$14:$C$102,C893)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SUMIFS(RAB!$F$14:$F$102,RAB!$C$14:$C$102,C894)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SUMIFS(RAB!$F$14:$F$102,RAB!$C$14:$C$102,C895)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SUMIFS(RAB!$F$14:$F$102,RAB!$C$14:$C$102,C896)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SUMIFS(RAB!$F$14:$F$102,RAB!$C$14:$C$102,C897)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SUMIFS(RAB!$F$14:$F$102,RAB!$C$14:$C$102,C898)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SUMIFS(RAB!$F$14:$F$102,RAB!$C$14:$C$102,C899)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SUMIFS(RAB!$F$14:$F$102,RAB!$C$14:$C$102,C900)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SUMIFS(RAB!$F$14:$F$102,RAB!$C$14:$C$102,C901)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SUMIFS(RAB!$F$14:$F$102,RAB!$C$14:$C$102,C902)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SUMIFS(RAB!$F$14:$F$102,RAB!$C$14:$C$102,C903)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SUMIFS(RAB!$F$14:$F$102,RAB!$C$14:$C$102,C904)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SUMIFS(RAB!$F$14:$F$102,RAB!$C$14:$C$102,C905)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SUMIFS(RAB!$F$14:$F$102,RAB!$C$14:$C$102,C906)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SUMIFS(RAB!$F$14:$F$102,RAB!$C$14:$C$102,C907)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SUMIFS(RAB!$F$14:$F$102,RAB!$C$14:$C$102,C908)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SUMIFS(RAB!$F$14:$F$102,RAB!$C$14:$C$102,C909)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SUMIFS(RAB!$F$14:$F$102,RAB!$C$14:$C$102,C910)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SUMIFS(RAB!$F$14:$F$102,RAB!$C$14:$C$102,C911)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SUMIFS(RAB!$F$14:$F$102,RAB!$C$14:$C$102,C912)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SUMIFS(RAB!$F$14:$F$102,RAB!$C$14:$C$102,C913)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SUMIFS(RAB!$F$14:$F$102,RAB!$C$14:$C$102,C914)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SUMIFS(RAB!$F$14:$F$102,RAB!$C$14:$C$102,C915)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SUMIFS(RAB!$F$14:$F$102,RAB!$C$14:$C$102,C916)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SUMIFS(RAB!$F$14:$F$102,RAB!$C$14:$C$102,C917)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SUMIFS(RAB!$F$14:$F$102,RAB!$C$14:$C$102,C918)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SUMIFS(RAB!$F$14:$F$102,RAB!$C$14:$C$102,C919)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SUMIFS(RAB!$F$14:$F$102,RAB!$C$14:$C$102,C920)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SUMIFS(RAB!$F$14:$F$102,RAB!$C$14:$C$102,C921)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SUMIFS(RAB!$F$14:$F$102,RAB!$C$14:$C$102,C922)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SUMIFS(RAB!$F$14:$F$102,RAB!$C$14:$C$102,C923)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SUMIFS(RAB!$F$14:$F$102,RAB!$C$14:$C$102,C924)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SUMIFS(RAB!$F$14:$F$102,RAB!$C$14:$C$102,C925)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SUMIFS(RAB!$F$14:$F$102,RAB!$C$14:$C$102,C926)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SUMIFS(RAB!$F$14:$F$102,RAB!$C$14:$C$102,C927)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SUMIFS(RAB!$F$14:$F$102,RAB!$C$14:$C$102,C928)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SUMIFS(RAB!$F$14:$F$102,RAB!$C$14:$C$102,C929)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SUMIFS(RAB!$F$14:$F$102,RAB!$C$14:$C$102,C930)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SUMIFS(RAB!$F$14:$F$102,RAB!$C$14:$C$102,C931)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SUMIFS(RAB!$F$14:$F$102,RAB!$C$14:$C$102,C932)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SUMIFS(RAB!$F$14:$F$102,RAB!$C$14:$C$102,C933)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SUMIFS(RAB!$F$14:$F$102,RAB!$C$14:$C$102,C934)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SUMIFS(RAB!$F$14:$F$102,RAB!$C$14:$C$102,C935)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SUMIFS(RAB!$F$14:$F$102,RAB!$C$14:$C$102,C936)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SUMIFS(RAB!$F$14:$F$102,RAB!$C$14:$C$102,C937)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SUMIFS(RAB!$F$14:$F$102,RAB!$C$14:$C$102,C938)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SUMIFS(RAB!$F$14:$F$102,RAB!$C$14:$C$102,C939)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SUMIFS(RAB!$F$14:$F$102,RAB!$C$14:$C$102,C940)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SUMIFS(RAB!$F$14:$F$102,RAB!$C$14:$C$102,C941)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SUMIFS(RAB!$F$14:$F$102,RAB!$C$14:$C$102,C942)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SUMIFS(RAB!$F$14:$F$102,RAB!$C$14:$C$102,C943)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SUMIFS(RAB!$F$14:$F$102,RAB!$C$14:$C$102,C944)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SUMIFS(RAB!$F$14:$F$102,RAB!$C$14:$C$102,C945)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SUMIFS(RAB!$F$14:$F$102,RAB!$C$14:$C$102,C946)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SUMIFS(RAB!$F$14:$F$102,RAB!$C$14:$C$102,C947)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SUMIFS(RAB!$F$14:$F$102,RAB!$C$14:$C$102,C948)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SUMIFS(RAB!$F$14:$F$102,RAB!$C$14:$C$102,C949)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SUMIFS(RAB!$F$14:$F$102,RAB!$C$14:$C$102,C950)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SUMIFS(RAB!$F$14:$F$102,RAB!$C$14:$C$102,C951)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SUMIFS(RAB!$F$14:$F$102,RAB!$C$14:$C$102,C952)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SUMIFS(RAB!$F$14:$F$102,RAB!$C$14:$C$102,C953)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SUMIFS(RAB!$F$14:$F$102,RAB!$C$14:$C$102,C954)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SUMIFS(RAB!$F$14:$F$102,RAB!$C$14:$C$102,C955)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SUMIFS(RAB!$F$14:$F$102,RAB!$C$14:$C$102,C956)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SUMIFS(RAB!$F$14:$F$102,RAB!$C$14:$C$102,C957)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SUMIFS(RAB!$F$14:$F$102,RAB!$C$14:$C$102,C958)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SUMIFS(RAB!$F$14:$F$102,RAB!$C$14:$C$102,C959)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SUMIFS(RAB!$F$14:$F$102,RAB!$C$14:$C$102,C960)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SUMIFS(RAB!$F$14:$F$102,RAB!$C$14:$C$102,C961)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SUMIFS(RAB!$F$14:$F$102,RAB!$C$14:$C$102,C962)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SUMIFS(RAB!$F$14:$F$102,RAB!$C$14:$C$102,C963)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SUMIFS(RAB!$F$14:$F$102,RAB!$C$14:$C$102,C964)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SUMIFS(RAB!$F$14:$F$102,RAB!$C$14:$C$102,C965)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SUMIFS(RAB!$F$14:$F$102,RAB!$C$14:$C$102,C966)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SUMIFS(RAB!$F$14:$F$102,RAB!$C$14:$C$102,C967)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SUMIFS(RAB!$F$14:$F$102,RAB!$C$14:$C$102,C968)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SUMIFS(RAB!$F$14:$F$102,RAB!$C$14:$C$102,C969)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SUMIFS(RAB!$F$14:$F$102,RAB!$C$14:$C$102,C970)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SUMIFS(RAB!$F$14:$F$102,RAB!$C$14:$C$102,C971)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SUMIFS(RAB!$F$14:$F$102,RAB!$C$14:$C$102,C972)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SUMIFS(RAB!$F$14:$F$102,RAB!$C$14:$C$102,C973)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SUMIFS(RAB!$F$14:$F$102,RAB!$C$14:$C$102,C974)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SUMIFS(RAB!$F$14:$F$102,RAB!$C$14:$C$102,C975)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SUMIFS(RAB!$F$14:$F$102,RAB!$C$14:$C$102,C976)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SUMIFS(RAB!$F$14:$F$102,RAB!$C$14:$C$102,C977)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SUMIFS(RAB!$F$14:$F$102,RAB!$C$14:$C$102,C978)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SUMIFS(RAB!$F$14:$F$102,RAB!$C$14:$C$102,C979)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SUMIFS(RAB!$F$14:$F$102,RAB!$C$14:$C$102,C980)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SUMIFS(RAB!$F$14:$F$102,RAB!$C$14:$C$102,C981)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SUMIFS(RAB!$F$14:$F$102,RAB!$C$14:$C$102,C982)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SUMIFS(RAB!$F$14:$F$102,RAB!$C$14:$C$102,C983)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SUMIFS(RAB!$F$14:$F$102,RAB!$C$14:$C$102,C984)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SUMIFS(RAB!$F$14:$F$102,RAB!$C$14:$C$102,C985)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SUMIFS(RAB!$F$14:$F$102,RAB!$C$14:$C$102,C986)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SUMIFS(RAB!$F$14:$F$102,RAB!$C$14:$C$102,C987)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SUMIFS(RAB!$F$14:$F$102,RAB!$C$14:$C$102,C988)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SUMIFS(RAB!$F$14:$F$102,RAB!$C$14:$C$102,C989)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SUMIFS(RAB!$F$14:$F$102,RAB!$C$14:$C$102,C990)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SUMIFS(RAB!$F$14:$F$102,RAB!$C$14:$C$102,C991)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SUMIFS(RAB!$F$14:$F$102,RAB!$C$14:$C$102,C992)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SUMIFS(RAB!$F$14:$F$102,RAB!$C$14:$C$102,C993)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SUMIFS(RAB!$F$14:$F$102,RAB!$C$14:$C$102,C994)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SUMIFS(RAB!$F$14:$F$102,RAB!$C$14:$C$102,C995)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SUMIFS(RAB!$F$14:$F$102,RAB!$C$14:$C$102,C996)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SUMIFS(RAB!$F$14:$F$102,RAB!$C$14:$C$102,C997)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SUMIFS(RAB!$F$14:$F$102,RAB!$C$14:$C$102,C998)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SUMIFS(RAB!$F$14:$F$102,RAB!$C$14:$C$102,C999)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SUMIFS(RAB!$F$14:$F$102,RAB!$C$14:$C$102,C1000)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SUMIFS(RAB!$F$14:$F$102,RAB!$C$14:$C$102,C1001)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SUMIFS(RAB!$F$14:$F$102,RAB!$C$14:$C$102,C1002)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SUMIFS(RAB!$F$14:$F$102,RAB!$C$14:$C$102,C1003)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SUMIFS(RAB!$F$14:$F$102,RAB!$C$14:$C$102,C1004)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SUMIFS(RAB!$F$14:$F$102,RAB!$C$14:$C$102,C1005)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SUMIFS(RAB!$F$14:$F$102,RAB!$C$14:$C$102,C1006)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SUMIFS(RAB!$F$14:$F$102,RAB!$C$14:$C$102,C1007)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SUMIFS(RAB!$F$14:$F$102,RAB!$C$14:$C$102,C1008)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SUMIFS(RAB!$F$14:$F$102,RAB!$C$14:$C$102,C1009)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SUMIFS(RAB!$F$14:$F$102,RAB!$C$14:$C$102,C1010)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SUMIFS(RAB!$F$14:$F$102,RAB!$C$14:$C$102,C1011)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SUMIFS(RAB!$F$14:$F$102,RAB!$C$14:$C$102,C1012)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SUMIFS(RAB!$F$14:$F$102,RAB!$C$14:$C$102,C1013)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SUMIFS(RAB!$F$14:$F$102,RAB!$C$14:$C$102,C1014)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SUMIFS(RAB!$F$14:$F$102,RAB!$C$14:$C$102,C1015)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SUMIFS(RAB!$F$14:$F$102,RAB!$C$14:$C$102,C1016)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SUMIFS(RAB!$F$14:$F$102,RAB!$C$14:$C$102,C1017)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SUMIFS(RAB!$F$14:$F$102,RAB!$C$14:$C$102,C1018)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SUMIFS(RAB!$F$14:$F$102,RAB!$C$14:$C$102,C1019)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SUMIFS(RAB!$F$14:$F$102,RAB!$C$14:$C$102,C1020)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SUMIFS(RAB!$F$14:$F$102,RAB!$C$14:$C$102,C1021)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SUMIFS(RAB!$F$14:$F$102,RAB!$C$14:$C$102,C1022)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SUMIFS(RAB!$F$14:$F$102,RAB!$C$14:$C$102,C1023)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SUMIFS(RAB!$F$14:$F$102,RAB!$C$14:$C$102,C1024)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SUMIFS(RAB!$F$14:$F$102,RAB!$C$14:$C$102,C1025)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SUMIFS(RAB!$F$14:$F$102,RAB!$C$14:$C$102,C1026)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SUMIFS(RAB!$F$14:$F$102,RAB!$C$14:$C$102,C1027)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SUMIFS(RAB!$F$14:$F$102,RAB!$C$14:$C$102,C1028)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SUMIFS(RAB!$F$14:$F$102,RAB!$C$14:$C$102,C1029)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SUMIFS(RAB!$F$14:$F$102,RAB!$C$14:$C$102,C1030)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SUMIFS(RAB!$F$14:$F$102,RAB!$C$14:$C$102,C1031)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SUMIFS(RAB!$F$14:$F$102,RAB!$C$14:$C$102,C1032)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SUMIFS(RAB!$F$14:$F$102,RAB!$C$14:$C$102,C1033)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SUMIFS(RAB!$F$14:$F$102,RAB!$C$14:$C$102,C1034)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SUMIFS(RAB!$F$14:$F$102,RAB!$C$14:$C$102,C1035)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SUMIFS(RAB!$F$14:$F$102,RAB!$C$14:$C$102,C1036)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SUMIFS(RAB!$F$14:$F$102,RAB!$C$14:$C$102,C1037)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SUMIFS(RAB!$F$14:$F$102,RAB!$C$14:$C$102,C1038)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SUMIFS(RAB!$F$14:$F$102,RAB!$C$14:$C$102,C1039)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SUMIFS(RAB!$F$14:$F$102,RAB!$C$14:$C$102,C1040)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SUMIFS(RAB!$F$14:$F$102,RAB!$C$14:$C$102,C1041)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SUMIFS(RAB!$F$14:$F$102,RAB!$C$14:$C$102,C1042)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SUMIFS(RAB!$F$14:$F$102,RAB!$C$14:$C$102,C1043)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SUMIFS(RAB!$F$14:$F$102,RAB!$C$14:$C$102,C1044)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SUMIFS(RAB!$F$14:$F$102,RAB!$C$14:$C$102,C1045)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SUMIFS(RAB!$F$14:$F$102,RAB!$C$14:$C$102,C1046)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SUMIFS(RAB!$F$14:$F$102,RAB!$C$14:$C$102,C1047)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SUMIFS(RAB!$F$14:$F$102,RAB!$C$14:$C$102,C1048)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SUMIFS(RAB!$F$14:$F$102,RAB!$C$14:$C$102,C1049)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SUMIFS(RAB!$F$14:$F$102,RAB!$C$14:$C$102,C1050)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SUMIFS(RAB!$F$14:$F$102,RAB!$C$14:$C$102,C1051)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SUMIFS(RAB!$F$14:$F$102,RAB!$C$14:$C$102,C1052)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SUMIFS(RAB!$F$14:$F$102,RAB!$C$14:$C$102,C1053)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SUMIFS(RAB!$F$14:$F$102,RAB!$C$14:$C$102,C1054)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SUMIFS(RAB!$F$14:$F$102,RAB!$C$14:$C$102,C1055)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SUMIFS(RAB!$F$14:$F$102,RAB!$C$14:$C$102,C1056)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SUMIFS(RAB!$F$14:$F$102,RAB!$C$14:$C$102,C1057)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SUMIFS(RAB!$F$14:$F$102,RAB!$C$14:$C$102,C1058)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SUMIFS(RAB!$F$14:$F$102,RAB!$C$14:$C$102,C1059)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SUMIFS(RAB!$F$14:$F$102,RAB!$C$14:$C$102,C1060)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SUMIFS(RAB!$F$14:$F$102,RAB!$C$14:$C$102,C1061)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SUMIFS(RAB!$F$14:$F$102,RAB!$C$14:$C$102,C1062)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SUMIFS(RAB!$F$14:$F$102,RAB!$C$14:$C$102,C1063)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SUMIFS(RAB!$F$14:$F$102,RAB!$C$14:$C$102,C1064)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SUMIFS(RAB!$F$14:$F$102,RAB!$C$14:$C$102,C1065)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SUMIFS(RAB!$F$14:$F$102,RAB!$C$14:$C$102,C1066)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SUMIFS(RAB!$F$14:$F$102,RAB!$C$14:$C$102,C1067)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SUMIFS(RAB!$F$14:$F$102,RAB!$C$14:$C$102,C1068)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SUMIFS(RAB!$F$14:$F$102,RAB!$C$14:$C$102,C1069)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SUMIFS(RAB!$F$14:$F$102,RAB!$C$14:$C$102,C1070)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SUMIFS(RAB!$F$14:$F$102,RAB!$C$14:$C$102,C1071)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SUMIFS(RAB!$F$14:$F$102,RAB!$C$14:$C$102,C1072)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SUMIFS(RAB!$F$14:$F$102,RAB!$C$14:$C$102,C1073)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SUMIFS(RAB!$F$14:$F$102,RAB!$C$14:$C$102,C1074)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SUMIFS(RAB!$F$14:$F$102,RAB!$C$14:$C$102,C1075)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SUMIFS(RAB!$F$14:$F$102,RAB!$C$14:$C$102,C1076)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SUMIFS(RAB!$F$14:$F$102,RAB!$C$14:$C$102,C1077)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SUMIFS(RAB!$F$14:$F$102,RAB!$C$14:$C$102,C1078)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SUMIFS(RAB!$F$14:$F$102,RAB!$C$14:$C$102,C1079)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SUMIFS(RAB!$F$14:$F$102,RAB!$C$14:$C$102,C1080)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SUMIFS(RAB!$F$14:$F$102,RAB!$C$14:$C$102,C1081)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SUMIFS(RAB!$F$14:$F$102,RAB!$C$14:$C$102,C1082)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SUMIFS(RAB!$F$14:$F$102,RAB!$C$14:$C$102,C1083)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SUMIFS(RAB!$F$14:$F$102,RAB!$C$14:$C$102,C1084)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SUMIFS(RAB!$F$14:$F$102,RAB!$C$14:$C$102,C1085)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SUMIFS(RAB!$F$14:$F$102,RAB!$C$14:$C$102,C1086)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SUMIFS(RAB!$F$14:$F$102,RAB!$C$14:$C$102,C1087)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SUMIFS(RAB!$F$14:$F$102,RAB!$C$14:$C$102,C1088)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SUMIFS(RAB!$F$14:$F$102,RAB!$C$14:$C$102,C1089)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SUMIFS(RAB!$F$14:$F$102,RAB!$C$14:$C$102,C1090)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SUMIFS(RAB!$F$14:$F$102,RAB!$C$14:$C$102,C1091)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SUMIFS(RAB!$F$14:$F$102,RAB!$C$14:$C$102,C1092)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SUMIFS(RAB!$F$14:$F$102,RAB!$C$14:$C$102,C1093)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SUMIFS(RAB!$F$14:$F$102,RAB!$C$14:$C$102,C1094)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SUMIFS(RAB!$F$14:$F$102,RAB!$C$14:$C$102,C1095)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SUMIFS(RAB!$F$14:$F$102,RAB!$C$14:$C$102,C1096)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SUMIFS(RAB!$F$14:$F$102,RAB!$C$14:$C$102,C1097)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SUMIFS(RAB!$F$14:$F$102,RAB!$C$14:$C$102,C1098)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SUMIFS(RAB!$F$14:$F$102,RAB!$C$14:$C$102,C1099)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SUMIFS(RAB!$F$14:$F$102,RAB!$C$14:$C$102,C1100)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SUMIFS(RAB!$F$14:$F$102,RAB!$C$14:$C$102,C1101)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SUMIFS(RAB!$F$14:$F$102,RAB!$C$14:$C$102,C1102)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SUMIFS(RAB!$F$14:$F$102,RAB!$C$14:$C$102,C1103)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SUMIFS(RAB!$F$14:$F$102,RAB!$C$14:$C$102,C1104)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SUMIFS(RAB!$F$14:$F$102,RAB!$C$14:$C$102,C1105)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SUMIFS(RAB!$F$14:$F$102,RAB!$C$14:$C$102,C1106)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SUMIFS(RAB!$F$14:$F$102,RAB!$C$14:$C$102,C1107)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SUMIFS(RAB!$F$14:$F$102,RAB!$C$14:$C$102,C1108)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SUMIFS(RAB!$F$14:$F$102,RAB!$C$14:$C$102,C1109)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SUMIFS(RAB!$F$14:$F$102,RAB!$C$14:$C$102,C1110)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SUMIFS(RAB!$F$14:$F$102,RAB!$C$14:$C$102,C1111)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SUMIFS(RAB!$F$14:$F$102,RAB!$C$14:$C$102,C1112)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SUMIFS(RAB!$F$14:$F$102,RAB!$C$14:$C$102,C1113)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SUMIFS(RAB!$F$14:$F$102,RAB!$C$14:$C$102,C1114)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SUMIFS(RAB!$F$14:$F$102,RAB!$C$14:$C$102,C1115)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SUMIFS(RAB!$F$14:$F$102,RAB!$C$14:$C$102,C1116)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SUMIFS(RAB!$F$14:$F$102,RAB!$C$14:$C$102,C1117)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SUMIFS(RAB!$F$14:$F$102,RAB!$C$14:$C$102,C1118)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SUMIFS(RAB!$F$14:$F$102,RAB!$C$14:$C$102,C1119)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SUMIFS(RAB!$F$14:$F$102,RAB!$C$14:$C$102,C1120)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SUMIFS(RAB!$F$14:$F$102,RAB!$C$14:$C$102,C1121)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SUMIFS(RAB!$F$14:$F$102,RAB!$C$14:$C$102,C1122)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SUMIFS(RAB!$F$14:$F$102,RAB!$C$14:$C$102,C1123)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SUMIFS(RAB!$F$14:$F$102,RAB!$C$14:$C$102,C1124)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SUMIFS(RAB!$F$14:$F$102,RAB!$C$14:$C$102,C1125)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SUMIFS(RAB!$F$14:$F$102,RAB!$C$14:$C$102,C1126)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SUMIFS(RAB!$F$14:$F$102,RAB!$C$14:$C$102,C1127)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SUMIFS(RAB!$F$14:$F$102,RAB!$C$14:$C$102,C1128)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SUMIFS(RAB!$F$14:$F$102,RAB!$C$14:$C$102,C1129)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SUMIFS(RAB!$F$14:$F$102,RAB!$C$14:$C$102,C1130)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SUMIFS(RAB!$F$14:$F$102,RAB!$C$14:$C$102,C1131)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SUMIFS(RAB!$F$14:$F$102,RAB!$C$14:$C$102,C1132)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SUMIFS(RAB!$F$14:$F$102,RAB!$C$14:$C$102,C1133)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SUMIFS(RAB!$F$14:$F$102,RAB!$C$14:$C$102,C1134)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SUMIFS(RAB!$F$14:$F$102,RAB!$C$14:$C$102,C1135)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SUMIFS(RAB!$F$14:$F$102,RAB!$C$14:$C$102,C1136)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SUMIFS(RAB!$F$14:$F$102,RAB!$C$14:$C$102,C1137)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SUMIFS(RAB!$F$14:$F$102,RAB!$C$14:$C$102,C1138)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SUMIFS(RAB!$F$14:$F$102,RAB!$C$14:$C$102,C1139)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SUMIFS(RAB!$F$14:$F$102,RAB!$C$14:$C$102,C1140)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SUMIFS(RAB!$F$14:$F$102,RAB!$C$14:$C$102,C1141)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SUMIFS(RAB!$F$14:$F$102,RAB!$C$14:$C$102,C1142)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SUMIFS(RAB!$F$14:$F$102,RAB!$C$14:$C$102,C1143)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SUMIFS(RAB!$F$14:$F$102,RAB!$C$14:$C$102,C1144)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SUMIFS(RAB!$F$14:$F$102,RAB!$C$14:$C$102,C1145)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SUMIFS(RAB!$F$14:$F$102,RAB!$C$14:$C$102,C1146)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SUMIFS(RAB!$F$14:$F$102,RAB!$C$14:$C$102,C1147)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SUMIFS(RAB!$F$14:$F$102,RAB!$C$14:$C$102,C1148)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SUMIFS(RAB!$F$14:$F$102,RAB!$C$14:$C$102,C1149)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SUMIFS(RAB!$F$14:$F$102,RAB!$C$14:$C$102,C1150)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SUMIFS(RAB!$F$14:$F$102,RAB!$C$14:$C$102,C1151)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SUMIFS(RAB!$F$14:$F$102,RAB!$C$14:$C$102,C1152)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SUMIFS(RAB!$F$14:$F$102,RAB!$C$14:$C$102,C1153)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SUMIFS(RAB!$F$14:$F$102,RAB!$C$14:$C$102,C1154)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SUMIFS(RAB!$F$14:$F$102,RAB!$C$14:$C$102,C1155)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SUMIFS(RAB!$F$14:$F$102,RAB!$C$14:$C$102,C1156)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SUMIFS(RAB!$F$14:$F$102,RAB!$C$14:$C$102,C1157)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SUMIFS(RAB!$F$14:$F$102,RAB!$C$14:$C$102,C1158)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SUMIFS(RAB!$F$14:$F$102,RAB!$C$14:$C$102,C1159)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SUMIFS(RAB!$F$14:$F$102,RAB!$C$14:$C$102,C1160)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SUMIFS(RAB!$F$14:$F$102,RAB!$C$14:$C$102,C1161)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SUMIFS(RAB!$F$14:$F$102,RAB!$C$14:$C$102,C1162)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SUMIFS(RAB!$F$14:$F$102,RAB!$C$14:$C$102,C1163)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SUMIFS(RAB!$F$14:$F$102,RAB!$C$14:$C$102,C1164)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SUMIFS(RAB!$F$14:$F$102,RAB!$C$14:$C$102,C1165)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SUMIFS(RAB!$F$14:$F$102,RAB!$C$14:$C$102,C1166)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SUMIFS(RAB!$F$14:$F$102,RAB!$C$14:$C$102,C1167)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SUMIFS(RAB!$F$14:$F$102,RAB!$C$14:$C$102,C1168)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SUMIFS(RAB!$F$14:$F$102,RAB!$C$14:$C$102,C1169)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SUMIFS(RAB!$F$14:$F$102,RAB!$C$14:$C$102,C1170)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SUMIFS(RAB!$F$14:$F$102,RAB!$C$14:$C$102,C1171)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SUMIFS(RAB!$F$14:$F$102,RAB!$C$14:$C$102,C1172)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SUMIFS(RAB!$F$14:$F$102,RAB!$C$14:$C$102,C1173)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SUMIFS(RAB!$F$14:$F$102,RAB!$C$14:$C$102,C1174)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SUMIFS(RAB!$F$14:$F$102,RAB!$C$14:$C$102,C1175)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SUMIFS(RAB!$F$14:$F$102,RAB!$C$14:$C$102,C1176)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SUMIFS(RAB!$F$14:$F$102,RAB!$C$14:$C$102,C1177)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SUMIFS(RAB!$F$14:$F$102,RAB!$C$14:$C$102,C1178)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SUMIFS(RAB!$F$14:$F$102,RAB!$C$14:$C$102,C1179)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SUMIFS(RAB!$F$14:$F$102,RAB!$C$14:$C$102,C1180)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SUMIFS(RAB!$F$14:$F$102,RAB!$C$14:$C$102,C1181)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SUMIFS(RAB!$F$14:$F$102,RAB!$C$14:$C$102,C1182)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SUMIFS(RAB!$F$14:$F$102,RAB!$C$14:$C$102,C1183)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SUMIFS(RAB!$F$14:$F$102,RAB!$C$14:$C$102,C1184)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SUMIFS(RAB!$F$14:$F$102,RAB!$C$14:$C$102,C1185)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SUMIFS(RAB!$F$14:$F$102,RAB!$C$14:$C$102,C1186)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SUMIFS(RAB!$F$14:$F$102,RAB!$C$14:$C$102,C1187)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SUMIFS(RAB!$F$14:$F$102,RAB!$C$14:$C$102,C1188)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SUMIFS(RAB!$F$14:$F$102,RAB!$C$14:$C$102,C1189)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SUMIFS(RAB!$F$14:$F$102,RAB!$C$14:$C$102,C1190)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SUMIFS(RAB!$F$14:$F$102,RAB!$C$14:$C$102,C1191)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SUMIFS(RAB!$F$14:$F$102,RAB!$C$14:$C$102,C1192)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SUMIFS(RAB!$F$14:$F$102,RAB!$C$14:$C$102,C1193)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SUMIFS(RAB!$F$14:$F$102,RAB!$C$14:$C$102,C1194)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SUMIFS(RAB!$F$14:$F$102,RAB!$C$14:$C$102,C1195)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SUMIFS(RAB!$F$14:$F$102,RAB!$C$14:$C$102,C1196)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SUMIFS(RAB!$F$14:$F$102,RAB!$C$14:$C$102,C1197)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SUMIFS(RAB!$F$14:$F$102,RAB!$C$14:$C$102,C1198)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SUMIFS(RAB!$F$14:$F$102,RAB!$C$14:$C$102,C1199)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SUMIFS(RAB!$F$14:$F$102,RAB!$C$14:$C$102,C1200)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SUMIFS(RAB!$F$14:$F$102,RAB!$C$14:$C$102,C1201)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SUMIFS(RAB!$F$14:$F$102,RAB!$C$14:$C$102,C1202)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SUMIFS(RAB!$F$14:$F$102,RAB!$C$14:$C$102,C1203)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SUMIFS(RAB!$F$14:$F$102,RAB!$C$14:$C$102,C1204)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SUMIFS(RAB!$F$14:$F$102,RAB!$C$14:$C$102,C1205)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SUMIFS(RAB!$F$14:$F$102,RAB!$C$14:$C$102,C1206)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SUMIFS(RAB!$F$14:$F$102,RAB!$C$14:$C$102,C1207)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SUMIFS(RAB!$F$14:$F$102,RAB!$C$14:$C$102,C1208)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SUMIFS(RAB!$F$14:$F$102,RAB!$C$14:$C$102,C1209)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SUMIFS(RAB!$F$14:$F$102,RAB!$C$14:$C$102,C1210)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SUMIFS(RAB!$F$14:$F$102,RAB!$C$14:$C$102,C1211)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SUMIFS(RAB!$F$14:$F$102,RAB!$C$14:$C$102,C1212)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SUMIFS(RAB!$F$14:$F$102,RAB!$C$14:$C$102,C1213)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SUMIFS(RAB!$F$14:$F$102,RAB!$C$14:$C$102,C1214)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SUMIFS(RAB!$F$14:$F$102,RAB!$C$14:$C$102,C1215)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SUMIFS(RAB!$F$14:$F$102,RAB!$C$14:$C$102,C1216)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SUMIFS(RAB!$F$14:$F$102,RAB!$C$14:$C$102,C1217)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SUMIFS(RAB!$F$14:$F$102,RAB!$C$14:$C$102,C1218)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SUMIFS(RAB!$F$14:$F$102,RAB!$C$14:$C$102,C1219)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SUMIFS(RAB!$F$14:$F$102,RAB!$C$14:$C$102,C1220)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SUMIFS(RAB!$F$14:$F$102,RAB!$C$14:$C$102,C1221)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SUMIFS(RAB!$F$14:$F$102,RAB!$C$14:$C$102,C1222)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SUMIFS(RAB!$F$14:$F$102,RAB!$C$14:$C$102,C1223)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SUMIFS(RAB!$F$14:$F$102,RAB!$C$14:$C$102,C1224)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SUMIFS(RAB!$F$14:$F$102,RAB!$C$14:$C$102,C1225)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SUMIFS(RAB!$F$14:$F$102,RAB!$C$14:$C$102,C1226)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SUMIFS(RAB!$F$14:$F$102,RAB!$C$14:$C$102,C1227)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SUMIFS(RAB!$F$14:$F$102,RAB!$C$14:$C$102,C1228)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SUMIFS(RAB!$F$14:$F$102,RAB!$C$14:$C$102,C1229)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SUMIFS(RAB!$F$14:$F$102,RAB!$C$14:$C$102,C1230)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SUMIFS(RAB!$F$14:$F$102,RAB!$C$14:$C$102,C1231)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SUMIFS(RAB!$F$14:$F$102,RAB!$C$14:$C$102,C1232)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SUMIFS(RAB!$F$14:$F$102,RAB!$C$14:$C$102,C1233)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SUMIFS(RAB!$F$14:$F$102,RAB!$C$14:$C$102,C1234)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SUMIFS(RAB!$F$14:$F$102,RAB!$C$14:$C$102,C1235)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SUMIFS(RAB!$F$14:$F$102,RAB!$C$14:$C$102,C1236)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SUMIFS(RAB!$F$14:$F$102,RAB!$C$14:$C$102,C1237)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SUMIFS(RAB!$F$14:$F$102,RAB!$C$14:$C$102,C1238)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SUMIFS(RAB!$F$14:$F$102,RAB!$C$14:$C$102,C1239)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SUMIFS(RAB!$F$14:$F$102,RAB!$C$14:$C$102,C1240)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SUMIFS(RAB!$F$14:$F$102,RAB!$C$14:$C$102,C1241)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SUMIFS(RAB!$F$14:$F$102,RAB!$C$14:$C$102,C1242)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SUMIFS(RAB!$F$14:$F$102,RAB!$C$14:$C$102,C1243)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SUMIFS(RAB!$F$14:$F$102,RAB!$C$14:$C$102,C1244)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SUMIFS(RAB!$F$14:$F$102,RAB!$C$14:$C$102,C1245)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SUMIFS(RAB!$F$14:$F$102,RAB!$C$14:$C$102,C1246)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SUMIFS(RAB!$F$14:$F$102,RAB!$C$14:$C$102,C1247)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SUMIFS(RAB!$F$14:$F$102,RAB!$C$14:$C$102,C1248)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SUMIFS(RAB!$F$14:$F$102,RAB!$C$14:$C$102,C1249)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SUMIFS(RAB!$F$14:$F$102,RAB!$C$14:$C$102,C1250)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SUMIFS(RAB!$F$14:$F$102,RAB!$C$14:$C$102,C1251)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SUMIFS(RAB!$F$14:$F$102,RAB!$C$14:$C$102,C1252)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SUMIFS(RAB!$F$14:$F$102,RAB!$C$14:$C$102,C1253)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SUMIFS(RAB!$F$14:$F$102,RAB!$C$14:$C$102,C1254)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SUMIFS(RAB!$F$14:$F$102,RAB!$C$14:$C$102,C1255)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SUMIFS(RAB!$F$14:$F$102,RAB!$C$14:$C$102,C1256)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SUMIFS(RAB!$F$14:$F$102,RAB!$C$14:$C$102,C1257)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SUMIFS(RAB!$F$14:$F$102,RAB!$C$14:$C$102,C1258)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SUMIFS(RAB!$F$14:$F$102,RAB!$C$14:$C$102,C1259)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SUMIFS(RAB!$F$14:$F$102,RAB!$C$14:$C$102,C1260)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SUMIFS(RAB!$F$14:$F$102,RAB!$C$14:$C$102,C1261)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SUMIFS(RAB!$F$14:$F$102,RAB!$C$14:$C$102,C1262)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SUMIFS(RAB!$F$14:$F$102,RAB!$C$14:$C$102,C1263)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SUMIFS(RAB!$F$14:$F$102,RAB!$C$14:$C$102,C1264)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SUMIFS(RAB!$F$14:$F$102,RAB!$C$14:$C$102,C1265)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SUMIFS(RAB!$F$14:$F$102,RAB!$C$14:$C$102,C1266)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SUMIFS(RAB!$F$14:$F$102,RAB!$C$14:$C$102,C1267)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SUMIFS(RAB!$F$14:$F$102,RAB!$C$14:$C$102,C1268)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SUMIFS(RAB!$F$14:$F$102,RAB!$C$14:$C$102,C1269)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SUMIFS(RAB!$F$14:$F$102,RAB!$C$14:$C$102,C1270)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SUMIFS(RAB!$F$14:$F$102,RAB!$C$14:$C$102,C1271)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SUMIFS(RAB!$F$14:$F$102,RAB!$C$14:$C$102,C1272)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SUMIFS(RAB!$F$14:$F$102,RAB!$C$14:$C$102,C1273)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SUMIFS(RAB!$F$14:$F$102,RAB!$C$14:$C$102,C1274)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SUMIFS(RAB!$F$14:$F$102,RAB!$C$14:$C$102,C1275)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SUMIFS(RAB!$F$14:$F$102,RAB!$C$14:$C$102,C1276)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SUMIFS(RAB!$F$14:$F$102,RAB!$C$14:$C$102,C1277)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SUMIFS(RAB!$F$14:$F$102,RAB!$C$14:$C$102,C1278)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SUMIFS(RAB!$F$14:$F$102,RAB!$C$14:$C$102,C1279)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SUMIFS(RAB!$F$14:$F$102,RAB!$C$14:$C$102,C1280)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SUMIFS(RAB!$F$14:$F$102,RAB!$C$14:$C$102,C1281)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SUMIFS(RAB!$F$14:$F$102,RAB!$C$14:$C$102,C1282)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SUMIFS(RAB!$F$14:$F$102,RAB!$C$14:$C$102,C1283)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SUMIFS(RAB!$F$14:$F$102,RAB!$C$14:$C$102,C1284)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SUMIFS(RAB!$F$14:$F$102,RAB!$C$14:$C$102,C1285)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SUMIFS(RAB!$F$14:$F$102,RAB!$C$14:$C$102,C1286)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SUMIFS(RAB!$F$14:$F$102,RAB!$C$14:$C$102,C1287)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SUMIFS(RAB!$F$14:$F$102,RAB!$C$14:$C$102,C1288)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SUMIFS(RAB!$F$14:$F$102,RAB!$C$14:$C$102,C1289)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SUMIFS(RAB!$F$14:$F$102,RAB!$C$14:$C$102,C1290)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SUMIFS(RAB!$F$14:$F$102,RAB!$C$14:$C$102,C1291)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SUMIFS(RAB!$F$14:$F$102,RAB!$C$14:$C$102,C1292)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SUMIFS(RAB!$F$14:$F$102,RAB!$C$14:$C$102,C1293)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SUMIFS(RAB!$F$14:$F$102,RAB!$C$14:$C$102,C1294)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SUMIFS(RAB!$F$14:$F$102,RAB!$C$14:$C$102,C1295)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SUMIFS(RAB!$F$14:$F$102,RAB!$C$14:$C$102,C1296)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SUMIFS(RAB!$F$14:$F$102,RAB!$C$14:$C$102,C1297)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SUMIFS(RAB!$F$14:$F$102,RAB!$C$14:$C$102,C1298)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SUMIFS(RAB!$F$14:$F$102,RAB!$C$14:$C$102,C1299)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SUMIFS(RAB!$F$14:$F$102,RAB!$C$14:$C$102,C1300)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SUMIFS(RAB!$F$14:$F$102,RAB!$C$14:$C$102,C1301)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SUMIFS(RAB!$F$14:$F$102,RAB!$C$14:$C$102,C1302)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SUMIFS(RAB!$F$14:$F$102,RAB!$C$14:$C$102,C1303)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SUMIFS(RAB!$F$14:$F$102,RAB!$C$14:$C$102,C1304)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SUMIFS(RAB!$F$14:$F$102,RAB!$C$14:$C$102,C1305)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SUMIFS(RAB!$F$14:$F$102,RAB!$C$14:$C$102,C1306)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SUMIFS(RAB!$F$14:$F$102,RAB!$C$14:$C$102,C1307)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SUMIFS(RAB!$F$14:$F$102,RAB!$C$14:$C$102,C1308)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SUMIFS(RAB!$F$14:$F$102,RAB!$C$14:$C$102,C1309)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SUMIFS(RAB!$F$14:$F$102,RAB!$C$14:$C$102,C1310)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SUMIFS(RAB!$F$14:$F$102,RAB!$C$14:$C$102,C1311)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SUMIFS(RAB!$F$14:$F$102,RAB!$C$14:$C$102,C1312)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SUMIFS(RAB!$F$14:$F$102,RAB!$C$14:$C$102,C1313)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SUMIFS(RAB!$F$14:$F$102,RAB!$C$14:$C$102,C1314)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SUMIFS(RAB!$F$14:$F$102,RAB!$C$14:$C$102,C1315)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SUMIFS(RAB!$F$14:$F$102,RAB!$C$14:$C$102,C1316)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SUMIFS(RAB!$F$14:$F$102,RAB!$C$14:$C$102,C1317)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SUMIFS(RAB!$F$14:$F$102,RAB!$C$14:$C$102,C1318)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SUMIFS(RAB!$F$14:$F$102,RAB!$C$14:$C$102,C1319)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SUMIFS(RAB!$F$14:$F$102,RAB!$C$14:$C$102,C1320)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E1:E3 E712:E713 H10:H11 H7 E1321:E65536 G712:G65536 E6:E11 G1:G11 F10:F711">
    <cfRule type="cellIs" dxfId="150" priority="69" stopIfTrue="1" operator="equal">
      <formula>0</formula>
    </cfRule>
  </conditionalFormatting>
  <conditionalFormatting sqref="A8:G9 F11:H11 A10:H10 B12 A1:J7 A712:H713 A1321:H65536 G714:H1320 M1:IV1048576 A714:D1320 F12:F711">
    <cfRule type="cellIs" dxfId="149" priority="68" operator="equal">
      <formula>0</formula>
    </cfRule>
  </conditionalFormatting>
  <conditionalFormatting sqref="A11:E11 A12:B12 A13:A711">
    <cfRule type="cellIs" dxfId="148" priority="67" operator="equal">
      <formula>0</formula>
    </cfRule>
  </conditionalFormatting>
  <conditionalFormatting sqref="H12:H711">
    <cfRule type="cellIs" dxfId="147" priority="49" operator="equal">
      <formula>0</formula>
    </cfRule>
  </conditionalFormatting>
  <conditionalFormatting sqref="C12:C711">
    <cfRule type="cellIs" dxfId="146" priority="66" stopIfTrue="1" operator="equal">
      <formula>0</formula>
    </cfRule>
  </conditionalFormatting>
  <conditionalFormatting sqref="C12:C711">
    <cfRule type="cellIs" dxfId="145" priority="65" operator="equal">
      <formula>0</formula>
    </cfRule>
  </conditionalFormatting>
  <conditionalFormatting sqref="H12:H711">
    <cfRule type="cellIs" dxfId="144" priority="50" stopIfTrue="1" operator="equal">
      <formula>0</formula>
    </cfRule>
  </conditionalFormatting>
  <conditionalFormatting sqref="B13:B711">
    <cfRule type="cellIs" dxfId="143" priority="46" operator="equal">
      <formula>0</formula>
    </cfRule>
  </conditionalFormatting>
  <conditionalFormatting sqref="D711:E711 B13:B711">
    <cfRule type="cellIs" dxfId="142" priority="45" operator="equal">
      <formula>0</formula>
    </cfRule>
  </conditionalFormatting>
  <conditionalFormatting sqref="I10:I11 I7">
    <cfRule type="cellIs" dxfId="141" priority="28" stopIfTrue="1" operator="equal">
      <formula>0</formula>
    </cfRule>
  </conditionalFormatting>
  <conditionalFormatting sqref="I712:I65536 I10:I11">
    <cfRule type="cellIs" dxfId="140" priority="27" operator="equal">
      <formula>0</formula>
    </cfRule>
  </conditionalFormatting>
  <conditionalFormatting sqref="I12:I711">
    <cfRule type="cellIs" dxfId="139" priority="25" operator="equal">
      <formula>0</formula>
    </cfRule>
  </conditionalFormatting>
  <conditionalFormatting sqref="I12:I711">
    <cfRule type="cellIs" dxfId="138" priority="26" stopIfTrue="1" operator="equal">
      <formula>0</formula>
    </cfRule>
  </conditionalFormatting>
  <conditionalFormatting sqref="J10:J11 J7">
    <cfRule type="cellIs" dxfId="137" priority="22" stopIfTrue="1" operator="equal">
      <formula>0</formula>
    </cfRule>
  </conditionalFormatting>
  <conditionalFormatting sqref="J712:J65536 J10:J11">
    <cfRule type="cellIs" dxfId="136" priority="21" operator="equal">
      <formula>0</formula>
    </cfRule>
  </conditionalFormatting>
  <conditionalFormatting sqref="J12:J711">
    <cfRule type="cellIs" dxfId="135" priority="19" operator="equal">
      <formula>0</formula>
    </cfRule>
  </conditionalFormatting>
  <conditionalFormatting sqref="J12:J711">
    <cfRule type="cellIs" dxfId="134" priority="20" stopIfTrue="1" operator="equal">
      <formula>0</formula>
    </cfRule>
  </conditionalFormatting>
  <conditionalFormatting sqref="E714:E1320">
    <cfRule type="cellIs" dxfId="133" priority="16" stopIfTrue="1" operator="equal">
      <formula>0</formula>
    </cfRule>
  </conditionalFormatting>
  <conditionalFormatting sqref="E714:F1320">
    <cfRule type="cellIs" dxfId="132" priority="15" operator="equal">
      <formula>0</formula>
    </cfRule>
  </conditionalFormatting>
  <conditionalFormatting sqref="D12:E710">
    <cfRule type="cellIs" dxfId="131" priority="14" operator="equal">
      <formula>0</formula>
    </cfRule>
  </conditionalFormatting>
  <conditionalFormatting sqref="G12:G711">
    <cfRule type="cellIs" dxfId="130" priority="12" stopIfTrue="1" operator="equal">
      <formula>0</formula>
    </cfRule>
  </conditionalFormatting>
  <conditionalFormatting sqref="G12:G711">
    <cfRule type="cellIs" dxfId="129" priority="11" operator="equal">
      <formula>0</formula>
    </cfRule>
  </conditionalFormatting>
  <conditionalFormatting sqref="L1:L6">
    <cfRule type="cellIs" dxfId="128" priority="10" operator="equal">
      <formula>0</formula>
    </cfRule>
  </conditionalFormatting>
  <conditionalFormatting sqref="L10:L11">
    <cfRule type="cellIs" dxfId="127" priority="9" stopIfTrue="1" operator="equal">
      <formula>0</formula>
    </cfRule>
  </conditionalFormatting>
  <conditionalFormatting sqref="L712:L65536 L10:L11">
    <cfRule type="cellIs" dxfId="126" priority="8" operator="equal">
      <formula>0</formula>
    </cfRule>
  </conditionalFormatting>
  <conditionalFormatting sqref="L12:L711">
    <cfRule type="cellIs" dxfId="125" priority="6" operator="equal">
      <formula>0</formula>
    </cfRule>
  </conditionalFormatting>
  <conditionalFormatting sqref="L12:L711">
    <cfRule type="cellIs" dxfId="124" priority="7" stopIfTrue="1" operator="equal">
      <formula>0</formula>
    </cfRule>
  </conditionalFormatting>
  <conditionalFormatting sqref="K1:K7">
    <cfRule type="cellIs" dxfId="123" priority="5" operator="equal">
      <formula>0</formula>
    </cfRule>
  </conditionalFormatting>
  <conditionalFormatting sqref="K10:K11 K7">
    <cfRule type="cellIs" dxfId="122" priority="4" stopIfTrue="1" operator="equal">
      <formula>0</formula>
    </cfRule>
  </conditionalFormatting>
  <conditionalFormatting sqref="K712:K65536 K10:K11">
    <cfRule type="cellIs" dxfId="121" priority="3" operator="equal">
      <formula>0</formula>
    </cfRule>
  </conditionalFormatting>
  <conditionalFormatting sqref="K12:K711">
    <cfRule type="cellIs" dxfId="120" priority="1" operator="equal">
      <formula>0</formula>
    </cfRule>
  </conditionalFormatting>
  <conditionalFormatting sqref="K12:K711">
    <cfRule type="cellIs" dxfId="119" priority="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9" t="s">
        <v>1127</v>
      </c>
      <c r="C4" s="519"/>
      <c r="D4" s="519"/>
      <c r="E4" s="519"/>
      <c r="F4" s="519"/>
      <c r="G4" s="519"/>
      <c r="H4" s="519"/>
      <c r="I4" s="519"/>
      <c r="J4" s="519"/>
      <c r="K4" s="51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3" t="str">
        <f>RAB!G6</f>
        <v>PB MUHLISIN</v>
      </c>
      <c r="H6" s="543"/>
      <c r="I6" s="543"/>
      <c r="J6" s="543"/>
      <c r="K6" s="54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DK KRAJAN SELATAN, DS KALI SARI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0" t="s">
        <v>0</v>
      </c>
      <c r="C11" s="522" t="s">
        <v>1</v>
      </c>
      <c r="D11" s="525" t="s">
        <v>42</v>
      </c>
      <c r="E11" s="525" t="s">
        <v>43</v>
      </c>
      <c r="F11" s="525" t="s">
        <v>2</v>
      </c>
      <c r="G11" s="527" t="s">
        <v>41</v>
      </c>
      <c r="H11" s="525" t="s">
        <v>3</v>
      </c>
      <c r="I11" s="525"/>
      <c r="J11" s="525"/>
      <c r="K11" s="530"/>
      <c r="M11" s="33"/>
      <c r="N11" s="33"/>
      <c r="O11" s="33"/>
      <c r="P11" s="33"/>
      <c r="R11" s="34"/>
      <c r="S11" s="74"/>
      <c r="T11" s="74"/>
    </row>
    <row r="12" spans="1:21" ht="15" customHeight="1">
      <c r="B12" s="521"/>
      <c r="C12" s="523"/>
      <c r="D12" s="526"/>
      <c r="E12" s="526"/>
      <c r="F12" s="526"/>
      <c r="G12" s="528"/>
      <c r="H12" s="534" t="s">
        <v>46</v>
      </c>
      <c r="I12" s="534" t="s">
        <v>5</v>
      </c>
      <c r="J12" s="526" t="s">
        <v>47</v>
      </c>
      <c r="K12" s="53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1"/>
      <c r="C13" s="524"/>
      <c r="D13" s="526"/>
      <c r="E13" s="526"/>
      <c r="F13" s="526"/>
      <c r="G13" s="529"/>
      <c r="H13" s="535"/>
      <c r="I13" s="535"/>
      <c r="J13" s="526"/>
      <c r="K13" s="53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4" t="s">
        <v>1008</v>
      </c>
      <c r="D38" s="544"/>
      <c r="E38" s="544"/>
      <c r="F38" s="544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5" t="s">
        <v>462</v>
      </c>
      <c r="D39" s="545"/>
      <c r="E39" s="545"/>
      <c r="F39" s="545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6" t="s">
        <v>463</v>
      </c>
      <c r="D40" s="536"/>
      <c r="E40" s="536"/>
      <c r="F40" s="536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7" t="e">
        <f ca="1">"Terbilang : ( "&amp;L42&amp;" Rupiah )"</f>
        <v>#NAME?</v>
      </c>
      <c r="C41" s="538"/>
      <c r="D41" s="538"/>
      <c r="E41" s="538"/>
      <c r="F41" s="538"/>
      <c r="G41" s="538"/>
      <c r="H41" s="538"/>
      <c r="I41" s="538"/>
      <c r="J41" s="538"/>
      <c r="K41" s="539"/>
      <c r="L41" s="44"/>
      <c r="R41" s="58"/>
      <c r="S41" s="58"/>
      <c r="T41" s="58"/>
    </row>
    <row r="42" spans="1:20" s="36" customFormat="1">
      <c r="A42" s="30"/>
      <c r="B42" s="540"/>
      <c r="C42" s="541"/>
      <c r="D42" s="541"/>
      <c r="E42" s="541"/>
      <c r="F42" s="541"/>
      <c r="G42" s="541"/>
      <c r="H42" s="541"/>
      <c r="I42" s="541"/>
      <c r="J42" s="541"/>
      <c r="K42" s="542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1"/>
      <c r="I45" s="531"/>
      <c r="J45" s="532"/>
      <c r="K45" s="53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1"/>
      <c r="I46" s="531"/>
      <c r="J46" s="532"/>
      <c r="K46" s="53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1"/>
      <c r="I47" s="531"/>
      <c r="J47" s="532"/>
      <c r="K47" s="53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1"/>
      <c r="I52" s="531"/>
      <c r="J52" s="532"/>
      <c r="K52" s="53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SUMIFS(RAB!$F$14:$F$102,RAB!$C$14:$C$102,'REKAP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SUMIFS(RAB!$F$14:$F$102,RAB!$C$14:$C$102,'REKAP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SUMIFS(RAB!$F$14:$F$102,RAB!$C$14:$C$102,'REKAP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SUMIFS(RAB!$F$14:$F$102,RAB!$C$14:$C$102,'REKAP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SUMIFS(RAB!$F$14:$F$102,RAB!$C$14:$C$102,'REKAP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SUMIFS(RAB!$F$14:$F$102,RAB!$C$14:$C$102,'REKAP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SUMIFS(RAB!$F$14:$F$102,RAB!$C$14:$C$102,'REKAP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SUMIFS(RAB!$F$14:$F$102,RAB!$C$14:$C$102,'REKAP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SUMIFS(RAB!$F$14:$F$102,RAB!$C$14:$C$102,'REKAP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SUMIFS(RAB!$F$14:$F$102,RAB!$C$14:$C$102,'REKAP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SUMIFS(RAB!$F$14:$F$102,RAB!$C$14:$C$102,'REKAP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SUMIFS(RAB!$F$14:$F$102,RAB!$C$14:$C$102,'REKAP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SUMIFS(RAB!$F$14:$F$102,RAB!$C$14:$C$102,'REKAP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SUMIFS(RAB!$F$14:$F$102,RAB!$C$14:$C$102,'REKAP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SUMIFS(RAB!$F$14:$F$102,RAB!$C$14:$C$102,'REKAP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SUMIFS(RAB!$F$14:$F$102,RAB!$C$14:$C$102,'REKAP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SUMIFS(RAB!$F$14:$F$102,RAB!$C$14:$C$102,'REKAP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SUMIFS(RAB!$F$14:$F$102,RAB!$C$14:$C$102,'REKAP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SUMIFS(RAB!$F$14:$F$102,RAB!$C$14:$C$102,'REKAP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SUMIFS(RAB!$F$14:$F$102,RAB!$C$14:$C$102,'REKAP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E37:F37 H37:K37 F36:K36 N13 H12:I12 F14:F15 E1:E3 F17:F35 H14:K35 C16:C35 R14:T36 G37:G65536 E41:E65536 G1:G35 E6:E15">
    <cfRule type="cellIs" dxfId="118" priority="4" stopIfTrue="1" operator="equal">
      <formula>0</formula>
    </cfRule>
  </conditionalFormatting>
  <conditionalFormatting sqref="G7:IV9 G6 L6:IV6 A10:XFD65536 A6:E9 A1:XFD5">
    <cfRule type="cellIs" dxfId="117" priority="2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C18" sqref="C18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9" t="s">
        <v>1034</v>
      </c>
      <c r="C4" s="519"/>
      <c r="D4" s="519"/>
      <c r="E4" s="519"/>
      <c r="F4" s="519"/>
      <c r="G4" s="519"/>
      <c r="H4" s="519"/>
      <c r="I4" s="519"/>
      <c r="J4" s="519"/>
      <c r="K4" s="51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3" t="str">
        <f>RAB!G6</f>
        <v>PB MUHLISIN</v>
      </c>
      <c r="H6" s="543"/>
      <c r="I6" s="543"/>
      <c r="J6" s="543"/>
      <c r="K6" s="54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DK KRAJAN SELATAN, DS KALI SARI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0" t="s">
        <v>0</v>
      </c>
      <c r="C11" s="522" t="s">
        <v>1</v>
      </c>
      <c r="D11" s="525" t="s">
        <v>42</v>
      </c>
      <c r="E11" s="525" t="s">
        <v>43</v>
      </c>
      <c r="F11" s="525" t="s">
        <v>2</v>
      </c>
      <c r="G11" s="527" t="s">
        <v>41</v>
      </c>
      <c r="H11" s="525" t="s">
        <v>3</v>
      </c>
      <c r="I11" s="525"/>
      <c r="J11" s="525"/>
      <c r="K11" s="530"/>
      <c r="M11" s="33"/>
      <c r="N11" s="33"/>
      <c r="O11" s="33"/>
      <c r="P11" s="33"/>
      <c r="R11" s="34"/>
      <c r="S11" s="74"/>
      <c r="T11" s="74"/>
    </row>
    <row r="12" spans="1:21" ht="15" customHeight="1">
      <c r="B12" s="521"/>
      <c r="C12" s="523"/>
      <c r="D12" s="526"/>
      <c r="E12" s="526"/>
      <c r="F12" s="526"/>
      <c r="G12" s="528"/>
      <c r="H12" s="534" t="s">
        <v>46</v>
      </c>
      <c r="I12" s="534" t="s">
        <v>5</v>
      </c>
      <c r="J12" s="526" t="s">
        <v>47</v>
      </c>
      <c r="K12" s="53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1"/>
      <c r="C13" s="524"/>
      <c r="D13" s="526"/>
      <c r="E13" s="526"/>
      <c r="F13" s="526"/>
      <c r="G13" s="529"/>
      <c r="H13" s="535"/>
      <c r="I13" s="535"/>
      <c r="J13" s="526"/>
      <c r="K13" s="53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33 kVA MCCB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213</v>
      </c>
      <c r="G22" s="41">
        <f ca="1">IF(ISERROR(OFFSET('HARGA SATUAN'!$I$6,MATCH(C22,'HARGA SATUAN'!$C$7:$C$1492,0),0)),"",OFFSET('HARGA SATUAN'!$I$6,MATCH(C22,'HARGA SATUAN'!$C$7:$C$1492,0),0))</f>
        <v>54500</v>
      </c>
      <c r="H22" s="42">
        <f t="shared" ca="1" si="1"/>
        <v>11608500</v>
      </c>
      <c r="I22" s="42">
        <f t="shared" ca="1" si="2"/>
        <v>0</v>
      </c>
      <c r="J22" s="42">
        <f t="shared" ca="1" si="3"/>
        <v>0</v>
      </c>
      <c r="K22" s="43">
        <f t="shared" ca="1" si="0"/>
        <v>11608500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 4 x 16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20</v>
      </c>
      <c r="G23" s="41">
        <f ca="1">IF(ISERROR(OFFSET('HARGA SATUAN'!$I$6,MATCH(C23,'HARGA SATUAN'!$C$7:$C$1492,0),0)),"",OFFSET('HARGA SATUAN'!$I$6,MATCH(C23,'HARGA SATUAN'!$C$7:$C$1492,0),0))</f>
        <v>13500</v>
      </c>
      <c r="H23" s="42">
        <f t="shared" ca="1" si="1"/>
        <v>270000</v>
      </c>
      <c r="I23" s="42">
        <f t="shared" ca="1" si="2"/>
        <v>0</v>
      </c>
      <c r="J23" s="42">
        <f t="shared" ca="1" si="3"/>
        <v>0</v>
      </c>
      <c r="K23" s="43">
        <f t="shared" ca="1" si="0"/>
        <v>270000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4" t="s">
        <v>1008</v>
      </c>
      <c r="D168" s="544"/>
      <c r="E168" s="544"/>
      <c r="F168" s="544"/>
      <c r="G168" s="77" t="s">
        <v>9</v>
      </c>
      <c r="H168" s="55">
        <f ca="1">SUM(H14:H167)</f>
        <v>64478250</v>
      </c>
      <c r="I168" s="55">
        <f ca="1">SUM(I14:I167)</f>
        <v>0</v>
      </c>
      <c r="J168" s="55">
        <f ca="1">SUM(J14:J167)</f>
        <v>0</v>
      </c>
      <c r="K168" s="55">
        <f ca="1">SUM(K14:K167)</f>
        <v>64478250</v>
      </c>
      <c r="L168" s="44"/>
      <c r="R168" s="99"/>
      <c r="S168" s="99"/>
      <c r="T168" s="99"/>
    </row>
    <row r="169" spans="1:20" s="36" customFormat="1">
      <c r="A169" s="30"/>
      <c r="B169" s="56"/>
      <c r="C169" s="545" t="s">
        <v>462</v>
      </c>
      <c r="D169" s="545"/>
      <c r="E169" s="545"/>
      <c r="F169" s="545"/>
      <c r="G169" s="59" t="s">
        <v>9</v>
      </c>
      <c r="H169" s="60">
        <f ca="1">H168*0.1</f>
        <v>6447825</v>
      </c>
      <c r="I169" s="60">
        <f ca="1">I168*0.1</f>
        <v>0</v>
      </c>
      <c r="J169" s="60">
        <f ca="1">J168*0.1</f>
        <v>0</v>
      </c>
      <c r="K169" s="60">
        <f ca="1">K168*0.1</f>
        <v>6447825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6" t="s">
        <v>463</v>
      </c>
      <c r="D170" s="536"/>
      <c r="E170" s="536"/>
      <c r="F170" s="536"/>
      <c r="G170" s="61" t="s">
        <v>9</v>
      </c>
      <c r="H170" s="78">
        <f ca="1">SUM(H168:H169)</f>
        <v>70926075</v>
      </c>
      <c r="I170" s="78">
        <f ca="1">SUM(I168:I169)</f>
        <v>0</v>
      </c>
      <c r="J170" s="61">
        <f ca="1">SUM(J168:J169)</f>
        <v>0</v>
      </c>
      <c r="K170" s="61">
        <f ca="1">SUM(K168:K169)</f>
        <v>70926075</v>
      </c>
      <c r="L170" s="44"/>
      <c r="R170" s="99"/>
      <c r="S170" s="99"/>
      <c r="T170" s="99"/>
    </row>
    <row r="171" spans="1:20" s="36" customFormat="1">
      <c r="A171" s="30"/>
      <c r="B171" s="537" t="e">
        <f ca="1">"Terbilang : ( "&amp;L172&amp;" Rupiah )"</f>
        <v>#NAME?</v>
      </c>
      <c r="C171" s="538"/>
      <c r="D171" s="538"/>
      <c r="E171" s="538"/>
      <c r="F171" s="538"/>
      <c r="G171" s="538"/>
      <c r="H171" s="538"/>
      <c r="I171" s="538"/>
      <c r="J171" s="538"/>
      <c r="K171" s="539"/>
      <c r="L171" s="44"/>
      <c r="R171" s="58"/>
      <c r="S171" s="58"/>
      <c r="T171" s="58"/>
    </row>
    <row r="172" spans="1:20" s="36" customFormat="1">
      <c r="A172" s="30"/>
      <c r="B172" s="540"/>
      <c r="C172" s="541"/>
      <c r="D172" s="541"/>
      <c r="E172" s="541"/>
      <c r="F172" s="541"/>
      <c r="G172" s="541"/>
      <c r="H172" s="541"/>
      <c r="I172" s="541"/>
      <c r="J172" s="541"/>
      <c r="K172" s="542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1"/>
      <c r="I175" s="531"/>
      <c r="J175" s="532"/>
      <c r="K175" s="53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1"/>
      <c r="I176" s="531"/>
      <c r="J176" s="532"/>
      <c r="K176" s="53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1"/>
      <c r="I177" s="531"/>
      <c r="J177" s="532"/>
      <c r="K177" s="53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1"/>
      <c r="I182" s="531"/>
      <c r="J182" s="532"/>
      <c r="K182" s="53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SUMIFS(RAB!$F$14:$F$102,RAB!$C$14:$C$102,C224)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SUMIFS(RAB!$F$14:$F$102,RAB!$C$14:$C$102,C225)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SUMIFS(RAB!$F$14:$F$102,RAB!$C$14:$C$102,C226)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SUMIFS(RAB!$F$14:$F$102,RAB!$C$14:$C$102,C227)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SUMIFS(RAB!$F$14:$F$102,RAB!$C$14:$C$102,C228)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SUMIFS(RAB!$F$14:$F$102,RAB!$C$14:$C$102,C229)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SUMIFS(RAB!$F$14:$F$102,RAB!$C$14:$C$102,C230)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SUMIFS(RAB!$F$14:$F$102,RAB!$C$14:$C$102,C231)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SUMIFS(RAB!$F$14:$F$102,RAB!$C$14:$C$102,C232)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SUMIFS(RAB!$F$14:$F$102,RAB!$C$14:$C$102,C233)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SUMIFS(RAB!$F$14:$F$102,RAB!$C$14:$C$102,C234)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SUMIFS(RAB!$F$14:$F$102,RAB!$C$14:$C$102,C235)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SUMIFS(RAB!$F$14:$F$102,RAB!$C$14:$C$102,C236)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SUMIFS(RAB!$F$14:$F$102,RAB!$C$14:$C$102,C237)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SUMIFS(RAB!$F$14:$F$102,RAB!$C$14:$C$102,C238)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SUMIFS(RAB!$F$14:$F$102,RAB!$C$14:$C$102,C239)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SUMIFS(RAB!$F$14:$F$102,RAB!$C$14:$C$102,C240)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SUMIFS(RAB!$F$14:$F$102,RAB!$C$14:$C$102,C241)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SUMIFS(RAB!$F$14:$F$102,RAB!$C$14:$C$102,C242)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SUMIFS(RAB!$F$14:$F$102,RAB!$C$14:$C$102,C243)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SUMIFS(RAB!$F$14:$F$102,RAB!$C$14:$C$102,C244)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SUMIFS(RAB!$F$14:$F$102,RAB!$C$14:$C$102,C245)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SUMIFS(RAB!$F$14:$F$102,RAB!$C$14:$C$102,C246)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SUMIFS(RAB!$F$14:$F$102,RAB!$C$14:$C$102,C247)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SUMIFS(RAB!$F$14:$F$102,RAB!$C$14:$C$102,C248)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SUMIFS(RAB!$F$14:$F$102,RAB!$C$14:$C$102,C249)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SUMIFS(RAB!$F$14:$F$102,RAB!$C$14:$C$102,C250)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SUMIFS(RAB!$F$14:$F$102,RAB!$C$14:$C$102,C251)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SUMIFS(RAB!$F$14:$F$102,RAB!$C$14:$C$102,C252)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SUMIFS(RAB!$F$14:$F$102,RAB!$C$14:$C$102,C253)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SUMIFS(RAB!$F$14:$F$102,RAB!$C$14:$C$102,C254)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SUMIFS(RAB!$F$14:$F$102,RAB!$C$14:$C$102,C255)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SUMIFS(RAB!$F$14:$F$102,RAB!$C$14:$C$102,C256)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SUMIFS(RAB!$F$14:$F$102,RAB!$C$14:$C$102,C257)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SUMIFS(RAB!$F$14:$F$102,RAB!$C$14:$C$102,C258)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SUMIFS(RAB!$F$14:$F$102,RAB!$C$14:$C$102,C259)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SUMIFS(RAB!$F$14:$F$102,RAB!$C$14:$C$102,C260)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SUMIFS(RAB!$F$14:$F$102,RAB!$C$14:$C$102,C261)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SUMIFS(RAB!$F$14:$F$102,RAB!$C$14:$C$102,C262)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SUMIFS(RAB!$F$14:$F$102,RAB!$C$14:$C$102,C263)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SUMIFS(RAB!$F$14:$F$102,RAB!$C$14:$C$102,C264)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SUMIFS(RAB!$F$14:$F$102,RAB!$C$14:$C$102,C265)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SUMIFS(RAB!$F$14:$F$102,RAB!$C$14:$C$102,C266)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SUMIFS(RAB!$F$14:$F$102,RAB!$C$14:$C$102,C267)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SUMIFS(RAB!$F$14:$F$102,RAB!$C$14:$C$102,C268)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SUMIFS(RAB!$F$14:$F$102,RAB!$C$14:$C$102,C269)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SUMIFS(RAB!$F$14:$F$102,RAB!$C$14:$C$102,C270)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SUMIFS(RAB!$F$14:$F$102,RAB!$C$14:$C$102,C271)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SUMIFS(RAB!$F$14:$F$102,RAB!$C$14:$C$102,C272)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SUMIFS(RAB!$F$14:$F$102,RAB!$C$14:$C$102,C273)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SUMIFS(RAB!$F$14:$F$102,RAB!$C$14:$C$102,C274)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SUMIFS(RAB!$F$14:$F$102,RAB!$C$14:$C$102,C275)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SUMIFS(RAB!$F$14:$F$102,RAB!$C$14:$C$102,C276)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SUMIFS(RAB!$F$14:$F$102,RAB!$C$14:$C$102,C277)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SUMIFS(RAB!$F$14:$F$102,RAB!$C$14:$C$102,C278)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SUMIFS(RAB!$F$14:$F$102,RAB!$C$14:$C$102,C279)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SUMIFS(RAB!$F$14:$F$102,RAB!$C$14:$C$102,C280)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SUMIFS(RAB!$F$14:$F$102,RAB!$C$14:$C$102,C281)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SUMIFS(RAB!$F$14:$F$102,RAB!$C$14:$C$102,C282)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SUMIFS(RAB!$F$14:$F$102,RAB!$C$14:$C$102,C283)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SUMIFS(RAB!$F$14:$F$102,RAB!$C$14:$C$102,C284)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SUMIFS(RAB!$F$14:$F$102,RAB!$C$14:$C$102,C285)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SUMIFS(RAB!$F$14:$F$102,RAB!$C$14:$C$102,C286)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SUMIFS(RAB!$F$14:$F$102,RAB!$C$14:$C$102,C287)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SUMIFS(RAB!$F$14:$F$102,RAB!$C$14:$C$102,C288)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SUMIFS(RAB!$F$14:$F$102,RAB!$C$14:$C$102,C289)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SUMIFS(RAB!$F$14:$F$102,RAB!$C$14:$C$102,C290)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SUMIFS(RAB!$F$14:$F$102,RAB!$C$14:$C$102,C291)</f>
        <v>1</v>
      </c>
      <c r="E291" s="24">
        <f t="shared" ca="1" si="22"/>
        <v>1</v>
      </c>
      <c r="F291" s="24">
        <f ca="1">IF(D291=0,0,SUM($E$223:E291))</f>
        <v>2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SUMIFS(RAB!$F$14:$F$102,RAB!$C$14:$C$102,C292)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SUMIFS(RAB!$F$14:$F$102,RAB!$C$14:$C$102,C293)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SUMIFS(RAB!$F$14:$F$102,RAB!$C$14:$C$102,C294)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SUMIFS(RAB!$F$14:$F$102,RAB!$C$14:$C$102,C295)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SUMIFS(RAB!$F$14:$F$102,RAB!$C$14:$C$102,C296)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SUMIFS(RAB!$F$14:$F$102,RAB!$C$14:$C$102,C297)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SUMIFS(RAB!$F$14:$F$102,RAB!$C$14:$C$102,C298)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SUMIFS(RAB!$F$14:$F$102,RAB!$C$14:$C$102,C299)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SUMIFS(RAB!$F$14:$F$102,RAB!$C$14:$C$102,C300)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SUMIFS(RAB!$F$14:$F$102,RAB!$C$14:$C$102,C301)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SUMIFS(RAB!$F$14:$F$102,RAB!$C$14:$C$102,C302)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SUMIFS(RAB!$F$14:$F$102,RAB!$C$14:$C$102,C303)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SUMIFS(RAB!$F$14:$F$102,RAB!$C$14:$C$102,C304)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SUMIFS(RAB!$F$14:$F$102,RAB!$C$14:$C$102,C305)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SUMIFS(RAB!$F$14:$F$102,RAB!$C$14:$C$102,C306)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SUMIFS(RAB!$F$14:$F$102,RAB!$C$14:$C$102,C307)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SUMIFS(RAB!$F$14:$F$102,RAB!$C$14:$C$102,C308)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SUMIFS(RAB!$F$14:$F$102,RAB!$C$14:$C$102,C309)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SUMIFS(RAB!$F$14:$F$102,RAB!$C$14:$C$102,C310)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SUMIFS(RAB!$F$14:$F$102,RAB!$C$14:$C$102,C311)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SUMIFS(RAB!$F$14:$F$102,RAB!$C$14:$C$102,C312)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SUMIFS(RAB!$F$14:$F$102,RAB!$C$14:$C$102,C313)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SUMIFS(RAB!$F$14:$F$102,RAB!$C$14:$C$102,C314)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SUMIFS(RAB!$F$14:$F$102,RAB!$C$14:$C$102,C315)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SUMIFS(RAB!$F$14:$F$102,RAB!$C$14:$C$102,C316)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SUMIFS(RAB!$F$14:$F$102,RAB!$C$14:$C$102,C317)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SUMIFS(RAB!$F$14:$F$102,RAB!$C$14:$C$102,C318)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SUMIFS(RAB!$F$14:$F$102,RAB!$C$14:$C$102,C319)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SUMIFS(RAB!$F$14:$F$102,RAB!$C$14:$C$102,C320)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SUMIFS(RAB!$F$14:$F$102,RAB!$C$14:$C$102,C321)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SUMIFS(RAB!$F$14:$F$102,RAB!$C$14:$C$102,C322)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SUMIFS(RAB!$F$14:$F$102,RAB!$C$14:$C$102,C323)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SUMIFS(RAB!$F$14:$F$102,RAB!$C$14:$C$102,C324)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SUMIFS(RAB!$F$14:$F$102,RAB!$C$14:$C$102,C325)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SUMIFS(RAB!$F$14:$F$102,RAB!$C$14:$C$102,C326)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SUMIFS(RAB!$F$14:$F$102,RAB!$C$14:$C$102,C327)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SUMIFS(RAB!$F$14:$F$102,RAB!$C$14:$C$102,C328)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SUMIFS(RAB!$F$14:$F$102,RAB!$C$14:$C$102,C329)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SUMIFS(RAB!$F$14:$F$102,RAB!$C$14:$C$102,C330)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SUMIFS(RAB!$F$14:$F$102,RAB!$C$14:$C$102,C331)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SUMIFS(RAB!$F$14:$F$102,RAB!$C$14:$C$102,C332)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SUMIFS(RAB!$F$14:$F$102,RAB!$C$14:$C$102,C333)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SUMIFS(RAB!$F$14:$F$102,RAB!$C$14:$C$102,C334)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SUMIFS(RAB!$F$14:$F$102,RAB!$C$14:$C$102,C335)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SUMIFS(RAB!$F$14:$F$102,RAB!$C$14:$C$102,C336)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SUMIFS(RAB!$F$14:$F$102,RAB!$C$14:$C$102,C337)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SUMIFS(RAB!$F$14:$F$102,RAB!$C$14:$C$102,C338)</f>
        <v>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SUMIFS(RAB!$F$14:$F$102,RAB!$C$14:$C$102,C339)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SUMIFS(RAB!$F$14:$F$102,RAB!$C$14:$C$102,C340)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SUMIFS(RAB!$F$14:$F$102,RAB!$C$14:$C$102,C341)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SUMIFS(RAB!$F$14:$F$102,RAB!$C$14:$C$102,C342)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SUMIFS(RAB!$F$14:$F$102,RAB!$C$14:$C$102,C343)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SUMIFS(RAB!$F$14:$F$102,RAB!$C$14:$C$102,C344)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SUMIFS(RAB!$F$14:$F$102,RAB!$C$14:$C$102,C345)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SUMIFS(RAB!$F$14:$F$102,RAB!$C$14:$C$102,C346)</f>
        <v>213</v>
      </c>
      <c r="E346" s="24">
        <f t="shared" ca="1" si="22"/>
        <v>1</v>
      </c>
      <c r="F346" s="24">
        <f ca="1">IF(D346=0,0,SUM($E$223:E346))</f>
        <v>7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SUMIFS(RAB!$F$14:$F$102,RAB!$C$14:$C$102,C347)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SUMIFS(RAB!$F$14:$F$102,RAB!$C$14:$C$102,C348)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SUMIFS(RAB!$F$14:$F$102,RAB!$C$14:$C$102,C349)</f>
        <v>20</v>
      </c>
      <c r="E349" s="24">
        <f t="shared" ca="1" si="22"/>
        <v>1</v>
      </c>
      <c r="F349" s="24">
        <f ca="1">IF(D349=0,0,SUM($E$223:E349))</f>
        <v>8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SUMIFS(RAB!$F$14:$F$102,RAB!$C$14:$C$102,C350)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SUMIFS(RAB!$F$14:$F$102,RAB!$C$14:$C$102,C351)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SUMIFS(RAB!$F$14:$F$102,RAB!$C$14:$C$102,C352)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SUMIFS(RAB!$F$14:$F$102,RAB!$C$14:$C$102,C353)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SUMIFS(RAB!$F$14:$F$102,RAB!$C$14:$C$102,C354)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SUMIFS(RAB!$F$14:$F$102,RAB!$C$14:$C$102,C355)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SUMIFS(RAB!$F$14:$F$102,RAB!$C$14:$C$102,C356)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SUMIFS(RAB!$F$14:$F$102,RAB!$C$14:$C$102,C357)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SUMIFS(RAB!$F$14:$F$102,RAB!$C$14:$C$102,C358)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SUMIFS(RAB!$F$14:$F$102,RAB!$C$14:$C$102,C359)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SUMIFS(RAB!$F$14:$F$102,RAB!$C$14:$C$102,C360)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SUMIFS(RAB!$F$14:$F$102,RAB!$C$14:$C$102,C361)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SUMIFS(RAB!$F$14:$F$102,RAB!$C$14:$C$102,C362)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SUMIFS(RAB!$F$14:$F$102,RAB!$C$14:$C$102,C363)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SUMIFS(RAB!$F$14:$F$102,RAB!$C$14:$C$102,C364)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SUMIFS(RAB!$F$14:$F$102,RAB!$C$14:$C$102,C365)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SUMIFS(RAB!$F$14:$F$102,RAB!$C$14:$C$102,C366)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SUMIFS(RAB!$F$14:$F$102,RAB!$C$14:$C$102,C367)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SUMIFS(RAB!$F$14:$F$102,RAB!$C$14:$C$102,C368)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SUMIFS(RAB!$F$14:$F$102,RAB!$C$14:$C$102,C369)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SUMIFS(RAB!$F$14:$F$102,RAB!$C$14:$C$102,C370)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SUMIFS(RAB!$F$14:$F$102,RAB!$C$14:$C$102,C371)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SUMIFS(RAB!$F$14:$F$102,RAB!$C$14:$C$102,C372)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SUMIFS(RAB!$F$14:$F$102,RAB!$C$14:$C$102,C373)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E171:E223 E167:F167 H167:K167 N13 H12:I12 F14:F15 R14:T115 E1:E3 H14:K115 G374:G65536 E374:E65536 G225:G322 G166:G223 E166:K166 R166:T166 G1:G115 E6:E15">
    <cfRule type="cellIs" dxfId="116" priority="43" stopIfTrue="1" operator="equal">
      <formula>0</formula>
    </cfRule>
  </conditionalFormatting>
  <conditionalFormatting sqref="G323:G373">
    <cfRule type="cellIs" dxfId="115" priority="14" stopIfTrue="1" operator="equal">
      <formula>0</formula>
    </cfRule>
  </conditionalFormatting>
  <conditionalFormatting sqref="D224:D373">
    <cfRule type="cellIs" dxfId="114" priority="13" operator="equal">
      <formula>0</formula>
    </cfRule>
  </conditionalFormatting>
  <conditionalFormatting sqref="B116:B165">
    <cfRule type="cellIs" dxfId="113" priority="5" operator="equal">
      <formula>0</formula>
    </cfRule>
  </conditionalFormatting>
  <conditionalFormatting sqref="R116:T165 G116:K165">
    <cfRule type="cellIs" dxfId="112" priority="6" stopIfTrue="1" operator="equal">
      <formula>0</formula>
    </cfRule>
  </conditionalFormatting>
  <conditionalFormatting sqref="G224">
    <cfRule type="cellIs" dxfId="111" priority="10" operator="equal">
      <formula>0</formula>
    </cfRule>
  </conditionalFormatting>
  <conditionalFormatting sqref="E224:E373">
    <cfRule type="cellIs" dxfId="110" priority="9" stopIfTrue="1" operator="equal">
      <formula>0</formula>
    </cfRule>
  </conditionalFormatting>
  <conditionalFormatting sqref="E224:F373">
    <cfRule type="cellIs" dxfId="109" priority="8" operator="equal">
      <formula>0</formula>
    </cfRule>
  </conditionalFormatting>
  <conditionalFormatting sqref="B16:B115 B166">
    <cfRule type="cellIs" dxfId="108" priority="7" operator="equal">
      <formula>0</formula>
    </cfRule>
  </conditionalFormatting>
  <conditionalFormatting sqref="C16:C165">
    <cfRule type="cellIs" dxfId="107" priority="4" stopIfTrue="1" operator="equal">
      <formula>0</formula>
    </cfRule>
  </conditionalFormatting>
  <conditionalFormatting sqref="C16:C165">
    <cfRule type="cellIs" dxfId="106" priority="3" operator="equal">
      <formula>0</formula>
    </cfRule>
  </conditionalFormatting>
  <conditionalFormatting sqref="D16:D165">
    <cfRule type="cellIs" dxfId="105" priority="2" operator="equal">
      <formula>0</formula>
    </cfRule>
  </conditionalFormatting>
  <conditionalFormatting sqref="E16:E165">
    <cfRule type="cellIs" dxfId="104" priority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0"/>
    </row>
    <row r="4" spans="4:4" ht="57" customHeight="1">
      <c r="D4" s="450">
        <v>3</v>
      </c>
    </row>
    <row r="5" spans="4:4" ht="57" customHeight="1">
      <c r="D5" s="45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29" activePane="bottomRight" state="frozen"/>
      <selection activeCell="D209" sqref="D209"/>
      <selection pane="topRight" activeCell="D209" sqref="D209"/>
      <selection pane="bottomLeft" activeCell="D209" sqref="D209"/>
      <selection pane="bottomRight" activeCell="C135" sqref="C135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7" t="s">
        <v>41</v>
      </c>
      <c r="C2" s="54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8" t="s">
        <v>23</v>
      </c>
      <c r="C4" s="549" t="s">
        <v>1012</v>
      </c>
      <c r="D4" s="549" t="s">
        <v>42</v>
      </c>
      <c r="E4" s="548" t="s">
        <v>43</v>
      </c>
      <c r="F4" s="108" t="s">
        <v>1604</v>
      </c>
      <c r="G4" s="108" t="s">
        <v>1603</v>
      </c>
      <c r="H4" s="546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8"/>
      <c r="C5" s="549"/>
      <c r="D5" s="549"/>
      <c r="E5" s="548"/>
      <c r="F5" s="93"/>
      <c r="G5" s="93"/>
      <c r="H5" s="546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6"/>
      <c r="E8" s="27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6" t="s">
        <v>44</v>
      </c>
      <c r="E9" s="277" t="s">
        <v>8</v>
      </c>
      <c r="F9" s="278">
        <v>294100</v>
      </c>
      <c r="G9" s="27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6" t="s">
        <v>45</v>
      </c>
      <c r="E10" s="277" t="s">
        <v>8</v>
      </c>
      <c r="F10" s="278">
        <v>1719200</v>
      </c>
      <c r="G10" s="27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6" t="s">
        <v>44</v>
      </c>
      <c r="E11" s="277" t="s">
        <v>8</v>
      </c>
      <c r="F11" s="278">
        <v>151000</v>
      </c>
      <c r="G11" s="27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6" t="s">
        <v>44</v>
      </c>
      <c r="E12" s="277" t="s">
        <v>8</v>
      </c>
      <c r="F12" s="278">
        <v>1430000</v>
      </c>
      <c r="G12" s="27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6" t="s">
        <v>44</v>
      </c>
      <c r="E13" s="277" t="s">
        <v>8</v>
      </c>
      <c r="F13" s="278">
        <v>16495000</v>
      </c>
      <c r="G13" s="27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6" t="s">
        <v>44</v>
      </c>
      <c r="E14" s="277" t="s">
        <v>8</v>
      </c>
      <c r="F14" s="278">
        <v>1281430</v>
      </c>
      <c r="G14" s="27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6" t="s">
        <v>44</v>
      </c>
      <c r="E15" s="277" t="s">
        <v>8</v>
      </c>
      <c r="F15" s="278">
        <v>1344430</v>
      </c>
      <c r="G15" s="27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6" t="s">
        <v>44</v>
      </c>
      <c r="E16" s="277" t="s">
        <v>8</v>
      </c>
      <c r="F16" s="278">
        <v>1350430</v>
      </c>
      <c r="G16" s="27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6" t="s">
        <v>45</v>
      </c>
      <c r="E17" s="277" t="s">
        <v>14</v>
      </c>
      <c r="F17" s="278">
        <v>1000000</v>
      </c>
      <c r="G17" s="27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6" t="s">
        <v>44</v>
      </c>
      <c r="E18" s="277" t="s">
        <v>8</v>
      </c>
      <c r="F18" s="278">
        <v>35000</v>
      </c>
      <c r="G18" s="27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6" t="s">
        <v>44</v>
      </c>
      <c r="E19" s="277" t="s">
        <v>8</v>
      </c>
      <c r="F19" s="278">
        <v>35000</v>
      </c>
      <c r="G19" s="27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6" t="s">
        <v>44</v>
      </c>
      <c r="E20" s="277" t="s">
        <v>8</v>
      </c>
      <c r="F20" s="278">
        <v>35000</v>
      </c>
      <c r="G20" s="27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6" t="s">
        <v>44</v>
      </c>
      <c r="E21" s="277" t="s">
        <v>8</v>
      </c>
      <c r="F21" s="278">
        <v>35000</v>
      </c>
      <c r="G21" s="27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6" t="s">
        <v>44</v>
      </c>
      <c r="E22" s="277" t="s">
        <v>8</v>
      </c>
      <c r="F22" s="278">
        <v>35000</v>
      </c>
      <c r="G22" s="27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6" t="s">
        <v>44</v>
      </c>
      <c r="E23" s="277" t="s">
        <v>8</v>
      </c>
      <c r="F23" s="278">
        <v>35000</v>
      </c>
      <c r="G23" s="27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6" t="s">
        <v>44</v>
      </c>
      <c r="E24" s="277" t="s">
        <v>8</v>
      </c>
      <c r="F24" s="278">
        <v>35000</v>
      </c>
      <c r="G24" s="27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6" t="s">
        <v>44</v>
      </c>
      <c r="E25" s="277" t="s">
        <v>8</v>
      </c>
      <c r="F25" s="278">
        <v>35000</v>
      </c>
      <c r="G25" s="27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6" t="s">
        <v>44</v>
      </c>
      <c r="E26" s="277" t="s">
        <v>8</v>
      </c>
      <c r="F26" s="278">
        <v>35000</v>
      </c>
      <c r="G26" s="27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6" t="s">
        <v>44</v>
      </c>
      <c r="E27" s="277" t="s">
        <v>8</v>
      </c>
      <c r="F27" s="278">
        <v>155100</v>
      </c>
      <c r="G27" s="27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6" t="s">
        <v>44</v>
      </c>
      <c r="E28" s="277" t="s">
        <v>8</v>
      </c>
      <c r="F28" s="278">
        <v>155100</v>
      </c>
      <c r="G28" s="27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6" t="s">
        <v>44</v>
      </c>
      <c r="E29" s="277" t="s">
        <v>8</v>
      </c>
      <c r="F29" s="278">
        <v>155100</v>
      </c>
      <c r="G29" s="27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6" t="s">
        <v>44</v>
      </c>
      <c r="E30" s="277" t="s">
        <v>8</v>
      </c>
      <c r="F30" s="278">
        <v>155100</v>
      </c>
      <c r="G30" s="27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6" t="s">
        <v>44</v>
      </c>
      <c r="E31" s="277" t="s">
        <v>8</v>
      </c>
      <c r="F31" s="278">
        <v>155100</v>
      </c>
      <c r="G31" s="27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6" t="s">
        <v>45</v>
      </c>
      <c r="E32" s="277" t="s">
        <v>8</v>
      </c>
      <c r="F32" s="278">
        <v>723500</v>
      </c>
      <c r="G32" s="27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6" t="s">
        <v>45</v>
      </c>
      <c r="E33" s="277" t="s">
        <v>8</v>
      </c>
      <c r="F33" s="278">
        <v>723500</v>
      </c>
      <c r="G33" s="27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6" t="s">
        <v>45</v>
      </c>
      <c r="E34" s="277" t="s">
        <v>8</v>
      </c>
      <c r="F34" s="278">
        <v>757500</v>
      </c>
      <c r="G34" s="27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6" t="s">
        <v>45</v>
      </c>
      <c r="E35" s="277" t="s">
        <v>8</v>
      </c>
      <c r="F35" s="278">
        <v>757500</v>
      </c>
      <c r="G35" s="27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6" t="s">
        <v>45</v>
      </c>
      <c r="E36" s="277" t="s">
        <v>8</v>
      </c>
      <c r="F36" s="278">
        <v>733500</v>
      </c>
      <c r="G36" s="27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6" t="s">
        <v>45</v>
      </c>
      <c r="E37" s="277" t="s">
        <v>8</v>
      </c>
      <c r="F37" s="278">
        <v>823500</v>
      </c>
      <c r="G37" s="27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6" t="s">
        <v>45</v>
      </c>
      <c r="E38" s="277" t="s">
        <v>8</v>
      </c>
      <c r="F38" s="278">
        <v>1156500</v>
      </c>
      <c r="G38" s="27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6" t="s">
        <v>45</v>
      </c>
      <c r="E39" s="277" t="s">
        <v>8</v>
      </c>
      <c r="F39" s="278">
        <v>1237500</v>
      </c>
      <c r="G39" s="27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6" t="s">
        <v>45</v>
      </c>
      <c r="E40" s="277" t="s">
        <v>8</v>
      </c>
      <c r="F40" s="278">
        <v>1287000</v>
      </c>
      <c r="G40" s="27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6" t="s">
        <v>45</v>
      </c>
      <c r="E41" s="277" t="s">
        <v>8</v>
      </c>
      <c r="F41" s="278">
        <v>1336500</v>
      </c>
      <c r="G41" s="27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6" t="s">
        <v>45</v>
      </c>
      <c r="E42" s="277" t="s">
        <v>8</v>
      </c>
      <c r="F42" s="278">
        <v>1336500</v>
      </c>
      <c r="G42" s="27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6" t="s">
        <v>45</v>
      </c>
      <c r="E43" s="277" t="s">
        <v>8</v>
      </c>
      <c r="F43" s="278">
        <v>2866500</v>
      </c>
      <c r="G43" s="27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6" t="s">
        <v>45</v>
      </c>
      <c r="E44" s="277" t="s">
        <v>8</v>
      </c>
      <c r="F44" s="278">
        <v>545000</v>
      </c>
      <c r="G44" s="27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6" t="s">
        <v>45</v>
      </c>
      <c r="E45" s="277" t="s">
        <v>8</v>
      </c>
      <c r="F45" s="278">
        <v>545000</v>
      </c>
      <c r="G45" s="27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6" t="s">
        <v>44</v>
      </c>
      <c r="E46" s="277" t="s">
        <v>8</v>
      </c>
      <c r="F46" s="278">
        <v>2250810</v>
      </c>
      <c r="G46" s="27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6" t="s">
        <v>44</v>
      </c>
      <c r="E47" s="277" t="s">
        <v>8</v>
      </c>
      <c r="F47" s="278">
        <v>2250810</v>
      </c>
      <c r="G47" s="27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6" t="s">
        <v>44</v>
      </c>
      <c r="E48" s="277" t="s">
        <v>8</v>
      </c>
      <c r="F48" s="278">
        <v>2250810</v>
      </c>
      <c r="G48" s="27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6" t="s">
        <v>44</v>
      </c>
      <c r="E49" s="277" t="s">
        <v>8</v>
      </c>
      <c r="F49" s="278">
        <v>2250810</v>
      </c>
      <c r="G49" s="27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6" t="s">
        <v>44</v>
      </c>
      <c r="E50" s="277" t="s">
        <v>8</v>
      </c>
      <c r="F50" s="278">
        <v>2250810</v>
      </c>
      <c r="G50" s="27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6" t="s">
        <v>44</v>
      </c>
      <c r="E51" s="277" t="s">
        <v>8</v>
      </c>
      <c r="F51" s="278">
        <v>2250810</v>
      </c>
      <c r="G51" s="27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6" t="s">
        <v>44</v>
      </c>
      <c r="E52" s="277" t="s">
        <v>8</v>
      </c>
      <c r="F52" s="278">
        <v>2250810</v>
      </c>
      <c r="G52" s="27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6" t="s">
        <v>44</v>
      </c>
      <c r="E53" s="277" t="s">
        <v>8</v>
      </c>
      <c r="F53" s="278">
        <v>2250810</v>
      </c>
      <c r="G53" s="27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6" t="s">
        <v>44</v>
      </c>
      <c r="E54" s="277" t="s">
        <v>8</v>
      </c>
      <c r="F54" s="278">
        <v>2250810</v>
      </c>
      <c r="G54" s="27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6" t="s">
        <v>44</v>
      </c>
      <c r="E55" s="277" t="s">
        <v>8</v>
      </c>
      <c r="F55" s="278">
        <v>2250810</v>
      </c>
      <c r="G55" s="27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6" t="s">
        <v>44</v>
      </c>
      <c r="E56" s="277" t="s">
        <v>8</v>
      </c>
      <c r="F56" s="278">
        <v>2250810</v>
      </c>
      <c r="G56" s="27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6" t="s">
        <v>44</v>
      </c>
      <c r="E57" s="277" t="s">
        <v>8</v>
      </c>
      <c r="F57" s="278">
        <v>2250810</v>
      </c>
      <c r="G57" s="27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6" t="s">
        <v>44</v>
      </c>
      <c r="E58" s="277" t="s">
        <v>8</v>
      </c>
      <c r="F58" s="278">
        <v>2250810</v>
      </c>
      <c r="G58" s="27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6" t="s">
        <v>44</v>
      </c>
      <c r="E59" s="277" t="s">
        <v>8</v>
      </c>
      <c r="F59" s="278">
        <v>2250810</v>
      </c>
      <c r="G59" s="27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6" t="s">
        <v>44</v>
      </c>
      <c r="E60" s="277" t="s">
        <v>8</v>
      </c>
      <c r="F60" s="278">
        <v>2250810</v>
      </c>
      <c r="G60" s="27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6" t="s">
        <v>44</v>
      </c>
      <c r="E61" s="277" t="s">
        <v>8</v>
      </c>
      <c r="F61" s="278">
        <v>2250810</v>
      </c>
      <c r="G61" s="27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6" t="s">
        <v>44</v>
      </c>
      <c r="E62" s="277" t="s">
        <v>8</v>
      </c>
      <c r="F62" s="278">
        <v>2250810</v>
      </c>
      <c r="G62" s="27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6" t="s">
        <v>44</v>
      </c>
      <c r="E63" s="277" t="s">
        <v>8</v>
      </c>
      <c r="F63" s="278">
        <v>2250810</v>
      </c>
      <c r="G63" s="27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6" t="s">
        <v>44</v>
      </c>
      <c r="E64" s="277" t="s">
        <v>8</v>
      </c>
      <c r="F64" s="278">
        <v>2250810</v>
      </c>
      <c r="G64" s="27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6" t="s">
        <v>44</v>
      </c>
      <c r="E65" s="277" t="s">
        <v>8</v>
      </c>
      <c r="F65" s="278">
        <v>2250810</v>
      </c>
      <c r="G65" s="27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6" t="s">
        <v>44</v>
      </c>
      <c r="E66" s="277" t="s">
        <v>8</v>
      </c>
      <c r="F66" s="278">
        <v>7034000</v>
      </c>
      <c r="G66" s="27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6" t="s">
        <v>44</v>
      </c>
      <c r="E67" s="277" t="s">
        <v>8</v>
      </c>
      <c r="F67" s="278">
        <v>7034000</v>
      </c>
      <c r="G67" s="27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6" t="s">
        <v>44</v>
      </c>
      <c r="E68" s="277" t="s">
        <v>8</v>
      </c>
      <c r="F68" s="278">
        <v>3826640</v>
      </c>
      <c r="G68" s="27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6" t="s">
        <v>44</v>
      </c>
      <c r="E69" s="277" t="s">
        <v>8</v>
      </c>
      <c r="F69" s="278">
        <v>3826640</v>
      </c>
      <c r="G69" s="27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6" t="s">
        <v>44</v>
      </c>
      <c r="E70" s="277" t="s">
        <v>8</v>
      </c>
      <c r="F70" s="278">
        <v>3826640</v>
      </c>
      <c r="G70" s="27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6" t="s">
        <v>44</v>
      </c>
      <c r="E71" s="277" t="s">
        <v>8</v>
      </c>
      <c r="F71" s="278">
        <v>3826640</v>
      </c>
      <c r="G71" s="27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6" t="s">
        <v>44</v>
      </c>
      <c r="E72" s="277" t="s">
        <v>8</v>
      </c>
      <c r="F72" s="278">
        <v>3826640</v>
      </c>
      <c r="G72" s="27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6" t="s">
        <v>44</v>
      </c>
      <c r="E73" s="277" t="s">
        <v>8</v>
      </c>
      <c r="F73" s="278">
        <v>3826640</v>
      </c>
      <c r="G73" s="27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6" t="s">
        <v>44</v>
      </c>
      <c r="E74" s="277" t="s">
        <v>8</v>
      </c>
      <c r="F74" s="278">
        <v>3826640</v>
      </c>
      <c r="G74" s="27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6" t="s">
        <v>44</v>
      </c>
      <c r="E75" s="277" t="s">
        <v>8</v>
      </c>
      <c r="F75" s="278">
        <v>3826640</v>
      </c>
      <c r="G75" s="27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6" t="s">
        <v>44</v>
      </c>
      <c r="E76" s="277" t="s">
        <v>8</v>
      </c>
      <c r="F76" s="278">
        <v>3826640</v>
      </c>
      <c r="G76" s="27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6" t="s">
        <v>44</v>
      </c>
      <c r="E77" s="277" t="s">
        <v>8</v>
      </c>
      <c r="F77" s="278">
        <v>3826640</v>
      </c>
      <c r="G77" s="27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6" t="s">
        <v>44</v>
      </c>
      <c r="E78" s="277" t="s">
        <v>8</v>
      </c>
      <c r="F78" s="278">
        <v>3826640</v>
      </c>
      <c r="G78" s="27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6" t="s">
        <v>44</v>
      </c>
      <c r="E79" s="277" t="s">
        <v>8</v>
      </c>
      <c r="F79" s="278">
        <v>3826640</v>
      </c>
      <c r="G79" s="27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6" t="s">
        <v>44</v>
      </c>
      <c r="E80" s="277" t="s">
        <v>8</v>
      </c>
      <c r="F80" s="278">
        <v>3826640</v>
      </c>
      <c r="G80" s="278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6" t="s">
        <v>44</v>
      </c>
      <c r="E81" s="277" t="s">
        <v>8</v>
      </c>
      <c r="F81" s="278">
        <v>3826640</v>
      </c>
      <c r="G81" s="278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6" t="s">
        <v>44</v>
      </c>
      <c r="E82" s="277" t="s">
        <v>8</v>
      </c>
      <c r="F82" s="278">
        <v>3826640</v>
      </c>
      <c r="G82" s="278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6" t="s">
        <v>44</v>
      </c>
      <c r="E83" s="277" t="s">
        <v>8</v>
      </c>
      <c r="F83" s="278">
        <v>3826640</v>
      </c>
      <c r="G83" s="278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6" t="s">
        <v>44</v>
      </c>
      <c r="E84" s="277" t="s">
        <v>8</v>
      </c>
      <c r="F84" s="278">
        <v>3551000</v>
      </c>
      <c r="G84" s="278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6" t="s">
        <v>44</v>
      </c>
      <c r="E85" s="277" t="s">
        <v>8</v>
      </c>
      <c r="F85" s="278">
        <v>4585000</v>
      </c>
      <c r="G85" s="278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6" t="s">
        <v>48</v>
      </c>
      <c r="E86" s="277"/>
      <c r="F86" s="278"/>
      <c r="G86" s="278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6" t="s">
        <v>48</v>
      </c>
      <c r="E87" s="277"/>
      <c r="F87" s="278"/>
      <c r="G87" s="278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6" t="s">
        <v>44</v>
      </c>
      <c r="E88" s="277" t="s">
        <v>14</v>
      </c>
      <c r="F88" s="278">
        <v>2980000</v>
      </c>
      <c r="G88" s="278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6" t="s">
        <v>44</v>
      </c>
      <c r="E89" s="277" t="s">
        <v>14</v>
      </c>
      <c r="F89" s="278">
        <v>2980000</v>
      </c>
      <c r="G89" s="278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6" t="s">
        <v>44</v>
      </c>
      <c r="E90" s="277" t="s">
        <v>14</v>
      </c>
      <c r="F90" s="278">
        <v>2980000</v>
      </c>
      <c r="G90" s="278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6" t="s">
        <v>44</v>
      </c>
      <c r="E91" s="277" t="s">
        <v>14</v>
      </c>
      <c r="F91" s="278">
        <v>2980000</v>
      </c>
      <c r="G91" s="278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6" t="s">
        <v>44</v>
      </c>
      <c r="E92" s="277" t="s">
        <v>14</v>
      </c>
      <c r="F92" s="278">
        <v>2980000</v>
      </c>
      <c r="G92" s="278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6" t="s">
        <v>44</v>
      </c>
      <c r="E93" s="277" t="s">
        <v>14</v>
      </c>
      <c r="F93" s="278">
        <v>2980000</v>
      </c>
      <c r="G93" s="278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6" t="s">
        <v>44</v>
      </c>
      <c r="E94" s="277" t="s">
        <v>14</v>
      </c>
      <c r="F94" s="278">
        <v>2980000</v>
      </c>
      <c r="G94" s="278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6" t="s">
        <v>44</v>
      </c>
      <c r="E95" s="277" t="s">
        <v>14</v>
      </c>
      <c r="F95" s="278">
        <v>2980000</v>
      </c>
      <c r="G95" s="278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6" t="s">
        <v>44</v>
      </c>
      <c r="E96" s="277" t="s">
        <v>14</v>
      </c>
      <c r="F96" s="278">
        <v>12249100</v>
      </c>
      <c r="G96" s="278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6" t="s">
        <v>44</v>
      </c>
      <c r="E97" s="277" t="s">
        <v>14</v>
      </c>
      <c r="F97" s="278">
        <v>12249100</v>
      </c>
      <c r="G97" s="278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6" t="s">
        <v>44</v>
      </c>
      <c r="E98" s="277" t="s">
        <v>14</v>
      </c>
      <c r="F98" s="278">
        <v>12764100</v>
      </c>
      <c r="G98" s="278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6" t="s">
        <v>44</v>
      </c>
      <c r="E99" s="277" t="s">
        <v>14</v>
      </c>
      <c r="F99" s="278">
        <v>12764100</v>
      </c>
      <c r="G99" s="278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6" t="s">
        <v>44</v>
      </c>
      <c r="E100" s="277" t="s">
        <v>14</v>
      </c>
      <c r="F100" s="278">
        <v>13444100</v>
      </c>
      <c r="G100" s="278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6" t="s">
        <v>44</v>
      </c>
      <c r="E101" s="277" t="s">
        <v>14</v>
      </c>
      <c r="F101" s="278">
        <v>13444100</v>
      </c>
      <c r="G101" s="27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6" t="s">
        <v>44</v>
      </c>
      <c r="E102" s="277" t="s">
        <v>14</v>
      </c>
      <c r="F102" s="278">
        <v>13444100</v>
      </c>
      <c r="G102" s="278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6" t="s">
        <v>44</v>
      </c>
      <c r="E103" s="277" t="s">
        <v>14</v>
      </c>
      <c r="F103" s="278">
        <v>14119100</v>
      </c>
      <c r="G103" s="278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6" t="s">
        <v>44</v>
      </c>
      <c r="E104" s="277" t="s">
        <v>14</v>
      </c>
      <c r="F104" s="278">
        <v>3050000</v>
      </c>
      <c r="G104" s="278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6" t="s">
        <v>45</v>
      </c>
      <c r="E105" s="277" t="s">
        <v>24</v>
      </c>
      <c r="F105" s="278">
        <v>61350.369301283834</v>
      </c>
      <c r="G105" s="27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6" t="s">
        <v>45</v>
      </c>
      <c r="E106" s="277" t="s">
        <v>24</v>
      </c>
      <c r="F106" s="278">
        <v>297606.44984038931</v>
      </c>
      <c r="G106" s="27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6" t="s">
        <v>45</v>
      </c>
      <c r="E107" s="277" t="s">
        <v>8</v>
      </c>
      <c r="F107" s="278">
        <v>63410.286500000002</v>
      </c>
      <c r="G107" s="27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6" t="s">
        <v>45</v>
      </c>
      <c r="E108" s="277" t="s">
        <v>8</v>
      </c>
      <c r="F108" s="278">
        <v>259574.27222222224</v>
      </c>
      <c r="G108" s="27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6" t="s">
        <v>45</v>
      </c>
      <c r="E109" s="277" t="s">
        <v>8</v>
      </c>
      <c r="F109" s="278">
        <v>5918293.4066666672</v>
      </c>
      <c r="G109" s="27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6" t="s">
        <v>45</v>
      </c>
      <c r="E110" s="277" t="s">
        <v>8</v>
      </c>
      <c r="F110" s="278">
        <v>7304865.0047999993</v>
      </c>
      <c r="G110" s="27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6" t="s">
        <v>45</v>
      </c>
      <c r="E111" s="277" t="s">
        <v>8</v>
      </c>
      <c r="F111" s="278">
        <v>7575415.5605333354</v>
      </c>
      <c r="G111" s="27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6" t="s">
        <v>45</v>
      </c>
      <c r="E112" s="277" t="s">
        <v>8</v>
      </c>
      <c r="F112" s="278">
        <v>7034314.449066666</v>
      </c>
      <c r="G112" s="27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6" t="s">
        <v>48</v>
      </c>
      <c r="E113" s="277"/>
      <c r="F113" s="278"/>
      <c r="G113" s="27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6" t="s">
        <v>48</v>
      </c>
      <c r="E114" s="277"/>
      <c r="F114" s="278"/>
      <c r="G114" s="27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6" t="s">
        <v>45</v>
      </c>
      <c r="E115" s="277" t="s">
        <v>14</v>
      </c>
      <c r="F115" s="278"/>
      <c r="G115" s="27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6" t="s">
        <v>44</v>
      </c>
      <c r="E116" s="277" t="s">
        <v>525</v>
      </c>
      <c r="F116" s="278">
        <v>16002920</v>
      </c>
      <c r="G116" s="27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6" t="s">
        <v>44</v>
      </c>
      <c r="E117" s="277" t="s">
        <v>525</v>
      </c>
      <c r="F117" s="278">
        <v>18311920</v>
      </c>
      <c r="G117" s="27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6" t="s">
        <v>44</v>
      </c>
      <c r="E118" s="277" t="s">
        <v>525</v>
      </c>
      <c r="F118" s="278">
        <v>79514150</v>
      </c>
      <c r="G118" s="27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6" t="s">
        <v>44</v>
      </c>
      <c r="E119" s="277" t="s">
        <v>525</v>
      </c>
      <c r="F119" s="278">
        <v>46492920</v>
      </c>
      <c r="G119" s="27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6" t="s">
        <v>44</v>
      </c>
      <c r="E120" s="277" t="s">
        <v>525</v>
      </c>
      <c r="F120" s="278">
        <v>229416150</v>
      </c>
      <c r="G120" s="27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6" t="s">
        <v>44</v>
      </c>
      <c r="E121" s="277" t="s">
        <v>525</v>
      </c>
      <c r="F121" s="278">
        <v>46425420</v>
      </c>
      <c r="G121" s="27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6" t="s">
        <v>48</v>
      </c>
      <c r="E122" s="277"/>
      <c r="F122" s="278"/>
      <c r="G122" s="27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6" t="s">
        <v>44</v>
      </c>
      <c r="E123" s="277" t="s">
        <v>525</v>
      </c>
      <c r="F123" s="278">
        <v>241300000</v>
      </c>
      <c r="G123" s="27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6" t="s">
        <v>44</v>
      </c>
      <c r="E124" s="277" t="s">
        <v>14</v>
      </c>
      <c r="F124" s="278">
        <v>42499000</v>
      </c>
      <c r="G124" s="27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6"/>
      <c r="E125" s="277"/>
      <c r="F125" s="278"/>
      <c r="G125" s="27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6" t="s">
        <v>48</v>
      </c>
      <c r="E126" s="277"/>
      <c r="F126" s="278"/>
      <c r="G126" s="27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6" t="s">
        <v>44</v>
      </c>
      <c r="E127" s="277" t="s">
        <v>525</v>
      </c>
      <c r="F127" s="278">
        <v>126104830</v>
      </c>
      <c r="G127" s="27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6" t="s">
        <v>44</v>
      </c>
      <c r="E128" s="277" t="s">
        <v>525</v>
      </c>
      <c r="F128" s="278">
        <v>191704830</v>
      </c>
      <c r="G128" s="27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6" t="s">
        <v>45</v>
      </c>
      <c r="E129" s="277" t="s">
        <v>525</v>
      </c>
      <c r="F129" s="278">
        <v>79200000</v>
      </c>
      <c r="G129" s="27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6" t="s">
        <v>45</v>
      </c>
      <c r="E130" s="277" t="s">
        <v>14</v>
      </c>
      <c r="F130" s="278">
        <v>5975000</v>
      </c>
      <c r="G130" s="27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6" t="s">
        <v>45</v>
      </c>
      <c r="E131" s="277" t="s">
        <v>24</v>
      </c>
      <c r="F131" s="278">
        <v>12500000</v>
      </c>
      <c r="G131" s="27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6" t="s">
        <v>48</v>
      </c>
      <c r="E132" s="277"/>
      <c r="F132" s="278"/>
      <c r="G132" s="27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6" t="s">
        <v>48</v>
      </c>
      <c r="E133" s="277"/>
      <c r="F133" s="278"/>
      <c r="G133" s="27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6" t="s">
        <v>44</v>
      </c>
      <c r="E134" s="277" t="s">
        <v>8</v>
      </c>
      <c r="F134" s="278">
        <v>24998100</v>
      </c>
      <c r="G134" s="27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6" t="s">
        <v>44</v>
      </c>
      <c r="E135" s="277" t="s">
        <v>8</v>
      </c>
      <c r="F135" s="278">
        <v>26746100</v>
      </c>
      <c r="G135" s="27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6" t="s">
        <v>44</v>
      </c>
      <c r="E136" s="277" t="s">
        <v>8</v>
      </c>
      <c r="F136" s="278">
        <v>38097500</v>
      </c>
      <c r="G136" s="27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6" t="s">
        <v>44</v>
      </c>
      <c r="E137" s="277" t="s">
        <v>8</v>
      </c>
      <c r="F137" s="278">
        <v>46697500</v>
      </c>
      <c r="G137" s="27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6" t="s">
        <v>44</v>
      </c>
      <c r="E138" s="277" t="s">
        <v>8</v>
      </c>
      <c r="F138" s="278">
        <v>21530100</v>
      </c>
      <c r="G138" s="27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6" t="s">
        <v>44</v>
      </c>
      <c r="E139" s="277" t="s">
        <v>8</v>
      </c>
      <c r="F139" s="278">
        <v>31630800</v>
      </c>
      <c r="G139" s="27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6" t="s">
        <v>44</v>
      </c>
      <c r="E140" s="277" t="s">
        <v>8</v>
      </c>
      <c r="F140" s="278">
        <v>32680800</v>
      </c>
      <c r="G140" s="27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6" t="s">
        <v>44</v>
      </c>
      <c r="E141" s="277" t="s">
        <v>8</v>
      </c>
      <c r="F141" s="278">
        <v>37313100</v>
      </c>
      <c r="G141" s="27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6" t="s">
        <v>44</v>
      </c>
      <c r="E142" s="277" t="s">
        <v>8</v>
      </c>
      <c r="F142" s="278">
        <v>63057400</v>
      </c>
      <c r="G142" s="27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6" t="s">
        <v>44</v>
      </c>
      <c r="E143" s="277" t="s">
        <v>8</v>
      </c>
      <c r="F143" s="278">
        <v>87094400</v>
      </c>
      <c r="G143" s="27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6" t="s">
        <v>44</v>
      </c>
      <c r="E144" s="277" t="s">
        <v>8</v>
      </c>
      <c r="F144" s="278">
        <v>10270090</v>
      </c>
      <c r="G144" s="27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6" t="s">
        <v>44</v>
      </c>
      <c r="E145" s="277" t="s">
        <v>8</v>
      </c>
      <c r="F145" s="278">
        <v>8972560</v>
      </c>
      <c r="G145" s="27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6" t="s">
        <v>44</v>
      </c>
      <c r="E146" s="277" t="s">
        <v>8</v>
      </c>
      <c r="F146" s="278">
        <v>10973865</v>
      </c>
      <c r="G146" s="27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6" t="s">
        <v>44</v>
      </c>
      <c r="E147" s="277" t="s">
        <v>8</v>
      </c>
      <c r="F147" s="278">
        <v>12622540</v>
      </c>
      <c r="G147" s="27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6" t="s">
        <v>44</v>
      </c>
      <c r="E148" s="277" t="s">
        <v>14</v>
      </c>
      <c r="F148" s="278">
        <v>15724250</v>
      </c>
      <c r="G148" s="27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6"/>
      <c r="E149" s="277"/>
      <c r="F149" s="278"/>
      <c r="G149" s="27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6" t="s">
        <v>48</v>
      </c>
      <c r="E150" s="277"/>
      <c r="F150" s="278"/>
      <c r="G150" s="27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6" t="s">
        <v>44</v>
      </c>
      <c r="E151" s="277" t="s">
        <v>8</v>
      </c>
      <c r="F151" s="278">
        <v>848250</v>
      </c>
      <c r="G151" s="27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6" t="s">
        <v>45</v>
      </c>
      <c r="E152" s="277" t="s">
        <v>8</v>
      </c>
      <c r="F152" s="278">
        <v>17500</v>
      </c>
      <c r="G152" s="27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6" t="s">
        <v>45</v>
      </c>
      <c r="E153" s="277" t="s">
        <v>8</v>
      </c>
      <c r="F153" s="278">
        <v>17500</v>
      </c>
      <c r="G153" s="27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6" t="s">
        <v>45</v>
      </c>
      <c r="E154" s="277" t="s">
        <v>8</v>
      </c>
      <c r="F154" s="278">
        <v>17500</v>
      </c>
      <c r="G154" s="27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6" t="s">
        <v>45</v>
      </c>
      <c r="E155" s="277" t="s">
        <v>8</v>
      </c>
      <c r="F155" s="278">
        <v>18000</v>
      </c>
      <c r="G155" s="27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6" t="s">
        <v>45</v>
      </c>
      <c r="E156" s="277" t="s">
        <v>8</v>
      </c>
      <c r="F156" s="278">
        <v>18000</v>
      </c>
      <c r="G156" s="27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6" t="s">
        <v>45</v>
      </c>
      <c r="E157" s="277" t="s">
        <v>8</v>
      </c>
      <c r="F157" s="278">
        <v>18000</v>
      </c>
      <c r="G157" s="27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6" t="s">
        <v>45</v>
      </c>
      <c r="E158" s="277" t="s">
        <v>8</v>
      </c>
      <c r="F158" s="278">
        <v>18000</v>
      </c>
      <c r="G158" s="27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6" t="s">
        <v>45</v>
      </c>
      <c r="E159" s="277" t="s">
        <v>8</v>
      </c>
      <c r="F159" s="278">
        <v>18000</v>
      </c>
      <c r="G159" s="27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6" t="s">
        <v>45</v>
      </c>
      <c r="E160" s="277" t="s">
        <v>8</v>
      </c>
      <c r="F160" s="278">
        <v>20000</v>
      </c>
      <c r="G160" s="27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6" t="s">
        <v>45</v>
      </c>
      <c r="E161" s="277" t="s">
        <v>8</v>
      </c>
      <c r="F161" s="278">
        <v>23000</v>
      </c>
      <c r="G161" s="27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6" t="s">
        <v>45</v>
      </c>
      <c r="E162" s="277" t="s">
        <v>8</v>
      </c>
      <c r="F162" s="278">
        <v>23700</v>
      </c>
      <c r="G162" s="27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6" t="s">
        <v>45</v>
      </c>
      <c r="E163" s="277" t="s">
        <v>8</v>
      </c>
      <c r="F163" s="278">
        <v>32500</v>
      </c>
      <c r="G163" s="27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6" t="s">
        <v>45</v>
      </c>
      <c r="E164" s="277" t="s">
        <v>8</v>
      </c>
      <c r="F164" s="278">
        <v>32500</v>
      </c>
      <c r="G164" s="27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6" t="s">
        <v>45</v>
      </c>
      <c r="E165" s="277" t="s">
        <v>8</v>
      </c>
      <c r="F165" s="278">
        <v>32500</v>
      </c>
      <c r="G165" s="27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6" t="s">
        <v>45</v>
      </c>
      <c r="E166" s="277" t="s">
        <v>8</v>
      </c>
      <c r="F166" s="278">
        <v>32500</v>
      </c>
      <c r="G166" s="27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6" t="s">
        <v>45</v>
      </c>
      <c r="E167" s="277" t="s">
        <v>8</v>
      </c>
      <c r="F167" s="278">
        <v>35700</v>
      </c>
      <c r="G167" s="27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6" t="s">
        <v>45</v>
      </c>
      <c r="E168" s="277" t="s">
        <v>8</v>
      </c>
      <c r="F168" s="278">
        <v>38700</v>
      </c>
      <c r="G168" s="27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6" t="s">
        <v>45</v>
      </c>
      <c r="E169" s="277" t="s">
        <v>8</v>
      </c>
      <c r="F169" s="278">
        <v>38700</v>
      </c>
      <c r="G169" s="27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6" t="s">
        <v>45</v>
      </c>
      <c r="E170" s="277" t="s">
        <v>8</v>
      </c>
      <c r="F170" s="278">
        <v>38700</v>
      </c>
      <c r="G170" s="27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6" t="s">
        <v>45</v>
      </c>
      <c r="E171" s="277" t="s">
        <v>8</v>
      </c>
      <c r="F171" s="278">
        <v>38700</v>
      </c>
      <c r="G171" s="27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6" t="s">
        <v>45</v>
      </c>
      <c r="E172" s="277" t="s">
        <v>8</v>
      </c>
      <c r="F172" s="278">
        <v>51000</v>
      </c>
      <c r="G172" s="27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6" t="s">
        <v>45</v>
      </c>
      <c r="E173" s="277" t="s">
        <v>8</v>
      </c>
      <c r="F173" s="278">
        <v>94200</v>
      </c>
      <c r="G173" s="27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6" t="s">
        <v>45</v>
      </c>
      <c r="E174" s="277" t="s">
        <v>8</v>
      </c>
      <c r="F174" s="278">
        <v>119300</v>
      </c>
      <c r="G174" s="27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6" t="s">
        <v>45</v>
      </c>
      <c r="E175" s="277" t="s">
        <v>8</v>
      </c>
      <c r="F175" s="278">
        <v>432900</v>
      </c>
      <c r="G175" s="27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6" t="s">
        <v>45</v>
      </c>
      <c r="E176" s="277" t="s">
        <v>8</v>
      </c>
      <c r="F176" s="278">
        <v>56700</v>
      </c>
      <c r="G176" s="27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6" t="s">
        <v>45</v>
      </c>
      <c r="E177" s="277" t="s">
        <v>8</v>
      </c>
      <c r="F177" s="278">
        <v>68300</v>
      </c>
      <c r="G177" s="27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6" t="s">
        <v>45</v>
      </c>
      <c r="E178" s="277" t="s">
        <v>8</v>
      </c>
      <c r="F178" s="278">
        <v>116200</v>
      </c>
      <c r="G178" s="27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6" t="s">
        <v>45</v>
      </c>
      <c r="E179" s="277" t="s">
        <v>8</v>
      </c>
      <c r="F179" s="278">
        <v>183000</v>
      </c>
      <c r="G179" s="27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6" t="s">
        <v>45</v>
      </c>
      <c r="E180" s="277" t="s">
        <v>8</v>
      </c>
      <c r="F180" s="278">
        <v>271100</v>
      </c>
      <c r="G180" s="27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6" t="s">
        <v>45</v>
      </c>
      <c r="E181" s="277" t="s">
        <v>8</v>
      </c>
      <c r="F181" s="278">
        <v>669000</v>
      </c>
      <c r="G181" s="27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6" t="s">
        <v>45</v>
      </c>
      <c r="E182" s="277" t="s">
        <v>8</v>
      </c>
      <c r="F182" s="278">
        <v>37900</v>
      </c>
      <c r="G182" s="27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6" t="s">
        <v>48</v>
      </c>
      <c r="E183" s="277"/>
      <c r="F183" s="278"/>
      <c r="G183" s="27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6" t="s">
        <v>48</v>
      </c>
      <c r="E184" s="277"/>
      <c r="F184" s="278"/>
      <c r="G184" s="27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6" t="s">
        <v>45</v>
      </c>
      <c r="E185" s="277" t="s">
        <v>24</v>
      </c>
      <c r="F185" s="278">
        <v>22250000</v>
      </c>
      <c r="G185" s="27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6" t="s">
        <v>44</v>
      </c>
      <c r="E186" s="277" t="s">
        <v>24</v>
      </c>
      <c r="F186" s="278">
        <v>80895000</v>
      </c>
      <c r="G186" s="27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6" t="s">
        <v>44</v>
      </c>
      <c r="E187" s="277" t="s">
        <v>24</v>
      </c>
      <c r="F187" s="278">
        <v>157800000</v>
      </c>
      <c r="G187" s="27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6" t="s">
        <v>44</v>
      </c>
      <c r="E188" s="277" t="s">
        <v>24</v>
      </c>
      <c r="F188" s="278">
        <v>8595700</v>
      </c>
      <c r="G188" s="27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6" t="s">
        <v>44</v>
      </c>
      <c r="E189" s="277" t="s">
        <v>24</v>
      </c>
      <c r="F189" s="278">
        <v>8595700</v>
      </c>
      <c r="G189" s="27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6"/>
      <c r="E190" s="277"/>
      <c r="F190" s="278"/>
      <c r="G190" s="27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6" t="s">
        <v>48</v>
      </c>
      <c r="E191" s="277"/>
      <c r="F191" s="278"/>
      <c r="G191" s="27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6" t="s">
        <v>44</v>
      </c>
      <c r="E192" s="277" t="s">
        <v>8</v>
      </c>
      <c r="F192" s="278">
        <v>648050</v>
      </c>
      <c r="G192" s="27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6" t="s">
        <v>44</v>
      </c>
      <c r="E193" s="277" t="s">
        <v>8</v>
      </c>
      <c r="F193" s="278">
        <v>674300</v>
      </c>
      <c r="G193" s="27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6" t="s">
        <v>45</v>
      </c>
      <c r="E194" s="277" t="s">
        <v>8</v>
      </c>
      <c r="F194" s="278">
        <v>42100</v>
      </c>
      <c r="G194" s="27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6" t="s">
        <v>45</v>
      </c>
      <c r="E195" s="277" t="s">
        <v>8</v>
      </c>
      <c r="F195" s="278">
        <v>42100</v>
      </c>
      <c r="G195" s="27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6" t="s">
        <v>45</v>
      </c>
      <c r="E196" s="277" t="s">
        <v>8</v>
      </c>
      <c r="F196" s="278">
        <v>3800000</v>
      </c>
      <c r="G196" s="27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6" t="s">
        <v>48</v>
      </c>
      <c r="E197" s="277"/>
      <c r="F197" s="278"/>
      <c r="G197" s="27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6" t="s">
        <v>48</v>
      </c>
      <c r="E198" s="277"/>
      <c r="F198" s="278"/>
      <c r="G198" s="27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6" t="s">
        <v>45</v>
      </c>
      <c r="E199" s="277" t="s">
        <v>24</v>
      </c>
      <c r="F199" s="278">
        <v>280800000</v>
      </c>
      <c r="G199" s="27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6" t="s">
        <v>45</v>
      </c>
      <c r="E200" s="277" t="s">
        <v>8</v>
      </c>
      <c r="F200" s="278">
        <v>34688200</v>
      </c>
      <c r="G200" s="27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6" t="s">
        <v>45</v>
      </c>
      <c r="E201" s="277" t="s">
        <v>8</v>
      </c>
      <c r="F201" s="278">
        <v>24774500</v>
      </c>
      <c r="G201" s="278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6" t="s">
        <v>48</v>
      </c>
      <c r="E202" s="277"/>
      <c r="F202" s="278"/>
      <c r="G202" s="27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6" t="s">
        <v>48</v>
      </c>
      <c r="E203" s="277"/>
      <c r="F203" s="278"/>
      <c r="G203" s="27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6" t="s">
        <v>45</v>
      </c>
      <c r="E204" s="277" t="s">
        <v>100</v>
      </c>
      <c r="F204" s="278">
        <v>3036730</v>
      </c>
      <c r="G204" s="27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6" t="s">
        <v>45</v>
      </c>
      <c r="E205" s="279" t="s">
        <v>100</v>
      </c>
      <c r="F205" s="278">
        <v>4137730</v>
      </c>
      <c r="G205" s="27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6" t="s">
        <v>45</v>
      </c>
      <c r="E206" s="277" t="s">
        <v>100</v>
      </c>
      <c r="F206" s="278">
        <v>5206920</v>
      </c>
      <c r="G206" s="27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6" t="s">
        <v>45</v>
      </c>
      <c r="E207" s="277" t="s">
        <v>100</v>
      </c>
      <c r="F207" s="278">
        <v>5453270</v>
      </c>
      <c r="G207" s="278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6" t="s">
        <v>45</v>
      </c>
      <c r="E208" s="277" t="s">
        <v>100</v>
      </c>
      <c r="F208" s="278">
        <v>6453770</v>
      </c>
      <c r="G208" s="27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6" t="s">
        <v>45</v>
      </c>
      <c r="E209" s="277" t="s">
        <v>100</v>
      </c>
      <c r="F209" s="278">
        <v>7728790</v>
      </c>
      <c r="G209" s="27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6" t="s">
        <v>47</v>
      </c>
      <c r="E210" s="277" t="s">
        <v>100</v>
      </c>
      <c r="F210" s="278">
        <v>10066.666666666668</v>
      </c>
      <c r="G210" s="27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6" t="s">
        <v>45</v>
      </c>
      <c r="E211" s="277" t="s">
        <v>24</v>
      </c>
      <c r="F211" s="278">
        <v>200000</v>
      </c>
      <c r="G211" s="27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6" t="s">
        <v>48</v>
      </c>
      <c r="E212" s="277"/>
      <c r="F212" s="278"/>
      <c r="G212" s="27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6" t="s">
        <v>48</v>
      </c>
      <c r="E213" s="277"/>
      <c r="F213" s="278"/>
      <c r="G213" s="27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6" t="s">
        <v>44</v>
      </c>
      <c r="E214" s="277" t="s">
        <v>8</v>
      </c>
      <c r="F214" s="278">
        <v>217470</v>
      </c>
      <c r="G214" s="27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6" t="s">
        <v>44</v>
      </c>
      <c r="E215" s="277" t="s">
        <v>8</v>
      </c>
      <c r="F215" s="278">
        <v>212320</v>
      </c>
      <c r="G215" s="27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6" t="s">
        <v>44</v>
      </c>
      <c r="E216" s="277" t="s">
        <v>24</v>
      </c>
      <c r="F216" s="278">
        <v>394550</v>
      </c>
      <c r="G216" s="27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6" t="s">
        <v>44</v>
      </c>
      <c r="E217" s="277" t="s">
        <v>24</v>
      </c>
      <c r="F217" s="278">
        <v>220800</v>
      </c>
      <c r="G217" s="278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6"/>
      <c r="E218" s="277"/>
      <c r="F218" s="278"/>
      <c r="G218" s="278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6" t="s">
        <v>48</v>
      </c>
      <c r="E219" s="277"/>
      <c r="F219" s="278"/>
      <c r="G219" s="27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6" t="s">
        <v>44</v>
      </c>
      <c r="E220" s="277" t="s">
        <v>7</v>
      </c>
      <c r="F220" s="278">
        <v>9831</v>
      </c>
      <c r="G220" s="278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6" t="s">
        <v>44</v>
      </c>
      <c r="E221" s="277" t="s">
        <v>7</v>
      </c>
      <c r="F221" s="278">
        <v>19368</v>
      </c>
      <c r="G221" s="278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6" t="s">
        <v>44</v>
      </c>
      <c r="E222" s="277" t="s">
        <v>7</v>
      </c>
      <c r="F222" s="278">
        <v>32428</v>
      </c>
      <c r="G222" s="278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6" t="s">
        <v>44</v>
      </c>
      <c r="E223" s="277" t="s">
        <v>7</v>
      </c>
      <c r="F223" s="278">
        <v>13740</v>
      </c>
      <c r="G223" s="278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6" t="s">
        <v>44</v>
      </c>
      <c r="E224" s="277" t="s">
        <v>7</v>
      </c>
      <c r="F224" s="278">
        <v>24590</v>
      </c>
      <c r="G224" s="278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6" t="s">
        <v>44</v>
      </c>
      <c r="E225" s="277" t="s">
        <v>7</v>
      </c>
      <c r="F225" s="278">
        <v>39175</v>
      </c>
      <c r="G225" s="278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6" t="s">
        <v>48</v>
      </c>
      <c r="E226" s="277"/>
      <c r="F226" s="278"/>
      <c r="G226" s="278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6" t="s">
        <v>48</v>
      </c>
      <c r="E227" s="277"/>
      <c r="F227" s="278"/>
      <c r="G227" s="27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6" t="s">
        <v>44</v>
      </c>
      <c r="E228" s="277" t="s">
        <v>7</v>
      </c>
      <c r="F228" s="278">
        <v>47850</v>
      </c>
      <c r="G228" s="278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6" t="s">
        <v>44</v>
      </c>
      <c r="E229" s="277" t="s">
        <v>7</v>
      </c>
      <c r="F229" s="278">
        <v>27280</v>
      </c>
      <c r="G229" s="278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6" t="s">
        <v>44</v>
      </c>
      <c r="E230" s="277" t="s">
        <v>7</v>
      </c>
      <c r="F230" s="278">
        <v>48905</v>
      </c>
      <c r="G230" s="278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6" t="s">
        <v>44</v>
      </c>
      <c r="E231" s="277" t="s">
        <v>7</v>
      </c>
      <c r="F231" s="278">
        <v>3780</v>
      </c>
      <c r="G231" s="278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6" t="s">
        <v>44</v>
      </c>
      <c r="E232" s="277" t="s">
        <v>7</v>
      </c>
      <c r="F232" s="278">
        <v>5890</v>
      </c>
      <c r="G232" s="278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6" t="s">
        <v>45</v>
      </c>
      <c r="E233" s="277" t="s">
        <v>7</v>
      </c>
      <c r="F233" s="278">
        <v>8900</v>
      </c>
      <c r="G233" s="278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6" t="s">
        <v>45</v>
      </c>
      <c r="E234" s="277" t="s">
        <v>7</v>
      </c>
      <c r="F234" s="278">
        <v>10000</v>
      </c>
      <c r="G234" s="278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6" t="s">
        <v>44</v>
      </c>
      <c r="E235" s="277" t="s">
        <v>7</v>
      </c>
      <c r="F235" s="278">
        <v>12120</v>
      </c>
      <c r="G235" s="278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6" t="s">
        <v>45</v>
      </c>
      <c r="E236" s="277" t="s">
        <v>7</v>
      </c>
      <c r="F236" s="278">
        <v>23600</v>
      </c>
      <c r="G236" s="278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6" t="s">
        <v>44</v>
      </c>
      <c r="E237" s="277" t="s">
        <v>7</v>
      </c>
      <c r="F237" s="278">
        <v>290975</v>
      </c>
      <c r="G237" s="278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6" t="s">
        <v>45</v>
      </c>
      <c r="E238" s="277" t="s">
        <v>7</v>
      </c>
      <c r="F238" s="278">
        <v>62800</v>
      </c>
      <c r="G238" s="278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6" t="s">
        <v>45</v>
      </c>
      <c r="E239" s="277" t="s">
        <v>7</v>
      </c>
      <c r="F239" s="278">
        <v>107300</v>
      </c>
      <c r="G239" s="278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6" t="s">
        <v>45</v>
      </c>
      <c r="E240" s="277" t="s">
        <v>7</v>
      </c>
      <c r="F240" s="278">
        <v>468300</v>
      </c>
      <c r="G240" s="278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6" t="s">
        <v>45</v>
      </c>
      <c r="E241" s="277" t="s">
        <v>7</v>
      </c>
      <c r="F241" s="278">
        <v>633500</v>
      </c>
      <c r="G241" s="278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6" t="s">
        <v>45</v>
      </c>
      <c r="E242" s="277" t="s">
        <v>7</v>
      </c>
      <c r="F242" s="278">
        <v>983500</v>
      </c>
      <c r="G242" s="278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6" t="s">
        <v>44</v>
      </c>
      <c r="E243" s="277" t="s">
        <v>7</v>
      </c>
      <c r="F243" s="278">
        <v>84991</v>
      </c>
      <c r="G243" s="278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6" t="s">
        <v>44</v>
      </c>
      <c r="E244" s="277" t="s">
        <v>7</v>
      </c>
      <c r="F244" s="278">
        <v>125850</v>
      </c>
      <c r="G244" s="278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6" t="s">
        <v>44</v>
      </c>
      <c r="E245" s="277" t="s">
        <v>7</v>
      </c>
      <c r="F245" s="278">
        <v>196270</v>
      </c>
      <c r="G245" s="278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6" t="s">
        <v>44</v>
      </c>
      <c r="E246" s="277" t="s">
        <v>7</v>
      </c>
      <c r="F246" s="278">
        <v>318390</v>
      </c>
      <c r="G246" s="278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6" t="s">
        <v>45</v>
      </c>
      <c r="E247" s="277" t="s">
        <v>7</v>
      </c>
      <c r="F247" s="278">
        <v>121560.8</v>
      </c>
      <c r="G247" s="278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6" t="s">
        <v>45</v>
      </c>
      <c r="E248" s="277" t="s">
        <v>7</v>
      </c>
      <c r="F248" s="278">
        <v>164883</v>
      </c>
      <c r="G248" s="278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6" t="s">
        <v>44</v>
      </c>
      <c r="E249" s="277" t="s">
        <v>7</v>
      </c>
      <c r="F249" s="278">
        <v>378330</v>
      </c>
      <c r="G249" s="278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6" t="s">
        <v>45</v>
      </c>
      <c r="E250" s="277" t="s">
        <v>7</v>
      </c>
      <c r="F250" s="278">
        <v>417044.06800000003</v>
      </c>
      <c r="G250" s="278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6" t="s">
        <v>45</v>
      </c>
      <c r="E251" s="277" t="s">
        <v>7</v>
      </c>
      <c r="F251" s="278">
        <v>82600</v>
      </c>
      <c r="G251" s="278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6" t="s">
        <v>45</v>
      </c>
      <c r="E252" s="277" t="s">
        <v>7</v>
      </c>
      <c r="F252" s="278">
        <v>116300</v>
      </c>
      <c r="G252" s="278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6" t="s">
        <v>45</v>
      </c>
      <c r="E253" s="277" t="s">
        <v>7</v>
      </c>
      <c r="F253" s="278">
        <v>139900</v>
      </c>
      <c r="G253" s="278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6" t="s">
        <v>45</v>
      </c>
      <c r="E254" s="277" t="s">
        <v>7</v>
      </c>
      <c r="F254" s="278">
        <v>154600</v>
      </c>
      <c r="G254" s="278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6" t="s">
        <v>45</v>
      </c>
      <c r="E255" s="277" t="s">
        <v>7</v>
      </c>
      <c r="F255" s="278">
        <v>103500</v>
      </c>
      <c r="G255" s="278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6" t="s">
        <v>45</v>
      </c>
      <c r="E256" s="277" t="s">
        <v>7</v>
      </c>
      <c r="F256" s="278">
        <v>106000</v>
      </c>
      <c r="G256" s="278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6" t="s">
        <v>45</v>
      </c>
      <c r="E257" s="277" t="s">
        <v>7</v>
      </c>
      <c r="F257" s="278">
        <v>135900</v>
      </c>
      <c r="G257" s="278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6" t="s">
        <v>45</v>
      </c>
      <c r="E258" s="277" t="s">
        <v>7</v>
      </c>
      <c r="F258" s="278">
        <v>160100</v>
      </c>
      <c r="G258" s="278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6" t="s">
        <v>44</v>
      </c>
      <c r="E259" s="277" t="s">
        <v>7</v>
      </c>
      <c r="F259" s="278">
        <v>362130</v>
      </c>
      <c r="G259" s="278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6" t="s">
        <v>44</v>
      </c>
      <c r="E260" s="277" t="s">
        <v>7</v>
      </c>
      <c r="F260" s="278">
        <v>418580</v>
      </c>
      <c r="G260" s="278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6" t="s">
        <v>44</v>
      </c>
      <c r="E261" s="277" t="s">
        <v>7</v>
      </c>
      <c r="F261" s="278">
        <v>447280</v>
      </c>
      <c r="G261" s="278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6" t="s">
        <v>45</v>
      </c>
      <c r="E262" s="277" t="s">
        <v>7</v>
      </c>
      <c r="F262" s="278">
        <v>3200</v>
      </c>
      <c r="G262" s="278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6" t="s">
        <v>45</v>
      </c>
      <c r="E263" s="277" t="s">
        <v>7</v>
      </c>
      <c r="F263" s="278">
        <v>4100</v>
      </c>
      <c r="G263" s="278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6" t="s">
        <v>45</v>
      </c>
      <c r="E264" s="277" t="s">
        <v>7</v>
      </c>
      <c r="F264" s="278">
        <v>6500</v>
      </c>
      <c r="G264" s="278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6" t="s">
        <v>45</v>
      </c>
      <c r="E265" s="277" t="s">
        <v>7</v>
      </c>
      <c r="F265" s="278">
        <v>11400</v>
      </c>
      <c r="G265" s="278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6" t="s">
        <v>45</v>
      </c>
      <c r="E266" s="277" t="s">
        <v>7</v>
      </c>
      <c r="F266" s="278">
        <v>16700</v>
      </c>
      <c r="G266" s="278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6" t="s">
        <v>45</v>
      </c>
      <c r="E267" s="277" t="s">
        <v>7</v>
      </c>
      <c r="F267" s="278">
        <v>9600</v>
      </c>
      <c r="G267" s="278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6" t="s">
        <v>45</v>
      </c>
      <c r="E268" s="277" t="s">
        <v>7</v>
      </c>
      <c r="F268" s="278">
        <v>11700</v>
      </c>
      <c r="G268" s="278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6" t="s">
        <v>45</v>
      </c>
      <c r="E269" s="277" t="s">
        <v>7</v>
      </c>
      <c r="F269" s="278">
        <v>13300</v>
      </c>
      <c r="G269" s="278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6" t="s">
        <v>45</v>
      </c>
      <c r="E270" s="277" t="s">
        <v>7</v>
      </c>
      <c r="F270" s="278">
        <v>17000</v>
      </c>
      <c r="G270" s="278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6" t="s">
        <v>44</v>
      </c>
      <c r="E271" s="277" t="s">
        <v>7</v>
      </c>
      <c r="F271" s="278">
        <v>297630</v>
      </c>
      <c r="G271" s="278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6" t="s">
        <v>44</v>
      </c>
      <c r="E272" s="277" t="s">
        <v>7</v>
      </c>
      <c r="F272" s="278">
        <v>361430</v>
      </c>
      <c r="G272" s="278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6" t="s">
        <v>48</v>
      </c>
      <c r="E273" s="277"/>
      <c r="F273" s="278"/>
      <c r="G273" s="278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6" t="s">
        <v>48</v>
      </c>
      <c r="E274" s="277"/>
      <c r="F274" s="278"/>
      <c r="G274" s="278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6" t="s">
        <v>45</v>
      </c>
      <c r="E275" s="277" t="s">
        <v>8</v>
      </c>
      <c r="F275" s="278">
        <v>34700</v>
      </c>
      <c r="G275" s="278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6" t="s">
        <v>45</v>
      </c>
      <c r="E276" s="277" t="s">
        <v>8</v>
      </c>
      <c r="F276" s="278">
        <v>40300</v>
      </c>
      <c r="G276" s="278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6" t="s">
        <v>45</v>
      </c>
      <c r="E277" s="277" t="s">
        <v>8</v>
      </c>
      <c r="F277" s="278">
        <v>44000</v>
      </c>
      <c r="G277" s="278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6" t="s">
        <v>45</v>
      </c>
      <c r="E278" s="277" t="s">
        <v>8</v>
      </c>
      <c r="F278" s="278">
        <v>57700</v>
      </c>
      <c r="G278" s="278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6" t="s">
        <v>45</v>
      </c>
      <c r="E279" s="277" t="s">
        <v>8</v>
      </c>
      <c r="F279" s="278">
        <v>83000</v>
      </c>
      <c r="G279" s="278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6" t="s">
        <v>45</v>
      </c>
      <c r="E280" s="277" t="s">
        <v>8</v>
      </c>
      <c r="F280" s="278">
        <v>90450</v>
      </c>
      <c r="G280" s="278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6" t="s">
        <v>45</v>
      </c>
      <c r="E281" s="277" t="s">
        <v>8</v>
      </c>
      <c r="F281" s="278">
        <v>106000</v>
      </c>
      <c r="G281" s="278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6" t="s">
        <v>45</v>
      </c>
      <c r="E282" s="277" t="s">
        <v>8</v>
      </c>
      <c r="F282" s="278">
        <v>115650</v>
      </c>
      <c r="G282" s="278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6" t="s">
        <v>45</v>
      </c>
      <c r="E283" s="277" t="s">
        <v>8</v>
      </c>
      <c r="F283" s="278">
        <v>159200</v>
      </c>
      <c r="G283" s="278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6" t="s">
        <v>45</v>
      </c>
      <c r="E284" s="277" t="s">
        <v>8</v>
      </c>
      <c r="F284" s="278">
        <v>49900</v>
      </c>
      <c r="G284" s="278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6" t="s">
        <v>45</v>
      </c>
      <c r="E285" s="277" t="s">
        <v>8</v>
      </c>
      <c r="F285" s="278">
        <v>62200</v>
      </c>
      <c r="G285" s="278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6" t="s">
        <v>45</v>
      </c>
      <c r="E286" s="277" t="s">
        <v>8</v>
      </c>
      <c r="F286" s="278">
        <v>65800</v>
      </c>
      <c r="G286" s="278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6" t="s">
        <v>45</v>
      </c>
      <c r="E287" s="277" t="s">
        <v>8</v>
      </c>
      <c r="F287" s="278">
        <v>69100</v>
      </c>
      <c r="G287" s="278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6" t="s">
        <v>45</v>
      </c>
      <c r="E288" s="277" t="s">
        <v>8</v>
      </c>
      <c r="F288" s="278">
        <v>87100</v>
      </c>
      <c r="G288" s="278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6" t="s">
        <v>45</v>
      </c>
      <c r="E289" s="277" t="s">
        <v>8</v>
      </c>
      <c r="F289" s="278">
        <v>98500</v>
      </c>
      <c r="G289" s="278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6" t="s">
        <v>45</v>
      </c>
      <c r="E290" s="277" t="s">
        <v>8</v>
      </c>
      <c r="F290" s="278">
        <v>137700</v>
      </c>
      <c r="G290" s="278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6" t="s">
        <v>45</v>
      </c>
      <c r="E291" s="277" t="s">
        <v>8</v>
      </c>
      <c r="F291" s="278">
        <v>124300</v>
      </c>
      <c r="G291" s="278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6" t="s">
        <v>45</v>
      </c>
      <c r="E292" s="277" t="s">
        <v>8</v>
      </c>
      <c r="F292" s="278">
        <v>114000</v>
      </c>
      <c r="G292" s="278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6" t="s">
        <v>45</v>
      </c>
      <c r="E293" s="277" t="s">
        <v>8</v>
      </c>
      <c r="F293" s="278">
        <v>146000</v>
      </c>
      <c r="G293" s="278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6" t="s">
        <v>45</v>
      </c>
      <c r="E294" s="277" t="s">
        <v>8</v>
      </c>
      <c r="F294" s="278">
        <v>156000</v>
      </c>
      <c r="G294" s="278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6" t="s">
        <v>45</v>
      </c>
      <c r="E295" s="277" t="s">
        <v>8</v>
      </c>
      <c r="F295" s="278">
        <v>17200</v>
      </c>
      <c r="G295" s="278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6" t="s">
        <v>45</v>
      </c>
      <c r="E296" s="277" t="s">
        <v>8</v>
      </c>
      <c r="F296" s="278">
        <v>21900</v>
      </c>
      <c r="G296" s="278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6" t="s">
        <v>45</v>
      </c>
      <c r="E297" s="277" t="s">
        <v>8</v>
      </c>
      <c r="F297" s="278">
        <v>21900</v>
      </c>
      <c r="G297" s="278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6" t="s">
        <v>45</v>
      </c>
      <c r="E298" s="277" t="s">
        <v>8</v>
      </c>
      <c r="F298" s="278">
        <v>23500</v>
      </c>
      <c r="G298" s="278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6" t="s">
        <v>45</v>
      </c>
      <c r="E299" s="277" t="s">
        <v>8</v>
      </c>
      <c r="F299" s="278">
        <v>26100</v>
      </c>
      <c r="G299" s="278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6" t="s">
        <v>45</v>
      </c>
      <c r="E300" s="277" t="s">
        <v>8</v>
      </c>
      <c r="F300" s="278">
        <v>35500</v>
      </c>
      <c r="G300" s="278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6" t="s">
        <v>45</v>
      </c>
      <c r="E301" s="277" t="s">
        <v>8</v>
      </c>
      <c r="F301" s="278">
        <v>46200</v>
      </c>
      <c r="G301" s="278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6" t="s">
        <v>45</v>
      </c>
      <c r="E302" s="277" t="s">
        <v>8</v>
      </c>
      <c r="F302" s="278">
        <v>68700</v>
      </c>
      <c r="G302" s="278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6" t="s">
        <v>45</v>
      </c>
      <c r="E303" s="277" t="s">
        <v>8</v>
      </c>
      <c r="F303" s="278">
        <v>76800</v>
      </c>
      <c r="G303" s="278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6" t="s">
        <v>45</v>
      </c>
      <c r="E304" s="277" t="s">
        <v>8</v>
      </c>
      <c r="F304" s="278">
        <v>23000</v>
      </c>
      <c r="G304" s="278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6" t="s">
        <v>45</v>
      </c>
      <c r="E305" s="277" t="s">
        <v>8</v>
      </c>
      <c r="F305" s="278">
        <v>25700</v>
      </c>
      <c r="G305" s="278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6" t="s">
        <v>45</v>
      </c>
      <c r="E306" s="277" t="s">
        <v>8</v>
      </c>
      <c r="F306" s="278">
        <v>38100</v>
      </c>
      <c r="G306" s="278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6" t="s">
        <v>45</v>
      </c>
      <c r="E307" s="277" t="s">
        <v>8</v>
      </c>
      <c r="F307" s="278">
        <v>48000</v>
      </c>
      <c r="G307" s="278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6" t="s">
        <v>45</v>
      </c>
      <c r="E308" s="277" t="s">
        <v>8</v>
      </c>
      <c r="F308" s="278">
        <v>60000</v>
      </c>
      <c r="G308" s="278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6" t="s">
        <v>45</v>
      </c>
      <c r="E309" s="277" t="s">
        <v>8</v>
      </c>
      <c r="F309" s="278">
        <v>79000</v>
      </c>
      <c r="G309" s="278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6" t="s">
        <v>45</v>
      </c>
      <c r="E310" s="277" t="s">
        <v>8</v>
      </c>
      <c r="F310" s="278">
        <v>99600</v>
      </c>
      <c r="G310" s="278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6" t="s">
        <v>45</v>
      </c>
      <c r="E311" s="277" t="s">
        <v>8</v>
      </c>
      <c r="F311" s="278">
        <v>170800</v>
      </c>
      <c r="G311" s="278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6" t="s">
        <v>45</v>
      </c>
      <c r="E312" s="277" t="s">
        <v>8</v>
      </c>
      <c r="F312" s="278">
        <v>197400</v>
      </c>
      <c r="G312" s="278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6" t="s">
        <v>45</v>
      </c>
      <c r="E313" s="277" t="s">
        <v>8</v>
      </c>
      <c r="F313" s="278">
        <v>158100</v>
      </c>
      <c r="G313" s="278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6" t="s">
        <v>48</v>
      </c>
      <c r="E314" s="277"/>
      <c r="F314" s="278"/>
      <c r="G314" s="278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6" t="s">
        <v>48</v>
      </c>
      <c r="E315" s="277"/>
      <c r="F315" s="278"/>
      <c r="G315" s="278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6" t="s">
        <v>45</v>
      </c>
      <c r="E316" s="277" t="s">
        <v>112</v>
      </c>
      <c r="F316" s="278">
        <v>125000</v>
      </c>
      <c r="G316" s="278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6" t="s">
        <v>45</v>
      </c>
      <c r="E317" s="277" t="s">
        <v>114</v>
      </c>
      <c r="F317" s="278">
        <v>74000</v>
      </c>
      <c r="G317" s="278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6" t="s">
        <v>45</v>
      </c>
      <c r="E318" s="277" t="s">
        <v>8</v>
      </c>
      <c r="F318" s="278">
        <v>4500</v>
      </c>
      <c r="G318" s="278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6" t="s">
        <v>45</v>
      </c>
      <c r="E319" s="277" t="s">
        <v>24</v>
      </c>
      <c r="F319" s="278">
        <v>3888</v>
      </c>
      <c r="G319" s="278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6" t="s">
        <v>45</v>
      </c>
      <c r="E320" s="277" t="s">
        <v>24</v>
      </c>
      <c r="F320" s="278">
        <v>2900</v>
      </c>
      <c r="G320" s="278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6" t="s">
        <v>45</v>
      </c>
      <c r="E321" s="277" t="s">
        <v>24</v>
      </c>
      <c r="F321" s="278">
        <v>11500</v>
      </c>
      <c r="G321" s="278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6" t="s">
        <v>45</v>
      </c>
      <c r="E322" s="277" t="s">
        <v>24</v>
      </c>
      <c r="F322" s="278">
        <v>6100</v>
      </c>
      <c r="G322" s="278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6" t="s">
        <v>45</v>
      </c>
      <c r="E323" s="277" t="s">
        <v>8</v>
      </c>
      <c r="F323" s="278">
        <v>58600</v>
      </c>
      <c r="G323" s="278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6" t="s">
        <v>45</v>
      </c>
      <c r="E324" s="277" t="s">
        <v>24</v>
      </c>
      <c r="F324" s="278">
        <v>15400</v>
      </c>
      <c r="G324" s="278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6" t="s">
        <v>45</v>
      </c>
      <c r="E325" s="277" t="s">
        <v>24</v>
      </c>
      <c r="F325" s="278">
        <v>5300</v>
      </c>
      <c r="G325" s="278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6" t="s">
        <v>45</v>
      </c>
      <c r="E326" s="277" t="s">
        <v>24</v>
      </c>
      <c r="F326" s="278">
        <v>8900</v>
      </c>
      <c r="G326" s="278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6" t="s">
        <v>45</v>
      </c>
      <c r="E327" s="277" t="s">
        <v>24</v>
      </c>
      <c r="F327" s="278">
        <v>15800</v>
      </c>
      <c r="G327" s="278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6" t="s">
        <v>45</v>
      </c>
      <c r="E328" s="277" t="s">
        <v>24</v>
      </c>
      <c r="F328" s="278">
        <v>13800</v>
      </c>
      <c r="G328" s="278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6" t="s">
        <v>45</v>
      </c>
      <c r="E329" s="277" t="s">
        <v>24</v>
      </c>
      <c r="F329" s="278">
        <v>18080</v>
      </c>
      <c r="G329" s="278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6" t="s">
        <v>45</v>
      </c>
      <c r="E330" s="277" t="s">
        <v>24</v>
      </c>
      <c r="F330" s="278">
        <v>19700</v>
      </c>
      <c r="G330" s="278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6" t="s">
        <v>45</v>
      </c>
      <c r="E331" s="277" t="s">
        <v>24</v>
      </c>
      <c r="F331" s="278">
        <v>23000</v>
      </c>
      <c r="G331" s="278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6" t="s">
        <v>45</v>
      </c>
      <c r="E332" s="277" t="s">
        <v>24</v>
      </c>
      <c r="F332" s="278">
        <v>38400</v>
      </c>
      <c r="G332" s="278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6" t="s">
        <v>45</v>
      </c>
      <c r="E333" s="277" t="s">
        <v>24</v>
      </c>
      <c r="F333" s="278">
        <v>22900</v>
      </c>
      <c r="G333" s="278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6" t="s">
        <v>45</v>
      </c>
      <c r="E334" s="277" t="s">
        <v>24</v>
      </c>
      <c r="F334" s="278">
        <v>25000</v>
      </c>
      <c r="G334" s="278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6" t="s">
        <v>45</v>
      </c>
      <c r="E335" s="277" t="s">
        <v>24</v>
      </c>
      <c r="F335" s="278">
        <v>25000</v>
      </c>
      <c r="G335" s="278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6" t="s">
        <v>45</v>
      </c>
      <c r="E336" s="277" t="s">
        <v>24</v>
      </c>
      <c r="F336" s="278">
        <v>18400</v>
      </c>
      <c r="G336" s="278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6" t="s">
        <v>45</v>
      </c>
      <c r="E337" s="277" t="s">
        <v>24</v>
      </c>
      <c r="F337" s="278">
        <v>18400</v>
      </c>
      <c r="G337" s="278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6" t="s">
        <v>45</v>
      </c>
      <c r="E338" s="277" t="s">
        <v>24</v>
      </c>
      <c r="F338" s="278">
        <v>18400</v>
      </c>
      <c r="G338" s="278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6" t="s">
        <v>45</v>
      </c>
      <c r="E339" s="277" t="s">
        <v>24</v>
      </c>
      <c r="F339" s="278">
        <v>61300</v>
      </c>
      <c r="G339" s="278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6" t="s">
        <v>45</v>
      </c>
      <c r="E340" s="277" t="s">
        <v>24</v>
      </c>
      <c r="F340" s="278">
        <v>61300</v>
      </c>
      <c r="G340" s="278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6" t="s">
        <v>45</v>
      </c>
      <c r="E341" s="277" t="s">
        <v>24</v>
      </c>
      <c r="F341" s="278">
        <v>61300</v>
      </c>
      <c r="G341" s="278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6" t="s">
        <v>45</v>
      </c>
      <c r="E342" s="277" t="s">
        <v>24</v>
      </c>
      <c r="F342" s="278">
        <v>64500</v>
      </c>
      <c r="G342" s="278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6" t="s">
        <v>45</v>
      </c>
      <c r="E343" s="277" t="s">
        <v>24</v>
      </c>
      <c r="F343" s="278">
        <v>69000</v>
      </c>
      <c r="G343" s="278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6" t="s">
        <v>45</v>
      </c>
      <c r="E344" s="277" t="s">
        <v>24</v>
      </c>
      <c r="F344" s="278">
        <v>82500</v>
      </c>
      <c r="G344" s="278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6" t="s">
        <v>45</v>
      </c>
      <c r="E345" s="277" t="s">
        <v>24</v>
      </c>
      <c r="F345" s="278">
        <v>79800</v>
      </c>
      <c r="G345" s="278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6" t="s">
        <v>45</v>
      </c>
      <c r="E346" s="277" t="s">
        <v>24</v>
      </c>
      <c r="F346" s="278">
        <v>72100</v>
      </c>
      <c r="G346" s="278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6" t="s">
        <v>45</v>
      </c>
      <c r="E347" s="277" t="s">
        <v>24</v>
      </c>
      <c r="F347" s="278">
        <v>86800</v>
      </c>
      <c r="G347" s="278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6" t="s">
        <v>45</v>
      </c>
      <c r="E348" s="277" t="s">
        <v>24</v>
      </c>
      <c r="F348" s="278">
        <v>105600</v>
      </c>
      <c r="G348" s="278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6" t="s">
        <v>45</v>
      </c>
      <c r="E349" s="277" t="s">
        <v>24</v>
      </c>
      <c r="F349" s="278">
        <v>491900</v>
      </c>
      <c r="G349" s="278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6" t="s">
        <v>45</v>
      </c>
      <c r="E350" s="277" t="s">
        <v>24</v>
      </c>
      <c r="F350" s="278">
        <v>29555</v>
      </c>
      <c r="G350" s="278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6" t="s">
        <v>45</v>
      </c>
      <c r="E351" s="277" t="s">
        <v>24</v>
      </c>
      <c r="F351" s="278">
        <v>37200</v>
      </c>
      <c r="G351" s="278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6" t="s">
        <v>45</v>
      </c>
      <c r="E352" s="277" t="s">
        <v>24</v>
      </c>
      <c r="F352" s="278">
        <v>29600</v>
      </c>
      <c r="G352" s="278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6" t="s">
        <v>45</v>
      </c>
      <c r="E353" s="277" t="s">
        <v>24</v>
      </c>
      <c r="F353" s="278">
        <v>37144</v>
      </c>
      <c r="G353" s="278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6" t="s">
        <v>45</v>
      </c>
      <c r="E354" s="277" t="s">
        <v>24</v>
      </c>
      <c r="F354" s="278">
        <v>5700</v>
      </c>
      <c r="G354" s="278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6" t="s">
        <v>45</v>
      </c>
      <c r="E355" s="277" t="s">
        <v>24</v>
      </c>
      <c r="F355" s="278">
        <v>5700</v>
      </c>
      <c r="G355" s="278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6" t="s">
        <v>45</v>
      </c>
      <c r="E356" s="277" t="s">
        <v>24</v>
      </c>
      <c r="F356" s="278">
        <v>10700</v>
      </c>
      <c r="G356" s="278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6" t="s">
        <v>45</v>
      </c>
      <c r="E357" s="277" t="s">
        <v>24</v>
      </c>
      <c r="F357" s="278">
        <v>6200</v>
      </c>
      <c r="G357" s="278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6" t="s">
        <v>45</v>
      </c>
      <c r="E358" s="277" t="s">
        <v>100</v>
      </c>
      <c r="F358" s="278">
        <v>446100</v>
      </c>
      <c r="G358" s="278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6" t="s">
        <v>45</v>
      </c>
      <c r="E359" s="277" t="s">
        <v>100</v>
      </c>
      <c r="F359" s="278">
        <v>45796</v>
      </c>
      <c r="G359" s="278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6" t="s">
        <v>48</v>
      </c>
      <c r="E360" s="277"/>
      <c r="F360" s="278"/>
      <c r="G360" s="278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6" t="s">
        <v>48</v>
      </c>
      <c r="E361" s="277"/>
      <c r="F361" s="278"/>
      <c r="G361" s="278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6" t="s">
        <v>45</v>
      </c>
      <c r="E362" s="277" t="s">
        <v>24</v>
      </c>
      <c r="F362" s="278">
        <v>37000</v>
      </c>
      <c r="G362" s="278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6" t="s">
        <v>45</v>
      </c>
      <c r="E363" s="277" t="s">
        <v>24</v>
      </c>
      <c r="F363" s="278">
        <v>55500</v>
      </c>
      <c r="G363" s="278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6" t="s">
        <v>45</v>
      </c>
      <c r="E364" s="277" t="s">
        <v>24</v>
      </c>
      <c r="F364" s="278">
        <v>67800</v>
      </c>
      <c r="G364" s="278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6" t="s">
        <v>45</v>
      </c>
      <c r="E365" s="277" t="s">
        <v>24</v>
      </c>
      <c r="F365" s="278">
        <v>98600</v>
      </c>
      <c r="G365" s="278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6" t="s">
        <v>45</v>
      </c>
      <c r="E366" s="277" t="s">
        <v>24</v>
      </c>
      <c r="F366" s="278">
        <v>135199</v>
      </c>
      <c r="G366" s="278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6" t="s">
        <v>45</v>
      </c>
      <c r="E367" s="277" t="s">
        <v>7</v>
      </c>
      <c r="F367" s="278">
        <v>7789</v>
      </c>
      <c r="G367" s="278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6" t="s">
        <v>45</v>
      </c>
      <c r="E368" s="277" t="s">
        <v>8</v>
      </c>
      <c r="F368" s="278">
        <v>47459</v>
      </c>
      <c r="G368" s="278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6" t="s">
        <v>45</v>
      </c>
      <c r="E369" s="277" t="s">
        <v>8</v>
      </c>
      <c r="F369" s="278">
        <v>112500</v>
      </c>
      <c r="G369" s="278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6" t="s">
        <v>45</v>
      </c>
      <c r="E370" s="277" t="s">
        <v>8</v>
      </c>
      <c r="F370" s="278">
        <v>35800</v>
      </c>
      <c r="G370" s="278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6" t="s">
        <v>45</v>
      </c>
      <c r="E371" s="277" t="s">
        <v>8</v>
      </c>
      <c r="F371" s="278">
        <v>36000</v>
      </c>
      <c r="G371" s="278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6" t="s">
        <v>45</v>
      </c>
      <c r="E372" s="277" t="s">
        <v>8</v>
      </c>
      <c r="F372" s="278">
        <v>36000</v>
      </c>
      <c r="G372" s="278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6" t="s">
        <v>45</v>
      </c>
      <c r="E373" s="277" t="s">
        <v>8</v>
      </c>
      <c r="F373" s="278">
        <v>40000</v>
      </c>
      <c r="G373" s="278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6" t="s">
        <v>45</v>
      </c>
      <c r="E374" s="277" t="s">
        <v>8</v>
      </c>
      <c r="F374" s="278">
        <v>55000</v>
      </c>
      <c r="G374" s="278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6" t="s">
        <v>45</v>
      </c>
      <c r="E375" s="277" t="s">
        <v>8</v>
      </c>
      <c r="F375" s="278">
        <v>45500</v>
      </c>
      <c r="G375" s="278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6" t="s">
        <v>45</v>
      </c>
      <c r="E376" s="277" t="s">
        <v>8</v>
      </c>
      <c r="F376" s="278">
        <v>45500</v>
      </c>
      <c r="G376" s="278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6" t="s">
        <v>45</v>
      </c>
      <c r="E377" s="277" t="s">
        <v>8</v>
      </c>
      <c r="F377" s="278">
        <v>45500</v>
      </c>
      <c r="G377" s="278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6" t="s">
        <v>45</v>
      </c>
      <c r="E378" s="277" t="s">
        <v>8</v>
      </c>
      <c r="F378" s="278">
        <v>45500</v>
      </c>
      <c r="G378" s="27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6" t="s">
        <v>45</v>
      </c>
      <c r="E379" s="277" t="s">
        <v>8</v>
      </c>
      <c r="F379" s="278">
        <v>7938</v>
      </c>
      <c r="G379" s="278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6" t="s">
        <v>45</v>
      </c>
      <c r="E380" s="277" t="s">
        <v>8</v>
      </c>
      <c r="F380" s="278">
        <v>30000</v>
      </c>
      <c r="G380" s="278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6" t="s">
        <v>45</v>
      </c>
      <c r="E381" s="277" t="s">
        <v>8</v>
      </c>
      <c r="F381" s="278">
        <v>26500</v>
      </c>
      <c r="G381" s="278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6" t="s">
        <v>45</v>
      </c>
      <c r="E382" s="277" t="s">
        <v>8</v>
      </c>
      <c r="F382" s="278">
        <v>26500</v>
      </c>
      <c r="G382" s="278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6" t="s">
        <v>45</v>
      </c>
      <c r="E383" s="277" t="s">
        <v>8</v>
      </c>
      <c r="F383" s="278">
        <v>26500</v>
      </c>
      <c r="G383" s="278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6" t="s">
        <v>45</v>
      </c>
      <c r="E384" s="277" t="s">
        <v>8</v>
      </c>
      <c r="F384" s="278">
        <v>26500</v>
      </c>
      <c r="G384" s="27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6" t="s">
        <v>45</v>
      </c>
      <c r="E385" s="277" t="s">
        <v>8</v>
      </c>
      <c r="F385" s="278">
        <v>33600</v>
      </c>
      <c r="G385" s="278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6" t="s">
        <v>45</v>
      </c>
      <c r="E386" s="277" t="s">
        <v>8</v>
      </c>
      <c r="F386" s="278">
        <v>33600</v>
      </c>
      <c r="G386" s="278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6" t="s">
        <v>45</v>
      </c>
      <c r="E387" s="277" t="s">
        <v>8</v>
      </c>
      <c r="F387" s="278">
        <v>33600</v>
      </c>
      <c r="G387" s="278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6" t="s">
        <v>45</v>
      </c>
      <c r="E388" s="277" t="s">
        <v>8</v>
      </c>
      <c r="F388" s="278">
        <v>33600</v>
      </c>
      <c r="G388" s="278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6" t="s">
        <v>45</v>
      </c>
      <c r="E389" s="277" t="s">
        <v>8</v>
      </c>
      <c r="F389" s="278">
        <v>32600</v>
      </c>
      <c r="G389" s="278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6" t="s">
        <v>45</v>
      </c>
      <c r="E390" s="277" t="s">
        <v>8</v>
      </c>
      <c r="F390" s="278">
        <v>45000</v>
      </c>
      <c r="G390" s="278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6" t="s">
        <v>45</v>
      </c>
      <c r="E391" s="277" t="s">
        <v>8</v>
      </c>
      <c r="F391" s="278">
        <v>92500</v>
      </c>
      <c r="G391" s="278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6" t="s">
        <v>45</v>
      </c>
      <c r="E392" s="277" t="s">
        <v>8</v>
      </c>
      <c r="F392" s="278">
        <v>67700</v>
      </c>
      <c r="G392" s="278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6" t="s">
        <v>45</v>
      </c>
      <c r="E393" s="277" t="s">
        <v>8</v>
      </c>
      <c r="F393" s="278">
        <v>13100</v>
      </c>
      <c r="G393" s="278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6" t="s">
        <v>45</v>
      </c>
      <c r="E394" s="277" t="s">
        <v>8</v>
      </c>
      <c r="F394" s="278">
        <v>404600</v>
      </c>
      <c r="G394" s="278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6" t="s">
        <v>45</v>
      </c>
      <c r="E395" s="277" t="s">
        <v>8</v>
      </c>
      <c r="F395" s="278">
        <v>445573.55999999994</v>
      </c>
      <c r="G395" s="278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6" t="s">
        <v>45</v>
      </c>
      <c r="E396" s="277" t="s">
        <v>8</v>
      </c>
      <c r="F396" s="278">
        <v>89200</v>
      </c>
      <c r="G396" s="278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6" t="s">
        <v>45</v>
      </c>
      <c r="E397" s="277" t="s">
        <v>8</v>
      </c>
      <c r="F397" s="278">
        <v>95000</v>
      </c>
      <c r="G397" s="278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6" t="s">
        <v>45</v>
      </c>
      <c r="E398" s="277" t="s">
        <v>8</v>
      </c>
      <c r="F398" s="278">
        <v>15500</v>
      </c>
      <c r="G398" s="278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6" t="s">
        <v>45</v>
      </c>
      <c r="E399" s="277" t="s">
        <v>8</v>
      </c>
      <c r="F399" s="278">
        <v>37700</v>
      </c>
      <c r="G399" s="278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6" t="s">
        <v>45</v>
      </c>
      <c r="E400" s="277" t="s">
        <v>8</v>
      </c>
      <c r="F400" s="278">
        <v>28000</v>
      </c>
      <c r="G400" s="278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6" t="s">
        <v>45</v>
      </c>
      <c r="E401" s="277" t="s">
        <v>8</v>
      </c>
      <c r="F401" s="278">
        <v>22400</v>
      </c>
      <c r="G401" s="278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6" t="s">
        <v>45</v>
      </c>
      <c r="E402" s="277" t="s">
        <v>8</v>
      </c>
      <c r="F402" s="278">
        <v>15800</v>
      </c>
      <c r="G402" s="278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6" t="s">
        <v>45</v>
      </c>
      <c r="E403" s="277" t="s">
        <v>8</v>
      </c>
      <c r="F403" s="278">
        <v>22400</v>
      </c>
      <c r="G403" s="278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6" t="s">
        <v>45</v>
      </c>
      <c r="E404" s="277" t="s">
        <v>8</v>
      </c>
      <c r="F404" s="278">
        <v>36500</v>
      </c>
      <c r="G404" s="278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6" t="s">
        <v>45</v>
      </c>
      <c r="E405" s="277" t="s">
        <v>8</v>
      </c>
      <c r="F405" s="278">
        <v>10800</v>
      </c>
      <c r="G405" s="278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6" t="s">
        <v>45</v>
      </c>
      <c r="E406" s="277" t="s">
        <v>8</v>
      </c>
      <c r="F406" s="278">
        <v>13600</v>
      </c>
      <c r="G406" s="278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6" t="s">
        <v>45</v>
      </c>
      <c r="E407" s="277" t="s">
        <v>8</v>
      </c>
      <c r="F407" s="278">
        <v>17100</v>
      </c>
      <c r="G407" s="278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6" t="s">
        <v>45</v>
      </c>
      <c r="E408" s="277" t="s">
        <v>8</v>
      </c>
      <c r="F408" s="278">
        <v>32400</v>
      </c>
      <c r="G408" s="278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6" t="s">
        <v>45</v>
      </c>
      <c r="E409" s="277" t="s">
        <v>8</v>
      </c>
      <c r="F409" s="278">
        <v>40400</v>
      </c>
      <c r="G409" s="278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6" t="s">
        <v>45</v>
      </c>
      <c r="E410" s="277" t="s">
        <v>8</v>
      </c>
      <c r="F410" s="278">
        <v>282000</v>
      </c>
      <c r="G410" s="278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6" t="s">
        <v>45</v>
      </c>
      <c r="E411" s="277" t="s">
        <v>8</v>
      </c>
      <c r="F411" s="278">
        <v>379000</v>
      </c>
      <c r="G411" s="278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6" t="s">
        <v>45</v>
      </c>
      <c r="E412" s="277" t="s">
        <v>8</v>
      </c>
      <c r="F412" s="278">
        <v>557000</v>
      </c>
      <c r="G412" s="278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6" t="s">
        <v>45</v>
      </c>
      <c r="E413" s="277" t="s">
        <v>8</v>
      </c>
      <c r="F413" s="278">
        <v>41800</v>
      </c>
      <c r="G413" s="278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6" t="s">
        <v>45</v>
      </c>
      <c r="E414" s="277" t="s">
        <v>8</v>
      </c>
      <c r="F414" s="278">
        <v>78500</v>
      </c>
      <c r="G414" s="278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6" t="s">
        <v>45</v>
      </c>
      <c r="E415" s="277" t="s">
        <v>8</v>
      </c>
      <c r="F415" s="278">
        <v>120000</v>
      </c>
      <c r="G415" s="278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6" t="s">
        <v>45</v>
      </c>
      <c r="E416" s="277" t="s">
        <v>8</v>
      </c>
      <c r="F416" s="278">
        <v>120900</v>
      </c>
      <c r="G416" s="278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6" t="s">
        <v>45</v>
      </c>
      <c r="E417" s="277" t="s">
        <v>8</v>
      </c>
      <c r="F417" s="278">
        <v>78500</v>
      </c>
      <c r="G417" s="27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6" t="s">
        <v>45</v>
      </c>
      <c r="E418" s="277" t="s">
        <v>8</v>
      </c>
      <c r="F418" s="278">
        <v>85300</v>
      </c>
      <c r="G418" s="278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6" t="s">
        <v>45</v>
      </c>
      <c r="E419" s="277" t="s">
        <v>8</v>
      </c>
      <c r="F419" s="278">
        <v>107300</v>
      </c>
      <c r="G419" s="278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6" t="s">
        <v>45</v>
      </c>
      <c r="E420" s="277" t="s">
        <v>8</v>
      </c>
      <c r="F420" s="278">
        <v>112100</v>
      </c>
      <c r="G420" s="278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6" t="s">
        <v>45</v>
      </c>
      <c r="E421" s="277" t="s">
        <v>8</v>
      </c>
      <c r="F421" s="278">
        <v>75400</v>
      </c>
      <c r="G421" s="278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6" t="s">
        <v>45</v>
      </c>
      <c r="E422" s="277" t="s">
        <v>8</v>
      </c>
      <c r="F422" s="278">
        <v>23500</v>
      </c>
      <c r="G422" s="278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6" t="s">
        <v>45</v>
      </c>
      <c r="E423" s="277" t="s">
        <v>8</v>
      </c>
      <c r="F423" s="278">
        <v>26500</v>
      </c>
      <c r="G423" s="278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6" t="s">
        <v>45</v>
      </c>
      <c r="E424" s="277" t="s">
        <v>8</v>
      </c>
      <c r="F424" s="278">
        <v>34000</v>
      </c>
      <c r="G424" s="278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6" t="s">
        <v>45</v>
      </c>
      <c r="E425" s="277" t="s">
        <v>8</v>
      </c>
      <c r="F425" s="278">
        <v>49600</v>
      </c>
      <c r="G425" s="278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6" t="s">
        <v>45</v>
      </c>
      <c r="E426" s="277" t="s">
        <v>8</v>
      </c>
      <c r="F426" s="278">
        <v>56300</v>
      </c>
      <c r="G426" s="278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6" t="s">
        <v>45</v>
      </c>
      <c r="E427" s="277" t="s">
        <v>7</v>
      </c>
      <c r="F427" s="278">
        <v>33800</v>
      </c>
      <c r="G427" s="278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6" t="s">
        <v>45</v>
      </c>
      <c r="E428" s="277" t="s">
        <v>7</v>
      </c>
      <c r="F428" s="278">
        <v>40200</v>
      </c>
      <c r="G428" s="278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6" t="s">
        <v>45</v>
      </c>
      <c r="E429" s="277" t="s">
        <v>7</v>
      </c>
      <c r="F429" s="278">
        <v>46800</v>
      </c>
      <c r="G429" s="278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6" t="s">
        <v>45</v>
      </c>
      <c r="E430" s="277" t="s">
        <v>8</v>
      </c>
      <c r="F430" s="278">
        <v>9500</v>
      </c>
      <c r="G430" s="278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6" t="s">
        <v>45</v>
      </c>
      <c r="E431" s="277" t="s">
        <v>8</v>
      </c>
      <c r="F431" s="278">
        <v>184500</v>
      </c>
      <c r="G431" s="278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6" t="s">
        <v>45</v>
      </c>
      <c r="E432" s="277" t="s">
        <v>8</v>
      </c>
      <c r="F432" s="278">
        <v>175000</v>
      </c>
      <c r="G432" s="278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6" t="s">
        <v>45</v>
      </c>
      <c r="E433" s="277" t="s">
        <v>7</v>
      </c>
      <c r="F433" s="278">
        <v>30000</v>
      </c>
      <c r="G433" s="278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6" t="s">
        <v>45</v>
      </c>
      <c r="E434" s="277" t="s">
        <v>7</v>
      </c>
      <c r="F434" s="278">
        <v>49500</v>
      </c>
      <c r="G434" s="278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6" t="s">
        <v>45</v>
      </c>
      <c r="E435" s="277" t="s">
        <v>7</v>
      </c>
      <c r="F435" s="278">
        <v>120000</v>
      </c>
      <c r="G435" s="278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6" t="s">
        <v>45</v>
      </c>
      <c r="E436" s="277" t="s">
        <v>8</v>
      </c>
      <c r="F436" s="278">
        <v>4880</v>
      </c>
      <c r="G436" s="278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6" t="s">
        <v>45</v>
      </c>
      <c r="E437" s="277" t="s">
        <v>8</v>
      </c>
      <c r="F437" s="278">
        <v>1308700</v>
      </c>
      <c r="G437" s="278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6" t="s">
        <v>45</v>
      </c>
      <c r="E438" s="277" t="s">
        <v>8</v>
      </c>
      <c r="F438" s="278">
        <v>12500</v>
      </c>
      <c r="G438" s="278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6" t="s">
        <v>45</v>
      </c>
      <c r="E439" s="277" t="s">
        <v>7</v>
      </c>
      <c r="F439" s="278">
        <v>9700</v>
      </c>
      <c r="G439" s="278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6" t="s">
        <v>45</v>
      </c>
      <c r="E440" s="277" t="s">
        <v>7</v>
      </c>
      <c r="F440" s="278">
        <v>24300</v>
      </c>
      <c r="G440" s="278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6" t="s">
        <v>45</v>
      </c>
      <c r="E441" s="277" t="s">
        <v>7</v>
      </c>
      <c r="F441" s="278">
        <v>39204</v>
      </c>
      <c r="G441" s="278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6" t="s">
        <v>45</v>
      </c>
      <c r="E442" s="277" t="s">
        <v>7</v>
      </c>
      <c r="F442" s="278">
        <v>491900</v>
      </c>
      <c r="G442" s="278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6" t="s">
        <v>45</v>
      </c>
      <c r="E443" s="277" t="s">
        <v>8</v>
      </c>
      <c r="F443" s="278">
        <v>78069</v>
      </c>
      <c r="G443" s="278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6" t="s">
        <v>45</v>
      </c>
      <c r="E444" s="277" t="s">
        <v>8</v>
      </c>
      <c r="F444" s="278">
        <v>155631</v>
      </c>
      <c r="G444" s="278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73" t="s">
        <v>598</v>
      </c>
      <c r="D445" s="276" t="s">
        <v>45</v>
      </c>
      <c r="E445" s="277" t="s">
        <v>8</v>
      </c>
      <c r="F445" s="278">
        <v>3965</v>
      </c>
      <c r="G445" s="278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6" t="s">
        <v>45</v>
      </c>
      <c r="E446" s="277" t="s">
        <v>8</v>
      </c>
      <c r="F446" s="278">
        <v>31800</v>
      </c>
      <c r="G446" s="278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6" t="s">
        <v>45</v>
      </c>
      <c r="E447" s="277" t="s">
        <v>8</v>
      </c>
      <c r="F447" s="278">
        <v>33800</v>
      </c>
      <c r="G447" s="278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6" t="s">
        <v>45</v>
      </c>
      <c r="E448" s="277" t="s">
        <v>8</v>
      </c>
      <c r="F448" s="278">
        <v>38500</v>
      </c>
      <c r="G448" s="278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6" t="s">
        <v>45</v>
      </c>
      <c r="E449" s="277" t="s">
        <v>8</v>
      </c>
      <c r="F449" s="278">
        <v>76000</v>
      </c>
      <c r="G449" s="278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6" t="s">
        <v>45</v>
      </c>
      <c r="E450" s="277" t="s">
        <v>8</v>
      </c>
      <c r="F450" s="278">
        <v>97000</v>
      </c>
      <c r="G450" s="278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6" t="s">
        <v>45</v>
      </c>
      <c r="E451" s="277" t="s">
        <v>7</v>
      </c>
      <c r="F451" s="278">
        <v>4520</v>
      </c>
      <c r="G451" s="278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6" t="s">
        <v>45</v>
      </c>
      <c r="E452" s="277" t="s">
        <v>8</v>
      </c>
      <c r="F452" s="278">
        <v>7290</v>
      </c>
      <c r="G452" s="278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6" t="s">
        <v>45</v>
      </c>
      <c r="E453" s="277" t="s">
        <v>8</v>
      </c>
      <c r="F453" s="278">
        <v>4500</v>
      </c>
      <c r="G453" s="278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6" t="s">
        <v>45</v>
      </c>
      <c r="E454" s="277" t="s">
        <v>8</v>
      </c>
      <c r="F454" s="278">
        <v>106300</v>
      </c>
      <c r="G454" s="278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6" t="s">
        <v>45</v>
      </c>
      <c r="E455" s="277" t="s">
        <v>8</v>
      </c>
      <c r="F455" s="278">
        <v>116800</v>
      </c>
      <c r="G455" s="278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6" t="s">
        <v>45</v>
      </c>
      <c r="E456" s="277" t="s">
        <v>8</v>
      </c>
      <c r="F456" s="278">
        <v>11400</v>
      </c>
      <c r="G456" s="278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6" t="s">
        <v>45</v>
      </c>
      <c r="E457" s="277" t="s">
        <v>8</v>
      </c>
      <c r="F457" s="278">
        <v>29600</v>
      </c>
      <c r="G457" s="278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6" t="s">
        <v>45</v>
      </c>
      <c r="E458" s="277" t="s">
        <v>8</v>
      </c>
      <c r="F458" s="278">
        <v>290142</v>
      </c>
      <c r="G458" s="278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6" t="s">
        <v>45</v>
      </c>
      <c r="E459" s="277" t="s">
        <v>8</v>
      </c>
      <c r="F459" s="278">
        <v>265680</v>
      </c>
      <c r="G459" s="278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6" t="s">
        <v>45</v>
      </c>
      <c r="E460" s="277" t="s">
        <v>8</v>
      </c>
      <c r="F460" s="278">
        <v>265680</v>
      </c>
      <c r="G460" s="278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6" t="s">
        <v>45</v>
      </c>
      <c r="E461" s="277" t="s">
        <v>8</v>
      </c>
      <c r="F461" s="278">
        <v>20898</v>
      </c>
      <c r="G461" s="278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6" t="s">
        <v>45</v>
      </c>
      <c r="E462" s="277" t="s">
        <v>8</v>
      </c>
      <c r="F462" s="278">
        <v>20700</v>
      </c>
      <c r="G462" s="278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6" t="s">
        <v>45</v>
      </c>
      <c r="E463" s="277" t="s">
        <v>8</v>
      </c>
      <c r="F463" s="278">
        <v>13600</v>
      </c>
      <c r="G463" s="278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6" t="s">
        <v>45</v>
      </c>
      <c r="E464" s="277" t="s">
        <v>8</v>
      </c>
      <c r="F464" s="278">
        <v>27900</v>
      </c>
      <c r="G464" s="278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6" t="s">
        <v>45</v>
      </c>
      <c r="E465" s="277" t="s">
        <v>8</v>
      </c>
      <c r="F465" s="278">
        <v>27815</v>
      </c>
      <c r="G465" s="278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6" t="s">
        <v>45</v>
      </c>
      <c r="E466" s="277" t="s">
        <v>8</v>
      </c>
      <c r="F466" s="278">
        <v>20800</v>
      </c>
      <c r="G466" s="278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6" t="s">
        <v>45</v>
      </c>
      <c r="E467" s="277" t="s">
        <v>8</v>
      </c>
      <c r="F467" s="278">
        <v>23936</v>
      </c>
      <c r="G467" s="278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6" t="s">
        <v>45</v>
      </c>
      <c r="E468" s="277" t="s">
        <v>8</v>
      </c>
      <c r="F468" s="278">
        <v>31590</v>
      </c>
      <c r="G468" s="278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6" t="s">
        <v>45</v>
      </c>
      <c r="E469" s="277" t="s">
        <v>8</v>
      </c>
      <c r="F469" s="278">
        <v>32500</v>
      </c>
      <c r="G469" s="278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6" t="s">
        <v>45</v>
      </c>
      <c r="E470" s="277" t="s">
        <v>8</v>
      </c>
      <c r="F470" s="278">
        <v>47300</v>
      </c>
      <c r="G470" s="278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6" t="s">
        <v>45</v>
      </c>
      <c r="E471" s="277" t="s">
        <v>8</v>
      </c>
      <c r="F471" s="278">
        <v>61560</v>
      </c>
      <c r="G471" s="278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6" t="s">
        <v>45</v>
      </c>
      <c r="E472" s="277" t="s">
        <v>8</v>
      </c>
      <c r="F472" s="278">
        <v>79056</v>
      </c>
      <c r="G472" s="278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6" t="s">
        <v>45</v>
      </c>
      <c r="E473" s="277" t="s">
        <v>8</v>
      </c>
      <c r="F473" s="278">
        <v>81984</v>
      </c>
      <c r="G473" s="278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6" t="s">
        <v>45</v>
      </c>
      <c r="E474" s="277" t="s">
        <v>8</v>
      </c>
      <c r="F474" s="278">
        <v>7320</v>
      </c>
      <c r="G474" s="278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6" t="s">
        <v>45</v>
      </c>
      <c r="E475" s="277" t="s">
        <v>8</v>
      </c>
      <c r="F475" s="278">
        <v>8784</v>
      </c>
      <c r="G475" s="278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6" t="s">
        <v>45</v>
      </c>
      <c r="E476" s="277" t="s">
        <v>8</v>
      </c>
      <c r="F476" s="278">
        <v>52704</v>
      </c>
      <c r="G476" s="278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6" t="s">
        <v>45</v>
      </c>
      <c r="E477" s="277" t="s">
        <v>8</v>
      </c>
      <c r="F477" s="278">
        <v>67344</v>
      </c>
      <c r="G477" s="278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6" t="s">
        <v>45</v>
      </c>
      <c r="E478" s="277" t="s">
        <v>8</v>
      </c>
      <c r="F478" s="278">
        <v>40000</v>
      </c>
      <c r="G478" s="278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6" t="s">
        <v>45</v>
      </c>
      <c r="E479" s="277" t="s">
        <v>8</v>
      </c>
      <c r="F479" s="278">
        <v>150000</v>
      </c>
      <c r="G479" s="278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6" t="s">
        <v>45</v>
      </c>
      <c r="E480" s="277" t="s">
        <v>8</v>
      </c>
      <c r="F480" s="278">
        <v>4212</v>
      </c>
      <c r="G480" s="278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6" t="s">
        <v>45</v>
      </c>
      <c r="E481" s="277" t="s">
        <v>8</v>
      </c>
      <c r="F481" s="278">
        <v>50000</v>
      </c>
      <c r="G481" s="278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6" t="s">
        <v>45</v>
      </c>
      <c r="E482" s="277" t="s">
        <v>8</v>
      </c>
      <c r="F482" s="278">
        <v>32500</v>
      </c>
      <c r="G482" s="278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6" t="s">
        <v>45</v>
      </c>
      <c r="E483" s="277" t="s">
        <v>8</v>
      </c>
      <c r="F483" s="278">
        <v>37500</v>
      </c>
      <c r="G483" s="278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6" t="s">
        <v>45</v>
      </c>
      <c r="E484" s="277" t="s">
        <v>8</v>
      </c>
      <c r="F484" s="278">
        <v>47800</v>
      </c>
      <c r="G484" s="278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6" t="s">
        <v>45</v>
      </c>
      <c r="E485" s="277" t="s">
        <v>8</v>
      </c>
      <c r="F485" s="278">
        <v>52500</v>
      </c>
      <c r="G485" s="278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6" t="s">
        <v>45</v>
      </c>
      <c r="E486" s="277" t="s">
        <v>8</v>
      </c>
      <c r="F486" s="278">
        <v>63500</v>
      </c>
      <c r="G486" s="278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6" t="s">
        <v>45</v>
      </c>
      <c r="E487" s="277" t="s">
        <v>8</v>
      </c>
      <c r="F487" s="278">
        <v>67500</v>
      </c>
      <c r="G487" s="278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6" t="s">
        <v>45</v>
      </c>
      <c r="E488" s="277" t="s">
        <v>8</v>
      </c>
      <c r="F488" s="278">
        <v>53000</v>
      </c>
      <c r="G488" s="278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6" t="s">
        <v>45</v>
      </c>
      <c r="E489" s="277" t="s">
        <v>8</v>
      </c>
      <c r="F489" s="278">
        <v>34000</v>
      </c>
      <c r="G489" s="278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6" t="s">
        <v>45</v>
      </c>
      <c r="E490" s="277" t="s">
        <v>8</v>
      </c>
      <c r="F490" s="278">
        <v>39500</v>
      </c>
      <c r="G490" s="278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6" t="s">
        <v>45</v>
      </c>
      <c r="E491" s="277" t="s">
        <v>8</v>
      </c>
      <c r="F491" s="278">
        <v>41900</v>
      </c>
      <c r="G491" s="278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6" t="s">
        <v>45</v>
      </c>
      <c r="E492" s="277" t="s">
        <v>8</v>
      </c>
      <c r="F492" s="278">
        <v>44400</v>
      </c>
      <c r="G492" s="278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6" t="s">
        <v>45</v>
      </c>
      <c r="E493" s="277" t="s">
        <v>8</v>
      </c>
      <c r="F493" s="278">
        <v>61800</v>
      </c>
      <c r="G493" s="278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6" t="s">
        <v>45</v>
      </c>
      <c r="E494" s="277" t="s">
        <v>8</v>
      </c>
      <c r="F494" s="278">
        <v>68600</v>
      </c>
      <c r="G494" s="278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6" t="s">
        <v>45</v>
      </c>
      <c r="E495" s="277" t="s">
        <v>8</v>
      </c>
      <c r="F495" s="278">
        <v>68600</v>
      </c>
      <c r="G495" s="278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6" t="s">
        <v>45</v>
      </c>
      <c r="E496" s="277" t="s">
        <v>8</v>
      </c>
      <c r="F496" s="278">
        <v>29600</v>
      </c>
      <c r="G496" s="278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6" t="s">
        <v>45</v>
      </c>
      <c r="E497" s="277" t="s">
        <v>8</v>
      </c>
      <c r="F497" s="278">
        <v>34500</v>
      </c>
      <c r="G497" s="278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6" t="s">
        <v>45</v>
      </c>
      <c r="E498" s="277" t="s">
        <v>8</v>
      </c>
      <c r="F498" s="278">
        <v>44800</v>
      </c>
      <c r="G498" s="278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6" t="s">
        <v>45</v>
      </c>
      <c r="E499" s="277" t="s">
        <v>8</v>
      </c>
      <c r="F499" s="278">
        <v>49500</v>
      </c>
      <c r="G499" s="278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6" t="s">
        <v>45</v>
      </c>
      <c r="E500" s="277" t="s">
        <v>8</v>
      </c>
      <c r="F500" s="278">
        <v>57690</v>
      </c>
      <c r="G500" s="278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6" t="s">
        <v>45</v>
      </c>
      <c r="E501" s="277" t="s">
        <v>8</v>
      </c>
      <c r="F501" s="278">
        <v>60300</v>
      </c>
      <c r="G501" s="278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6" t="s">
        <v>45</v>
      </c>
      <c r="E502" s="277" t="s">
        <v>8</v>
      </c>
      <c r="F502" s="278">
        <v>39900</v>
      </c>
      <c r="G502" s="278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6" t="s">
        <v>45</v>
      </c>
      <c r="E503" s="277" t="s">
        <v>8</v>
      </c>
      <c r="F503" s="278">
        <v>34500</v>
      </c>
      <c r="G503" s="278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6" t="s">
        <v>45</v>
      </c>
      <c r="E504" s="277" t="s">
        <v>8</v>
      </c>
      <c r="F504" s="278">
        <v>37000</v>
      </c>
      <c r="G504" s="278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6" t="s">
        <v>45</v>
      </c>
      <c r="E505" s="277" t="s">
        <v>8</v>
      </c>
      <c r="F505" s="278">
        <v>39500</v>
      </c>
      <c r="G505" s="278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6" t="s">
        <v>45</v>
      </c>
      <c r="E506" s="277" t="s">
        <v>8</v>
      </c>
      <c r="F506" s="278">
        <v>41900</v>
      </c>
      <c r="G506" s="278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6" t="s">
        <v>45</v>
      </c>
      <c r="E507" s="277" t="s">
        <v>8</v>
      </c>
      <c r="F507" s="278">
        <v>51100</v>
      </c>
      <c r="G507" s="278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6" t="s">
        <v>45</v>
      </c>
      <c r="E508" s="277" t="s">
        <v>8</v>
      </c>
      <c r="F508" s="278">
        <v>51800</v>
      </c>
      <c r="G508" s="278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6" t="s">
        <v>45</v>
      </c>
      <c r="E509" s="277" t="s">
        <v>8</v>
      </c>
      <c r="F509" s="278">
        <v>51800</v>
      </c>
      <c r="G509" s="278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6" t="s">
        <v>45</v>
      </c>
      <c r="E510" s="277" t="s">
        <v>8</v>
      </c>
      <c r="F510" s="278">
        <v>75420</v>
      </c>
      <c r="G510" s="278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6" t="s">
        <v>45</v>
      </c>
      <c r="E511" s="277" t="s">
        <v>8</v>
      </c>
      <c r="F511" s="278">
        <v>118440</v>
      </c>
      <c r="G511" s="278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6" t="s">
        <v>45</v>
      </c>
      <c r="E512" s="277" t="s">
        <v>8</v>
      </c>
      <c r="F512" s="278">
        <v>136980</v>
      </c>
      <c r="G512" s="278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6" t="s">
        <v>45</v>
      </c>
      <c r="E513" s="277" t="s">
        <v>8</v>
      </c>
      <c r="F513" s="278">
        <v>172350</v>
      </c>
      <c r="G513" s="278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6" t="s">
        <v>45</v>
      </c>
      <c r="E514" s="277" t="s">
        <v>8</v>
      </c>
      <c r="F514" s="278">
        <v>180000</v>
      </c>
      <c r="G514" s="278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6" t="s">
        <v>45</v>
      </c>
      <c r="E515" s="277" t="s">
        <v>8</v>
      </c>
      <c r="F515" s="278">
        <v>135800</v>
      </c>
      <c r="G515" s="278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6" t="s">
        <v>45</v>
      </c>
      <c r="E516" s="277" t="s">
        <v>8</v>
      </c>
      <c r="F516" s="278">
        <v>104200</v>
      </c>
      <c r="G516" s="278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6" t="s">
        <v>45</v>
      </c>
      <c r="E517" s="277" t="s">
        <v>8</v>
      </c>
      <c r="F517" s="278">
        <v>16000</v>
      </c>
      <c r="G517" s="278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6" t="s">
        <v>45</v>
      </c>
      <c r="E518" s="277" t="s">
        <v>8</v>
      </c>
      <c r="F518" s="278">
        <v>118530</v>
      </c>
      <c r="G518" s="278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73" t="s">
        <v>474</v>
      </c>
      <c r="D519" s="276" t="s">
        <v>45</v>
      </c>
      <c r="E519" s="277" t="s">
        <v>8</v>
      </c>
      <c r="F519" s="278">
        <v>3711.24</v>
      </c>
      <c r="G519" s="278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6" t="s">
        <v>45</v>
      </c>
      <c r="E520" s="277" t="s">
        <v>8</v>
      </c>
      <c r="F520" s="278">
        <v>28000</v>
      </c>
      <c r="G520" s="278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6" t="s">
        <v>45</v>
      </c>
      <c r="E521" s="277" t="s">
        <v>8</v>
      </c>
      <c r="F521" s="278">
        <v>33501.866666666669</v>
      </c>
      <c r="G521" s="278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6" t="s">
        <v>45</v>
      </c>
      <c r="E522" s="277" t="s">
        <v>7</v>
      </c>
      <c r="F522" s="278">
        <v>23310</v>
      </c>
      <c r="G522" s="278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6" t="s">
        <v>45</v>
      </c>
      <c r="E523" s="277" t="s">
        <v>8</v>
      </c>
      <c r="F523" s="278">
        <v>129000</v>
      </c>
      <c r="G523" s="278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6" t="s">
        <v>45</v>
      </c>
      <c r="E524" s="277" t="s">
        <v>8</v>
      </c>
      <c r="F524" s="278">
        <v>145400</v>
      </c>
      <c r="G524" s="278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6" t="s">
        <v>45</v>
      </c>
      <c r="E525" s="277" t="s">
        <v>8</v>
      </c>
      <c r="F525" s="278">
        <v>351751.73281450948</v>
      </c>
      <c r="G525" s="278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6" t="s">
        <v>45</v>
      </c>
      <c r="E526" s="277" t="s">
        <v>8</v>
      </c>
      <c r="F526" s="278">
        <v>250000</v>
      </c>
      <c r="G526" s="278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6" t="s">
        <v>45</v>
      </c>
      <c r="E527" s="277" t="s">
        <v>8</v>
      </c>
      <c r="F527" s="278">
        <v>485097.76536861184</v>
      </c>
      <c r="G527" s="278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6" t="s">
        <v>45</v>
      </c>
      <c r="E528" s="277" t="s">
        <v>8</v>
      </c>
      <c r="F528" s="278">
        <v>423009.82499999995</v>
      </c>
      <c r="G528" s="278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6" t="s">
        <v>45</v>
      </c>
      <c r="E529" s="277" t="s">
        <v>8</v>
      </c>
      <c r="F529" s="278">
        <v>302149.875</v>
      </c>
      <c r="G529" s="278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6" t="s">
        <v>45</v>
      </c>
      <c r="E530" s="277" t="s">
        <v>8</v>
      </c>
      <c r="F530" s="278">
        <v>335990.66099999991</v>
      </c>
      <c r="G530" s="278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6" t="s">
        <v>45</v>
      </c>
      <c r="E531" s="277" t="s">
        <v>8</v>
      </c>
      <c r="F531" s="278">
        <v>2300</v>
      </c>
      <c r="G531" s="278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6" t="s">
        <v>45</v>
      </c>
      <c r="E532" s="277" t="s">
        <v>8</v>
      </c>
      <c r="F532" s="278">
        <v>88000</v>
      </c>
      <c r="G532" s="278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6" t="s">
        <v>45</v>
      </c>
      <c r="E533" s="277" t="s">
        <v>8</v>
      </c>
      <c r="F533" s="278">
        <v>72400</v>
      </c>
      <c r="G533" s="278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6" t="s">
        <v>45</v>
      </c>
      <c r="E534" s="277" t="s">
        <v>8</v>
      </c>
      <c r="F534" s="278">
        <v>123500</v>
      </c>
      <c r="G534" s="278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6" t="s">
        <v>45</v>
      </c>
      <c r="E535" s="277" t="s">
        <v>8</v>
      </c>
      <c r="F535" s="278">
        <v>225000</v>
      </c>
      <c r="G535" s="278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6" t="s">
        <v>45</v>
      </c>
      <c r="E536" s="277" t="s">
        <v>8</v>
      </c>
      <c r="F536" s="278">
        <v>71000</v>
      </c>
      <c r="G536" s="278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6" t="s">
        <v>45</v>
      </c>
      <c r="E537" s="277" t="s">
        <v>8</v>
      </c>
      <c r="F537" s="278">
        <v>36000</v>
      </c>
      <c r="G537" s="278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6" t="s">
        <v>45</v>
      </c>
      <c r="E538" s="277" t="s">
        <v>8</v>
      </c>
      <c r="F538" s="278">
        <v>17820</v>
      </c>
      <c r="G538" s="278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6" t="s">
        <v>45</v>
      </c>
      <c r="E539" s="277" t="s">
        <v>8</v>
      </c>
      <c r="F539" s="278">
        <v>22900</v>
      </c>
      <c r="G539" s="278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6" t="s">
        <v>45</v>
      </c>
      <c r="E540" s="277" t="s">
        <v>8</v>
      </c>
      <c r="F540" s="278">
        <v>30800</v>
      </c>
      <c r="G540" s="278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6" t="s">
        <v>45</v>
      </c>
      <c r="E541" s="277" t="s">
        <v>8</v>
      </c>
      <c r="F541" s="278">
        <v>33900</v>
      </c>
      <c r="G541" s="278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6" t="s">
        <v>45</v>
      </c>
      <c r="E542" s="277" t="s">
        <v>8</v>
      </c>
      <c r="F542" s="278">
        <v>30800</v>
      </c>
      <c r="G542" s="278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6" t="s">
        <v>45</v>
      </c>
      <c r="E543" s="277" t="s">
        <v>8</v>
      </c>
      <c r="F543" s="278">
        <v>33900</v>
      </c>
      <c r="G543" s="278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6" t="s">
        <v>45</v>
      </c>
      <c r="E544" s="277" t="s">
        <v>8</v>
      </c>
      <c r="F544" s="278">
        <v>12510</v>
      </c>
      <c r="G544" s="278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6" t="s">
        <v>45</v>
      </c>
      <c r="E545" s="277" t="s">
        <v>8</v>
      </c>
      <c r="F545" s="278">
        <v>15500</v>
      </c>
      <c r="G545" s="278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6" t="s">
        <v>45</v>
      </c>
      <c r="E546" s="277" t="s">
        <v>8</v>
      </c>
      <c r="F546" s="278">
        <v>19500</v>
      </c>
      <c r="G546" s="278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6" t="s">
        <v>45</v>
      </c>
      <c r="E547" s="277" t="s">
        <v>8</v>
      </c>
      <c r="F547" s="278">
        <v>28400</v>
      </c>
      <c r="G547" s="278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6" t="s">
        <v>45</v>
      </c>
      <c r="E548" s="277" t="s">
        <v>8</v>
      </c>
      <c r="F548" s="278">
        <v>28314</v>
      </c>
      <c r="G548" s="278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6" t="s">
        <v>45</v>
      </c>
      <c r="E549" s="277" t="s">
        <v>8</v>
      </c>
      <c r="F549" s="278">
        <v>3510</v>
      </c>
      <c r="G549" s="278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6" t="s">
        <v>45</v>
      </c>
      <c r="E550" s="277" t="s">
        <v>8</v>
      </c>
      <c r="F550" s="278">
        <v>2100</v>
      </c>
      <c r="G550" s="278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6" t="s">
        <v>45</v>
      </c>
      <c r="E551" s="277" t="s">
        <v>8</v>
      </c>
      <c r="F551" s="278">
        <v>40000</v>
      </c>
      <c r="G551" s="278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6" t="s">
        <v>45</v>
      </c>
      <c r="E552" s="277" t="s">
        <v>7</v>
      </c>
      <c r="F552" s="278">
        <v>8550</v>
      </c>
      <c r="G552" s="278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6" t="s">
        <v>45</v>
      </c>
      <c r="E553" s="277" t="s">
        <v>8</v>
      </c>
      <c r="F553" s="278">
        <v>45000</v>
      </c>
      <c r="G553" s="278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6" t="s">
        <v>45</v>
      </c>
      <c r="E554" s="277" t="s">
        <v>8</v>
      </c>
      <c r="F554" s="278">
        <v>2500</v>
      </c>
      <c r="G554" s="278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6" t="s">
        <v>45</v>
      </c>
      <c r="E555" s="277" t="s">
        <v>8</v>
      </c>
      <c r="F555" s="278">
        <v>2500</v>
      </c>
      <c r="G555" s="278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6" t="s">
        <v>48</v>
      </c>
      <c r="E556" s="277"/>
      <c r="F556" s="278"/>
      <c r="G556" s="278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6" t="s">
        <v>48</v>
      </c>
      <c r="E557" s="277"/>
      <c r="F557" s="278"/>
      <c r="G557" s="278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6" t="s">
        <v>45</v>
      </c>
      <c r="E558" s="277" t="s">
        <v>24</v>
      </c>
      <c r="F558" s="278">
        <v>5950800</v>
      </c>
      <c r="G558" s="278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6" t="s">
        <v>45</v>
      </c>
      <c r="E559" s="277" t="s">
        <v>24</v>
      </c>
      <c r="F559" s="278">
        <v>5950800</v>
      </c>
      <c r="G559" s="278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6" t="s">
        <v>45</v>
      </c>
      <c r="E560" s="277" t="s">
        <v>24</v>
      </c>
      <c r="F560" s="278">
        <v>5950800</v>
      </c>
      <c r="G560" s="278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6" t="s">
        <v>45</v>
      </c>
      <c r="E561" s="277" t="s">
        <v>24</v>
      </c>
      <c r="F561" s="278">
        <v>6374600</v>
      </c>
      <c r="G561" s="278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6" t="s">
        <v>45</v>
      </c>
      <c r="E562" s="277" t="s">
        <v>24</v>
      </c>
      <c r="F562" s="278">
        <v>6374600</v>
      </c>
      <c r="G562" s="278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6" t="s">
        <v>45</v>
      </c>
      <c r="E563" s="277" t="s">
        <v>24</v>
      </c>
      <c r="F563" s="278">
        <v>6374600</v>
      </c>
      <c r="G563" s="278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6" t="s">
        <v>45</v>
      </c>
      <c r="E564" s="277" t="s">
        <v>24</v>
      </c>
      <c r="F564" s="278">
        <v>6374600</v>
      </c>
      <c r="G564" s="27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6" t="s">
        <v>45</v>
      </c>
      <c r="E565" s="277" t="s">
        <v>24</v>
      </c>
      <c r="F565" s="278">
        <v>4927200</v>
      </c>
      <c r="G565" s="278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6" t="s">
        <v>45</v>
      </c>
      <c r="E566" s="277" t="s">
        <v>24</v>
      </c>
      <c r="F566" s="278">
        <v>4927200</v>
      </c>
      <c r="G566" s="278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6" t="s">
        <v>45</v>
      </c>
      <c r="E567" s="277" t="s">
        <v>24</v>
      </c>
      <c r="F567" s="278">
        <v>4927200</v>
      </c>
      <c r="G567" s="278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6" t="s">
        <v>45</v>
      </c>
      <c r="E568" s="277" t="s">
        <v>24</v>
      </c>
      <c r="F568" s="278">
        <v>5602300</v>
      </c>
      <c r="G568" s="278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6" t="s">
        <v>45</v>
      </c>
      <c r="E569" s="277" t="s">
        <v>24</v>
      </c>
      <c r="F569" s="278">
        <v>5602300</v>
      </c>
      <c r="G569" s="278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6" t="s">
        <v>45</v>
      </c>
      <c r="E570" s="277" t="s">
        <v>24</v>
      </c>
      <c r="F570" s="278">
        <v>5602300</v>
      </c>
      <c r="G570" s="278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6" t="s">
        <v>45</v>
      </c>
      <c r="E571" s="277" t="s">
        <v>24</v>
      </c>
      <c r="F571" s="278">
        <v>5529300</v>
      </c>
      <c r="G571" s="278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6" t="s">
        <v>45</v>
      </c>
      <c r="E572" s="277" t="s">
        <v>24</v>
      </c>
      <c r="F572" s="278">
        <v>5529300</v>
      </c>
      <c r="G572" s="278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6" t="s">
        <v>45</v>
      </c>
      <c r="E573" s="277" t="s">
        <v>24</v>
      </c>
      <c r="F573" s="278">
        <v>5529300</v>
      </c>
      <c r="G573" s="278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6" t="s">
        <v>45</v>
      </c>
      <c r="E574" s="277" t="s">
        <v>24</v>
      </c>
      <c r="F574" s="278">
        <v>5030000</v>
      </c>
      <c r="G574" s="278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6" t="s">
        <v>45</v>
      </c>
      <c r="E575" s="277" t="s">
        <v>24</v>
      </c>
      <c r="F575" s="278">
        <v>7223500</v>
      </c>
      <c r="G575" s="278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6" t="s">
        <v>45</v>
      </c>
      <c r="E576" s="277" t="s">
        <v>24</v>
      </c>
      <c r="F576" s="280">
        <v>7275900</v>
      </c>
      <c r="G576" s="280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6" t="s">
        <v>45</v>
      </c>
      <c r="E577" s="277" t="s">
        <v>24</v>
      </c>
      <c r="F577" s="278">
        <v>7275900</v>
      </c>
      <c r="G577" s="278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6" t="s">
        <v>45</v>
      </c>
      <c r="E578" s="277" t="s">
        <v>24</v>
      </c>
      <c r="F578" s="278">
        <v>5224600</v>
      </c>
      <c r="G578" s="278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6" t="s">
        <v>45</v>
      </c>
      <c r="E579" s="277" t="s">
        <v>24</v>
      </c>
      <c r="F579" s="278">
        <v>5224600</v>
      </c>
      <c r="G579" s="278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6" t="s">
        <v>45</v>
      </c>
      <c r="E580" s="277" t="s">
        <v>24</v>
      </c>
      <c r="F580" s="278">
        <v>2857700</v>
      </c>
      <c r="G580" s="278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6" t="s">
        <v>45</v>
      </c>
      <c r="E581" s="277" t="s">
        <v>24</v>
      </c>
      <c r="F581" s="278">
        <v>2857700</v>
      </c>
      <c r="G581" s="278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6" t="s">
        <v>45</v>
      </c>
      <c r="E582" s="277" t="s">
        <v>24</v>
      </c>
      <c r="F582" s="278">
        <v>3401800</v>
      </c>
      <c r="G582" s="278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6" t="s">
        <v>45</v>
      </c>
      <c r="E583" s="277" t="s">
        <v>24</v>
      </c>
      <c r="F583" s="278">
        <v>2935500</v>
      </c>
      <c r="G583" s="278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6" t="s">
        <v>45</v>
      </c>
      <c r="E584" s="277" t="s">
        <v>24</v>
      </c>
      <c r="F584" s="278">
        <v>4180700</v>
      </c>
      <c r="G584" s="278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6" t="s">
        <v>45</v>
      </c>
      <c r="E585" s="277" t="s">
        <v>24</v>
      </c>
      <c r="F585" s="278">
        <v>7316100</v>
      </c>
      <c r="G585" s="278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6" t="s">
        <v>45</v>
      </c>
      <c r="E586" s="277" t="s">
        <v>8</v>
      </c>
      <c r="F586" s="278">
        <v>34800</v>
      </c>
      <c r="G586" s="278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6" t="s">
        <v>45</v>
      </c>
      <c r="E587" s="277" t="s">
        <v>8</v>
      </c>
      <c r="F587" s="278">
        <v>11200</v>
      </c>
      <c r="G587" s="278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6" t="s">
        <v>45</v>
      </c>
      <c r="E588" s="277" t="s">
        <v>8</v>
      </c>
      <c r="F588" s="278">
        <v>6100</v>
      </c>
      <c r="G588" s="278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6" t="s">
        <v>45</v>
      </c>
      <c r="E589" s="277" t="s">
        <v>8</v>
      </c>
      <c r="F589" s="278">
        <v>18200</v>
      </c>
      <c r="G589" s="278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6" t="s">
        <v>45</v>
      </c>
      <c r="E590" s="277" t="s">
        <v>8</v>
      </c>
      <c r="F590" s="278">
        <v>83900</v>
      </c>
      <c r="G590" s="278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6" t="s">
        <v>45</v>
      </c>
      <c r="E591" s="277" t="s">
        <v>8</v>
      </c>
      <c r="F591" s="278">
        <v>148000</v>
      </c>
      <c r="G591" s="278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6" t="s">
        <v>45</v>
      </c>
      <c r="E592" s="277" t="s">
        <v>8</v>
      </c>
      <c r="F592" s="278">
        <v>1000000</v>
      </c>
      <c r="G592" s="278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6" t="s">
        <v>45</v>
      </c>
      <c r="E593" s="277" t="s">
        <v>8</v>
      </c>
      <c r="F593" s="278">
        <v>22500</v>
      </c>
      <c r="G593" s="278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6" t="s">
        <v>45</v>
      </c>
      <c r="E594" s="277" t="s">
        <v>8</v>
      </c>
      <c r="F594" s="278">
        <v>8000</v>
      </c>
      <c r="G594" s="278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6" t="s">
        <v>45</v>
      </c>
      <c r="E595" s="277" t="s">
        <v>8</v>
      </c>
      <c r="F595" s="278">
        <v>3700</v>
      </c>
      <c r="G595" s="278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6" t="s">
        <v>45</v>
      </c>
      <c r="E596" s="277" t="s">
        <v>8</v>
      </c>
      <c r="F596" s="278">
        <v>200000</v>
      </c>
      <c r="G596" s="278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6" t="s">
        <v>48</v>
      </c>
      <c r="E597" s="277"/>
      <c r="F597" s="278"/>
      <c r="G597" s="278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6" t="s">
        <v>48</v>
      </c>
      <c r="E598" s="277"/>
      <c r="F598" s="278"/>
      <c r="G598" s="278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6" t="s">
        <v>45</v>
      </c>
      <c r="E599" s="277" t="s">
        <v>1090</v>
      </c>
      <c r="F599" s="278">
        <v>200000</v>
      </c>
      <c r="G599" s="27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6" t="s">
        <v>45</v>
      </c>
      <c r="E600" s="277" t="s">
        <v>1090</v>
      </c>
      <c r="F600" s="278">
        <v>2172500</v>
      </c>
      <c r="G600" s="278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6" t="s">
        <v>45</v>
      </c>
      <c r="E601" s="277" t="s">
        <v>1090</v>
      </c>
      <c r="F601" s="278">
        <v>700000</v>
      </c>
      <c r="G601" s="278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6" t="s">
        <v>45</v>
      </c>
      <c r="E602" s="277" t="s">
        <v>1090</v>
      </c>
      <c r="F602" s="278">
        <v>490000</v>
      </c>
      <c r="G602" s="278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6" t="s">
        <v>45</v>
      </c>
      <c r="E603" s="277" t="s">
        <v>1090</v>
      </c>
      <c r="F603" s="278">
        <v>224000</v>
      </c>
      <c r="G603" s="278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6" t="s">
        <v>45</v>
      </c>
      <c r="E604" s="277" t="s">
        <v>14</v>
      </c>
      <c r="F604" s="278">
        <v>15000</v>
      </c>
      <c r="G604" s="278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6" t="s">
        <v>45</v>
      </c>
      <c r="E605" s="277" t="s">
        <v>1090</v>
      </c>
      <c r="F605" s="278">
        <v>1510245</v>
      </c>
      <c r="G605" s="278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6" t="s">
        <v>48</v>
      </c>
      <c r="E606" s="277"/>
      <c r="F606" s="278"/>
      <c r="G606" s="278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6" t="s">
        <v>48</v>
      </c>
      <c r="E607" s="277"/>
      <c r="F607" s="278"/>
      <c r="G607" s="278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6" t="s">
        <v>45</v>
      </c>
      <c r="E608" s="277" t="s">
        <v>8</v>
      </c>
      <c r="F608" s="278">
        <v>16226</v>
      </c>
      <c r="G608" s="278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6" t="s">
        <v>45</v>
      </c>
      <c r="E609" s="277" t="s">
        <v>8</v>
      </c>
      <c r="F609" s="278">
        <v>19947</v>
      </c>
      <c r="G609" s="278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6" t="s">
        <v>45</v>
      </c>
      <c r="E610" s="277" t="s">
        <v>8</v>
      </c>
      <c r="F610" s="278">
        <v>26711.899999999998</v>
      </c>
      <c r="G610" s="278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6" t="s">
        <v>45</v>
      </c>
      <c r="E611" s="277" t="s">
        <v>8</v>
      </c>
      <c r="F611" s="278">
        <v>84820.5</v>
      </c>
      <c r="G611" s="278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6" t="s">
        <v>45</v>
      </c>
      <c r="E612" s="277" t="s">
        <v>8</v>
      </c>
      <c r="F612" s="278">
        <v>33550</v>
      </c>
      <c r="G612" s="278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6" t="s">
        <v>45</v>
      </c>
      <c r="E613" s="277" t="s">
        <v>8</v>
      </c>
      <c r="F613" s="278">
        <v>16833.560000000001</v>
      </c>
      <c r="G613" s="278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6" t="s">
        <v>45</v>
      </c>
      <c r="E614" s="277" t="s">
        <v>8</v>
      </c>
      <c r="F614" s="278">
        <v>72742.5</v>
      </c>
      <c r="G614" s="278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6" t="s">
        <v>45</v>
      </c>
      <c r="E615" s="277" t="s">
        <v>8</v>
      </c>
      <c r="F615" s="278">
        <v>45445</v>
      </c>
      <c r="G615" s="278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6" t="s">
        <v>45</v>
      </c>
      <c r="E616" s="277" t="s">
        <v>8</v>
      </c>
      <c r="F616" s="278">
        <v>84820.5</v>
      </c>
      <c r="G616" s="278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6" t="s">
        <v>45</v>
      </c>
      <c r="E617" s="277" t="s">
        <v>8</v>
      </c>
      <c r="F617" s="278">
        <v>53866.659999999996</v>
      </c>
      <c r="G617" s="278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6" t="s">
        <v>45</v>
      </c>
      <c r="E618" s="277" t="s">
        <v>8</v>
      </c>
      <c r="F618" s="278">
        <v>38499.54</v>
      </c>
      <c r="G618" s="278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6" t="s">
        <v>45</v>
      </c>
      <c r="E619" s="277" t="s">
        <v>7</v>
      </c>
      <c r="F619" s="278">
        <v>31720</v>
      </c>
      <c r="G619" s="278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6" t="s">
        <v>45</v>
      </c>
      <c r="E620" s="277" t="s">
        <v>7</v>
      </c>
      <c r="F620" s="278">
        <v>51240</v>
      </c>
      <c r="G620" s="278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6" t="s">
        <v>45</v>
      </c>
      <c r="E621" s="277" t="s">
        <v>8</v>
      </c>
      <c r="F621" s="278">
        <v>3477</v>
      </c>
      <c r="G621" s="278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6" t="s">
        <v>45</v>
      </c>
      <c r="E622" s="277" t="s">
        <v>8</v>
      </c>
      <c r="F622" s="278">
        <v>3477</v>
      </c>
      <c r="G622" s="278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6" t="s">
        <v>45</v>
      </c>
      <c r="E623" s="277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6" t="s">
        <v>45</v>
      </c>
      <c r="E624" s="277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6" t="s">
        <v>45</v>
      </c>
      <c r="E625" s="277" t="s">
        <v>8</v>
      </c>
      <c r="F625" s="278">
        <v>154106.74</v>
      </c>
      <c r="G625" s="278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6" t="s">
        <v>45</v>
      </c>
      <c r="E626" s="277" t="s">
        <v>8</v>
      </c>
      <c r="F626" s="278">
        <v>16226</v>
      </c>
      <c r="G626" s="278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6" t="s">
        <v>45</v>
      </c>
      <c r="E627" s="277" t="s">
        <v>8</v>
      </c>
      <c r="F627" s="278">
        <v>61732</v>
      </c>
      <c r="G627" s="278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6" t="s">
        <v>45</v>
      </c>
      <c r="E628" s="277" t="s">
        <v>8</v>
      </c>
      <c r="F628" s="278">
        <v>34299.08</v>
      </c>
      <c r="G628" s="278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6" t="s">
        <v>45</v>
      </c>
      <c r="E629" s="277" t="s">
        <v>8</v>
      </c>
      <c r="F629" s="278">
        <v>19825</v>
      </c>
      <c r="G629" s="278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6" t="s">
        <v>45</v>
      </c>
      <c r="E630" s="277" t="s">
        <v>8</v>
      </c>
      <c r="F630" s="278">
        <v>5874300</v>
      </c>
      <c r="G630" s="278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6" t="s">
        <v>45</v>
      </c>
      <c r="E631" s="277" t="s">
        <v>8</v>
      </c>
      <c r="F631" s="278">
        <v>23180</v>
      </c>
      <c r="G631" s="278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6" t="s">
        <v>45</v>
      </c>
      <c r="E632" s="277" t="s">
        <v>8</v>
      </c>
      <c r="F632" s="278">
        <v>482893.08</v>
      </c>
      <c r="G632" s="278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6" t="s">
        <v>48</v>
      </c>
      <c r="E633" s="277"/>
      <c r="F633" s="278"/>
      <c r="G633" s="278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6" t="s">
        <v>48</v>
      </c>
      <c r="E634" s="277"/>
      <c r="F634" s="278" t="s">
        <v>48</v>
      </c>
      <c r="G634" s="278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6" t="s">
        <v>48</v>
      </c>
      <c r="E635" s="277"/>
      <c r="F635" s="278" t="s">
        <v>48</v>
      </c>
      <c r="G635" s="278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6" t="s">
        <v>47</v>
      </c>
      <c r="E636" s="277" t="s">
        <v>1121</v>
      </c>
      <c r="F636" s="278">
        <v>300000</v>
      </c>
      <c r="G636" s="278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6" t="s">
        <v>47</v>
      </c>
      <c r="E637" s="277" t="s">
        <v>1122</v>
      </c>
      <c r="F637" s="278">
        <v>95147.5</v>
      </c>
      <c r="G637" s="278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6" t="s">
        <v>47</v>
      </c>
      <c r="E638" s="277" t="s">
        <v>1123</v>
      </c>
      <c r="F638" s="278">
        <v>74125</v>
      </c>
      <c r="G638" s="278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6" t="s">
        <v>47</v>
      </c>
      <c r="E639" s="277" t="s">
        <v>1123</v>
      </c>
      <c r="F639" s="278">
        <v>150000</v>
      </c>
      <c r="G639" s="278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6" t="s">
        <v>45</v>
      </c>
      <c r="E640" s="277" t="s">
        <v>1123</v>
      </c>
      <c r="F640" s="278">
        <v>242999.99999999997</v>
      </c>
      <c r="G640" s="278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6" t="s">
        <v>45</v>
      </c>
      <c r="E641" s="277" t="s">
        <v>1123</v>
      </c>
      <c r="F641" s="278">
        <v>1124962.5</v>
      </c>
      <c r="G641" s="278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6" t="s">
        <v>45</v>
      </c>
      <c r="E642" s="277" t="s">
        <v>1123</v>
      </c>
      <c r="F642" s="278">
        <v>5065452.75</v>
      </c>
      <c r="G642" s="278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6" t="s">
        <v>45</v>
      </c>
      <c r="E643" s="277" t="s">
        <v>1123</v>
      </c>
      <c r="F643" s="278">
        <v>5065452.75</v>
      </c>
      <c r="G643" s="278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6" t="s">
        <v>45</v>
      </c>
      <c r="E644" s="277" t="s">
        <v>1124</v>
      </c>
      <c r="F644" s="278">
        <v>185000</v>
      </c>
      <c r="G644" s="278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6" t="s">
        <v>48</v>
      </c>
      <c r="E645" s="277"/>
      <c r="F645" s="278"/>
      <c r="G645" s="278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6" t="s">
        <v>48</v>
      </c>
      <c r="E646" s="277"/>
      <c r="F646" s="278"/>
      <c r="G646" s="278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6" t="s">
        <v>47</v>
      </c>
      <c r="E647" s="277" t="s">
        <v>7</v>
      </c>
      <c r="F647" s="278">
        <v>200000</v>
      </c>
      <c r="G647" s="278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6" t="s">
        <v>47</v>
      </c>
      <c r="E648" s="277" t="s">
        <v>1123</v>
      </c>
      <c r="F648" s="278">
        <v>230000</v>
      </c>
      <c r="G648" s="278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6" t="s">
        <v>47</v>
      </c>
      <c r="E649" s="277" t="s">
        <v>1123</v>
      </c>
      <c r="F649" s="278">
        <v>55000</v>
      </c>
      <c r="G649" s="278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6" t="s">
        <v>47</v>
      </c>
      <c r="E650" s="277" t="s">
        <v>7</v>
      </c>
      <c r="F650" s="278">
        <v>93000</v>
      </c>
      <c r="G650" s="278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6" t="s">
        <v>47</v>
      </c>
      <c r="E651" s="277" t="s">
        <v>7</v>
      </c>
      <c r="F651" s="278">
        <v>85000</v>
      </c>
      <c r="G651" s="278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6" t="s">
        <v>48</v>
      </c>
      <c r="E652" s="277"/>
      <c r="F652" s="278"/>
      <c r="G652" s="278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6" t="s">
        <v>45</v>
      </c>
      <c r="E653" s="277" t="s">
        <v>8</v>
      </c>
      <c r="F653" s="278">
        <v>12000</v>
      </c>
      <c r="G653" s="278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6" t="s">
        <v>48</v>
      </c>
      <c r="E654" s="277"/>
      <c r="F654" s="278"/>
      <c r="G654" s="278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6" t="s">
        <v>48</v>
      </c>
      <c r="E655" s="277"/>
      <c r="F655" s="278"/>
      <c r="G655" s="27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6" t="s">
        <v>48</v>
      </c>
      <c r="E656" s="277"/>
      <c r="F656" s="278"/>
      <c r="G656" s="278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6" t="s">
        <v>47</v>
      </c>
      <c r="E657" s="277" t="s">
        <v>14</v>
      </c>
      <c r="F657" s="278">
        <v>19800</v>
      </c>
      <c r="G657" s="278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6" t="s">
        <v>47</v>
      </c>
      <c r="E658" s="277" t="s">
        <v>14</v>
      </c>
      <c r="F658" s="278">
        <v>20500</v>
      </c>
      <c r="G658" s="278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6" t="s">
        <v>47</v>
      </c>
      <c r="E659" s="277" t="s">
        <v>14</v>
      </c>
      <c r="F659" s="278">
        <v>27500</v>
      </c>
      <c r="G659" s="278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6" t="s">
        <v>47</v>
      </c>
      <c r="E660" s="277" t="s">
        <v>14</v>
      </c>
      <c r="F660" s="278">
        <v>14900</v>
      </c>
      <c r="G660" s="278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6" t="s">
        <v>47</v>
      </c>
      <c r="E661" s="277" t="s">
        <v>14</v>
      </c>
      <c r="F661" s="278">
        <v>27900</v>
      </c>
      <c r="G661" s="278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6" t="s">
        <v>47</v>
      </c>
      <c r="E662" s="277" t="s">
        <v>14</v>
      </c>
      <c r="F662" s="278">
        <v>33000</v>
      </c>
      <c r="G662" s="278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6" t="s">
        <v>47</v>
      </c>
      <c r="E663" s="277" t="s">
        <v>14</v>
      </c>
      <c r="F663" s="278">
        <v>27900</v>
      </c>
      <c r="G663" s="278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6" t="s">
        <v>47</v>
      </c>
      <c r="E664" s="277" t="s">
        <v>14</v>
      </c>
      <c r="F664" s="278">
        <v>37600</v>
      </c>
      <c r="G664" s="278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6" t="s">
        <v>47</v>
      </c>
      <c r="E665" s="277" t="s">
        <v>14</v>
      </c>
      <c r="F665" s="278">
        <v>27900</v>
      </c>
      <c r="G665" s="278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6" t="s">
        <v>47</v>
      </c>
      <c r="E666" s="277" t="s">
        <v>14</v>
      </c>
      <c r="F666" s="278">
        <v>39800</v>
      </c>
      <c r="G666" s="278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6" t="s">
        <v>47</v>
      </c>
      <c r="E667" s="277" t="s">
        <v>14</v>
      </c>
      <c r="F667" s="278">
        <v>24700</v>
      </c>
      <c r="G667" s="278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6" t="s">
        <v>47</v>
      </c>
      <c r="E668" s="277" t="s">
        <v>14</v>
      </c>
      <c r="F668" s="278">
        <v>33700</v>
      </c>
      <c r="G668" s="278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6" t="s">
        <v>47</v>
      </c>
      <c r="E669" s="277" t="s">
        <v>14</v>
      </c>
      <c r="F669" s="278">
        <v>25800</v>
      </c>
      <c r="G669" s="278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6" t="s">
        <v>47</v>
      </c>
      <c r="E670" s="277" t="s">
        <v>14</v>
      </c>
      <c r="F670" s="278">
        <v>19100</v>
      </c>
      <c r="G670" s="278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6" t="s">
        <v>47</v>
      </c>
      <c r="E671" s="277" t="s">
        <v>14</v>
      </c>
      <c r="F671" s="278">
        <v>19800</v>
      </c>
      <c r="G671" s="278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6" t="s">
        <v>47</v>
      </c>
      <c r="E672" s="277" t="s">
        <v>14</v>
      </c>
      <c r="F672" s="278">
        <v>19800</v>
      </c>
      <c r="G672" s="278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6" t="s">
        <v>47</v>
      </c>
      <c r="E673" s="277" t="s">
        <v>14</v>
      </c>
      <c r="F673" s="278">
        <v>20500</v>
      </c>
      <c r="G673" s="278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6" t="s">
        <v>47</v>
      </c>
      <c r="E674" s="277" t="s">
        <v>14</v>
      </c>
      <c r="F674" s="278">
        <v>20500</v>
      </c>
      <c r="G674" s="278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6" t="s">
        <v>47</v>
      </c>
      <c r="E675" s="277" t="s">
        <v>14</v>
      </c>
      <c r="F675" s="278">
        <v>27500</v>
      </c>
      <c r="G675" s="278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6" t="s">
        <v>47</v>
      </c>
      <c r="E676" s="277" t="s">
        <v>14</v>
      </c>
      <c r="F676" s="278">
        <v>27500</v>
      </c>
      <c r="G676" s="278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6" t="s">
        <v>47</v>
      </c>
      <c r="E677" s="277" t="s">
        <v>14</v>
      </c>
      <c r="F677" s="278">
        <v>22100</v>
      </c>
      <c r="G677" s="278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6" t="s">
        <v>48</v>
      </c>
      <c r="E678" s="277"/>
      <c r="F678" s="278"/>
      <c r="G678" s="278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6" t="s">
        <v>48</v>
      </c>
      <c r="E679" s="277"/>
      <c r="F679" s="278"/>
      <c r="G679" s="278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6" t="s">
        <v>47</v>
      </c>
      <c r="E680" s="277" t="s">
        <v>14</v>
      </c>
      <c r="F680" s="278">
        <v>53200</v>
      </c>
      <c r="G680" s="278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6" t="s">
        <v>47</v>
      </c>
      <c r="E681" s="277" t="s">
        <v>14</v>
      </c>
      <c r="F681" s="278">
        <v>57800</v>
      </c>
      <c r="G681" s="278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6" t="s">
        <v>47</v>
      </c>
      <c r="E682" s="277" t="s">
        <v>14</v>
      </c>
      <c r="F682" s="278">
        <v>57800</v>
      </c>
      <c r="G682" s="278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6" t="s">
        <v>47</v>
      </c>
      <c r="E683" s="277" t="s">
        <v>14</v>
      </c>
      <c r="F683" s="278">
        <v>80100</v>
      </c>
      <c r="G683" s="278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6" t="s">
        <v>47</v>
      </c>
      <c r="E684" s="277" t="s">
        <v>14</v>
      </c>
      <c r="F684" s="278">
        <v>30000</v>
      </c>
      <c r="G684" s="278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6" t="s">
        <v>47</v>
      </c>
      <c r="E685" s="277" t="s">
        <v>14</v>
      </c>
      <c r="F685" s="278">
        <v>80100</v>
      </c>
      <c r="G685" s="278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6" t="s">
        <v>47</v>
      </c>
      <c r="E686" s="277" t="s">
        <v>14</v>
      </c>
      <c r="F686" s="278">
        <v>84000</v>
      </c>
      <c r="G686" s="278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6" t="s">
        <v>47</v>
      </c>
      <c r="E687" s="277" t="s">
        <v>14</v>
      </c>
      <c r="F687" s="278">
        <v>44000</v>
      </c>
      <c r="G687" s="278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6" t="s">
        <v>47</v>
      </c>
      <c r="E688" s="277" t="s">
        <v>14</v>
      </c>
      <c r="F688" s="278">
        <v>70300</v>
      </c>
      <c r="G688" s="278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6" t="s">
        <v>47</v>
      </c>
      <c r="E689" s="277" t="s">
        <v>14</v>
      </c>
      <c r="F689" s="278">
        <v>70300</v>
      </c>
      <c r="G689" s="278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6" t="s">
        <v>47</v>
      </c>
      <c r="E690" s="277" t="s">
        <v>14</v>
      </c>
      <c r="F690" s="278">
        <v>45200</v>
      </c>
      <c r="G690" s="278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6" t="s">
        <v>47</v>
      </c>
      <c r="E691" s="277" t="s">
        <v>14</v>
      </c>
      <c r="F691" s="278">
        <v>80900</v>
      </c>
      <c r="G691" s="278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6" t="s">
        <v>47</v>
      </c>
      <c r="E692" s="277" t="s">
        <v>14</v>
      </c>
      <c r="F692" s="278">
        <v>80900</v>
      </c>
      <c r="G692" s="278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6" t="s">
        <v>47</v>
      </c>
      <c r="E693" s="277" t="s">
        <v>14</v>
      </c>
      <c r="F693" s="278">
        <v>82500</v>
      </c>
      <c r="G693" s="278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6" t="s">
        <v>47</v>
      </c>
      <c r="E694" s="277" t="s">
        <v>14</v>
      </c>
      <c r="F694" s="278">
        <v>42100</v>
      </c>
      <c r="G694" s="278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6" t="s">
        <v>47</v>
      </c>
      <c r="E695" s="277" t="s">
        <v>14</v>
      </c>
      <c r="F695" s="278">
        <v>42100</v>
      </c>
      <c r="G695" s="278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6" t="s">
        <v>47</v>
      </c>
      <c r="E696" s="277" t="s">
        <v>14</v>
      </c>
      <c r="F696" s="278">
        <v>45200</v>
      </c>
      <c r="G696" s="278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6" t="s">
        <v>47</v>
      </c>
      <c r="E697" s="277" t="s">
        <v>14</v>
      </c>
      <c r="F697" s="278">
        <v>45200</v>
      </c>
      <c r="G697" s="278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6" t="s">
        <v>47</v>
      </c>
      <c r="E698" s="277" t="s">
        <v>14</v>
      </c>
      <c r="F698" s="278">
        <v>45200</v>
      </c>
      <c r="G698" s="278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6" t="s">
        <v>47</v>
      </c>
      <c r="E699" s="277" t="s">
        <v>14</v>
      </c>
      <c r="F699" s="278">
        <v>45200</v>
      </c>
      <c r="G699" s="27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6" t="s">
        <v>47</v>
      </c>
      <c r="E700" s="277" t="s">
        <v>14</v>
      </c>
      <c r="F700" s="278">
        <v>40200</v>
      </c>
      <c r="G700" s="278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6" t="s">
        <v>47</v>
      </c>
      <c r="E701" s="277" t="s">
        <v>14</v>
      </c>
      <c r="F701" s="278">
        <v>37200</v>
      </c>
      <c r="G701" s="278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6" t="s">
        <v>47</v>
      </c>
      <c r="E702" s="277" t="s">
        <v>14</v>
      </c>
      <c r="F702" s="278">
        <v>37200</v>
      </c>
      <c r="G702" s="278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6" t="s">
        <v>47</v>
      </c>
      <c r="E703" s="277" t="s">
        <v>14</v>
      </c>
      <c r="F703" s="278">
        <v>37200</v>
      </c>
      <c r="G703" s="278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6" t="s">
        <v>47</v>
      </c>
      <c r="E704" s="277" t="s">
        <v>14</v>
      </c>
      <c r="F704" s="278">
        <v>326300</v>
      </c>
      <c r="G704" s="27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6" t="s">
        <v>47</v>
      </c>
      <c r="E705" s="277" t="s">
        <v>14</v>
      </c>
      <c r="F705" s="278">
        <v>78300</v>
      </c>
      <c r="G705" s="278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6" t="s">
        <v>47</v>
      </c>
      <c r="E706" s="277" t="s">
        <v>14</v>
      </c>
      <c r="F706" s="278">
        <v>78300</v>
      </c>
      <c r="G706" s="278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6" t="s">
        <v>47</v>
      </c>
      <c r="E707" s="277" t="s">
        <v>14</v>
      </c>
      <c r="F707" s="278">
        <v>74600</v>
      </c>
      <c r="G707" s="278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6" t="s">
        <v>47</v>
      </c>
      <c r="E708" s="277" t="s">
        <v>14</v>
      </c>
      <c r="F708" s="278">
        <v>51900</v>
      </c>
      <c r="G708" s="278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6" t="s">
        <v>47</v>
      </c>
      <c r="E709" s="277" t="s">
        <v>14</v>
      </c>
      <c r="F709" s="278">
        <v>51900</v>
      </c>
      <c r="G709" s="278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6" t="s">
        <v>47</v>
      </c>
      <c r="E710" s="277" t="s">
        <v>14</v>
      </c>
      <c r="F710" s="278">
        <v>75600</v>
      </c>
      <c r="G710" s="278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6" t="s">
        <v>47</v>
      </c>
      <c r="E711" s="277" t="s">
        <v>14</v>
      </c>
      <c r="F711" s="278">
        <v>75600</v>
      </c>
      <c r="G711" s="278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6" t="s">
        <v>47</v>
      </c>
      <c r="E712" s="277" t="s">
        <v>14</v>
      </c>
      <c r="F712" s="278">
        <v>66800</v>
      </c>
      <c r="G712" s="278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6" t="s">
        <v>47</v>
      </c>
      <c r="E713" s="277" t="s">
        <v>14</v>
      </c>
      <c r="F713" s="278">
        <v>62400</v>
      </c>
      <c r="G713" s="278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6" t="s">
        <v>47</v>
      </c>
      <c r="E714" s="277" t="s">
        <v>14</v>
      </c>
      <c r="F714" s="278">
        <v>81300</v>
      </c>
      <c r="G714" s="278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6" t="s">
        <v>47</v>
      </c>
      <c r="E715" s="277" t="s">
        <v>14</v>
      </c>
      <c r="F715" s="278">
        <v>94400</v>
      </c>
      <c r="G715" s="278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6" t="s">
        <v>47</v>
      </c>
      <c r="E716" s="277" t="s">
        <v>14</v>
      </c>
      <c r="F716" s="278">
        <v>82500</v>
      </c>
      <c r="G716" s="278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6" t="s">
        <v>47</v>
      </c>
      <c r="E717" s="277" t="s">
        <v>14</v>
      </c>
      <c r="F717" s="278">
        <v>109200</v>
      </c>
      <c r="G717" s="278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6" t="s">
        <v>47</v>
      </c>
      <c r="E718" s="277" t="s">
        <v>14</v>
      </c>
      <c r="F718" s="278">
        <v>106900</v>
      </c>
      <c r="G718" s="278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6" t="s">
        <v>47</v>
      </c>
      <c r="E719" s="277" t="s">
        <v>14</v>
      </c>
      <c r="F719" s="278">
        <v>104400</v>
      </c>
      <c r="G719" s="278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6" t="s">
        <v>47</v>
      </c>
      <c r="E720" s="277" t="s">
        <v>14</v>
      </c>
      <c r="F720" s="278">
        <v>103500</v>
      </c>
      <c r="G720" s="278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6" t="s">
        <v>47</v>
      </c>
      <c r="E721" s="277" t="s">
        <v>14</v>
      </c>
      <c r="F721" s="278">
        <v>111100</v>
      </c>
      <c r="G721" s="278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6" t="s">
        <v>47</v>
      </c>
      <c r="E722" s="277" t="s">
        <v>14</v>
      </c>
      <c r="F722" s="278">
        <v>108700</v>
      </c>
      <c r="G722" s="278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6" t="s">
        <v>47</v>
      </c>
      <c r="E723" s="277" t="s">
        <v>14</v>
      </c>
      <c r="F723" s="278">
        <v>218400</v>
      </c>
      <c r="G723" s="278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6" t="s">
        <v>47</v>
      </c>
      <c r="E724" s="277" t="s">
        <v>14</v>
      </c>
      <c r="F724" s="278">
        <v>222500</v>
      </c>
      <c r="G724" s="278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6" t="s">
        <v>47</v>
      </c>
      <c r="E725" s="277" t="s">
        <v>14</v>
      </c>
      <c r="F725" s="278">
        <v>173300</v>
      </c>
      <c r="G725" s="278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6" t="s">
        <v>47</v>
      </c>
      <c r="E726" s="277" t="s">
        <v>14</v>
      </c>
      <c r="F726" s="278">
        <v>279500</v>
      </c>
      <c r="G726" s="278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6" t="s">
        <v>47</v>
      </c>
      <c r="E727" s="277" t="s">
        <v>14</v>
      </c>
      <c r="F727" s="278">
        <v>89800</v>
      </c>
      <c r="G727" s="278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6" t="s">
        <v>47</v>
      </c>
      <c r="E728" s="277" t="s">
        <v>14</v>
      </c>
      <c r="F728" s="278">
        <v>102600</v>
      </c>
      <c r="G728" s="278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6" t="s">
        <v>47</v>
      </c>
      <c r="E729" s="277" t="s">
        <v>14</v>
      </c>
      <c r="F729" s="278">
        <v>109700</v>
      </c>
      <c r="G729" s="278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6" t="s">
        <v>48</v>
      </c>
      <c r="E730" s="277"/>
      <c r="F730" s="278"/>
      <c r="G730" s="278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6" t="s">
        <v>48</v>
      </c>
      <c r="E731" s="277"/>
      <c r="F731" s="278"/>
      <c r="G731" s="278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6" t="s">
        <v>47</v>
      </c>
      <c r="E732" s="277" t="s">
        <v>14</v>
      </c>
      <c r="F732" s="278">
        <v>71900</v>
      </c>
      <c r="G732" s="278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6" t="s">
        <v>47</v>
      </c>
      <c r="E733" s="277" t="s">
        <v>14</v>
      </c>
      <c r="F733" s="278">
        <v>64700</v>
      </c>
      <c r="G733" s="278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6" t="s">
        <v>47</v>
      </c>
      <c r="E734" s="277" t="s">
        <v>14</v>
      </c>
      <c r="F734" s="278">
        <v>88700</v>
      </c>
      <c r="G734" s="278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6" t="s">
        <v>47</v>
      </c>
      <c r="E735" s="277" t="s">
        <v>14</v>
      </c>
      <c r="F735" s="278">
        <v>92500</v>
      </c>
      <c r="G735" s="278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6" t="s">
        <v>47</v>
      </c>
      <c r="E736" s="277" t="s">
        <v>14</v>
      </c>
      <c r="F736" s="278">
        <v>119100</v>
      </c>
      <c r="G736" s="278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6" t="s">
        <v>47</v>
      </c>
      <c r="E737" s="277" t="s">
        <v>14</v>
      </c>
      <c r="F737" s="278">
        <v>202200</v>
      </c>
      <c r="G737" s="278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6" t="s">
        <v>48</v>
      </c>
      <c r="E738" s="277"/>
      <c r="F738" s="278"/>
      <c r="G738" s="278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6" t="s">
        <v>48</v>
      </c>
      <c r="E739" s="277"/>
      <c r="F739" s="278"/>
      <c r="G739" s="278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6" t="s">
        <v>47</v>
      </c>
      <c r="E740" s="277" t="s">
        <v>14</v>
      </c>
      <c r="F740" s="278">
        <v>83600</v>
      </c>
      <c r="G740" s="278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6" t="s">
        <v>47</v>
      </c>
      <c r="E741" s="277" t="s">
        <v>14</v>
      </c>
      <c r="F741" s="278">
        <v>83300</v>
      </c>
      <c r="G741" s="278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6" t="s">
        <v>47</v>
      </c>
      <c r="E742" s="277" t="s">
        <v>14</v>
      </c>
      <c r="F742" s="278">
        <v>83300</v>
      </c>
      <c r="G742" s="278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6" t="s">
        <v>47</v>
      </c>
      <c r="E743" s="277" t="s">
        <v>14</v>
      </c>
      <c r="F743" s="278">
        <v>88300</v>
      </c>
      <c r="G743" s="278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6" t="s">
        <v>47</v>
      </c>
      <c r="E744" s="277" t="s">
        <v>14</v>
      </c>
      <c r="F744" s="278">
        <v>93300</v>
      </c>
      <c r="G744" s="278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6" t="s">
        <v>47</v>
      </c>
      <c r="E745" s="277" t="s">
        <v>14</v>
      </c>
      <c r="F745" s="278">
        <v>81300</v>
      </c>
      <c r="G745" s="278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6" t="s">
        <v>47</v>
      </c>
      <c r="E746" s="277" t="s">
        <v>14</v>
      </c>
      <c r="F746" s="278">
        <v>84900</v>
      </c>
      <c r="G746" s="278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6" t="s">
        <v>47</v>
      </c>
      <c r="E747" s="277" t="s">
        <v>14</v>
      </c>
      <c r="F747" s="278">
        <v>94400</v>
      </c>
      <c r="G747" s="278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6" t="s">
        <v>47</v>
      </c>
      <c r="E748" s="277" t="s">
        <v>14</v>
      </c>
      <c r="F748" s="278">
        <v>89400</v>
      </c>
      <c r="G748" s="278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6" t="s">
        <v>47</v>
      </c>
      <c r="E749" s="277" t="s">
        <v>14</v>
      </c>
      <c r="F749" s="278">
        <v>87600</v>
      </c>
      <c r="G749" s="278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1" t="s">
        <v>1511</v>
      </c>
      <c r="D750" s="276" t="s">
        <v>47</v>
      </c>
      <c r="E750" s="277" t="s">
        <v>14</v>
      </c>
      <c r="F750" s="278">
        <v>87600</v>
      </c>
      <c r="G750" s="278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6" t="s">
        <v>47</v>
      </c>
      <c r="E751" s="277" t="s">
        <v>14</v>
      </c>
      <c r="F751" s="278">
        <v>111100</v>
      </c>
      <c r="G751" s="278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6" t="s">
        <v>47</v>
      </c>
      <c r="E752" s="277" t="s">
        <v>14</v>
      </c>
      <c r="F752" s="278">
        <v>102000</v>
      </c>
      <c r="G752" s="278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6" t="s">
        <v>47</v>
      </c>
      <c r="E753" s="277" t="s">
        <v>14</v>
      </c>
      <c r="F753" s="278">
        <v>82500</v>
      </c>
      <c r="G753" s="278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6" t="s">
        <v>47</v>
      </c>
      <c r="E754" s="277" t="s">
        <v>14</v>
      </c>
      <c r="F754" s="278">
        <v>106900</v>
      </c>
      <c r="G754" s="278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6" t="s">
        <v>47</v>
      </c>
      <c r="E755" s="277" t="s">
        <v>14</v>
      </c>
      <c r="F755" s="278">
        <v>109200</v>
      </c>
      <c r="G755" s="278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6" t="s">
        <v>47</v>
      </c>
      <c r="E756" s="277" t="s">
        <v>14</v>
      </c>
      <c r="F756" s="278">
        <v>96900</v>
      </c>
      <c r="G756" s="278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6" t="s">
        <v>47</v>
      </c>
      <c r="E757" s="277" t="s">
        <v>14</v>
      </c>
      <c r="F757" s="278">
        <v>107700</v>
      </c>
      <c r="G757" s="278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6" t="s">
        <v>47</v>
      </c>
      <c r="E758" s="277" t="s">
        <v>14</v>
      </c>
      <c r="F758" s="278">
        <v>104400</v>
      </c>
      <c r="G758" s="278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6" t="s">
        <v>47</v>
      </c>
      <c r="E759" s="277" t="s">
        <v>14</v>
      </c>
      <c r="F759" s="278">
        <v>194600</v>
      </c>
      <c r="G759" s="278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6" t="s">
        <v>47</v>
      </c>
      <c r="E760" s="277" t="s">
        <v>14</v>
      </c>
      <c r="F760" s="278">
        <v>106600</v>
      </c>
      <c r="G760" s="278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6" t="s">
        <v>47</v>
      </c>
      <c r="E761" s="277" t="s">
        <v>14</v>
      </c>
      <c r="F761" s="278">
        <v>113200</v>
      </c>
      <c r="G761" s="278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6" t="s">
        <v>47</v>
      </c>
      <c r="E762" s="277" t="s">
        <v>14</v>
      </c>
      <c r="F762" s="278">
        <v>133200</v>
      </c>
      <c r="G762" s="278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6" t="s">
        <v>47</v>
      </c>
      <c r="E763" s="277" t="s">
        <v>14</v>
      </c>
      <c r="F763" s="278">
        <v>113200</v>
      </c>
      <c r="G763" s="278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6" t="s">
        <v>47</v>
      </c>
      <c r="E764" s="277" t="s">
        <v>14</v>
      </c>
      <c r="F764" s="278">
        <v>103500</v>
      </c>
      <c r="G764" s="278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6" t="s">
        <v>47</v>
      </c>
      <c r="E765" s="277" t="s">
        <v>14</v>
      </c>
      <c r="F765" s="278">
        <v>108700</v>
      </c>
      <c r="G765" s="278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1" t="s">
        <v>1512</v>
      </c>
      <c r="D766" s="276" t="s">
        <v>47</v>
      </c>
      <c r="E766" s="277" t="s">
        <v>14</v>
      </c>
      <c r="F766" s="278">
        <v>111100</v>
      </c>
      <c r="G766" s="278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6" t="s">
        <v>47</v>
      </c>
      <c r="E767" s="277" t="s">
        <v>14</v>
      </c>
      <c r="F767" s="278">
        <v>214300</v>
      </c>
      <c r="G767" s="278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6" t="s">
        <v>47</v>
      </c>
      <c r="E768" s="277" t="s">
        <v>14</v>
      </c>
      <c r="F768" s="278">
        <v>197500</v>
      </c>
      <c r="G768" s="278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6" t="s">
        <v>47</v>
      </c>
      <c r="E769" s="277" t="s">
        <v>14</v>
      </c>
      <c r="F769" s="278">
        <v>219500</v>
      </c>
      <c r="G769" s="278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1" t="s">
        <v>1513</v>
      </c>
      <c r="D770" s="276" t="s">
        <v>47</v>
      </c>
      <c r="E770" s="277" t="s">
        <v>14</v>
      </c>
      <c r="F770" s="278">
        <v>197500</v>
      </c>
      <c r="G770" s="278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6" t="s">
        <v>47</v>
      </c>
      <c r="E771" s="277" t="s">
        <v>14</v>
      </c>
      <c r="F771" s="278">
        <v>218400</v>
      </c>
      <c r="G771" s="278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6" t="s">
        <v>47</v>
      </c>
      <c r="E772" s="277" t="s">
        <v>14</v>
      </c>
      <c r="F772" s="278">
        <v>222500</v>
      </c>
      <c r="G772" s="278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1" t="s">
        <v>1514</v>
      </c>
      <c r="D773" s="276" t="s">
        <v>47</v>
      </c>
      <c r="E773" s="277" t="s">
        <v>14</v>
      </c>
      <c r="F773" s="278">
        <v>173300</v>
      </c>
      <c r="G773" s="278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1" t="s">
        <v>1515</v>
      </c>
      <c r="D774" s="276" t="s">
        <v>47</v>
      </c>
      <c r="E774" s="277" t="s">
        <v>14</v>
      </c>
      <c r="F774" s="278">
        <v>279500</v>
      </c>
      <c r="G774" s="278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6" t="s">
        <v>47</v>
      </c>
      <c r="E775" s="277" t="s">
        <v>14</v>
      </c>
      <c r="F775" s="278">
        <v>93500</v>
      </c>
      <c r="G775" s="278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6" t="s">
        <v>47</v>
      </c>
      <c r="E776" s="277" t="s">
        <v>14</v>
      </c>
      <c r="F776" s="278">
        <v>93500</v>
      </c>
      <c r="G776" s="278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6" t="s">
        <v>47</v>
      </c>
      <c r="E777" s="277" t="s">
        <v>14</v>
      </c>
      <c r="F777" s="278">
        <v>89800</v>
      </c>
      <c r="G777" s="278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6" t="s">
        <v>47</v>
      </c>
      <c r="E778" s="277" t="s">
        <v>14</v>
      </c>
      <c r="F778" s="278">
        <v>113300</v>
      </c>
      <c r="G778" s="278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6" t="s">
        <v>47</v>
      </c>
      <c r="E779" s="277" t="s">
        <v>14</v>
      </c>
      <c r="F779" s="278">
        <v>113300</v>
      </c>
      <c r="G779" s="278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6" t="s">
        <v>47</v>
      </c>
      <c r="E780" s="277" t="s">
        <v>14</v>
      </c>
      <c r="F780" s="278">
        <v>102600</v>
      </c>
      <c r="G780" s="278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6" t="s">
        <v>47</v>
      </c>
      <c r="E781" s="277" t="s">
        <v>14</v>
      </c>
      <c r="F781" s="278">
        <v>114600</v>
      </c>
      <c r="G781" s="278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6" t="s">
        <v>47</v>
      </c>
      <c r="E782" s="277" t="s">
        <v>14</v>
      </c>
      <c r="F782" s="278">
        <v>118400</v>
      </c>
      <c r="G782" s="278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6" t="s">
        <v>47</v>
      </c>
      <c r="E783" s="277" t="s">
        <v>14</v>
      </c>
      <c r="F783" s="278">
        <v>109700</v>
      </c>
      <c r="G783" s="278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6" t="s">
        <v>48</v>
      </c>
      <c r="E784" s="277"/>
      <c r="F784" s="278"/>
      <c r="G784" s="278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6" t="s">
        <v>48</v>
      </c>
      <c r="E785" s="277"/>
      <c r="F785" s="278"/>
      <c r="G785" s="278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6" t="s">
        <v>47</v>
      </c>
      <c r="E786" s="277" t="s">
        <v>14</v>
      </c>
      <c r="F786" s="278">
        <v>166200</v>
      </c>
      <c r="G786" s="278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6" t="s">
        <v>47</v>
      </c>
      <c r="E787" s="277" t="s">
        <v>14</v>
      </c>
      <c r="F787" s="278">
        <v>169000</v>
      </c>
      <c r="G787" s="278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6" t="s">
        <v>47</v>
      </c>
      <c r="E788" s="277" t="s">
        <v>14</v>
      </c>
      <c r="F788" s="278">
        <v>169000</v>
      </c>
      <c r="G788" s="278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6" t="s">
        <v>47</v>
      </c>
      <c r="E789" s="277" t="s">
        <v>14</v>
      </c>
      <c r="F789" s="278">
        <v>177200</v>
      </c>
      <c r="G789" s="278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6" t="s">
        <v>47</v>
      </c>
      <c r="E790" s="277" t="s">
        <v>14</v>
      </c>
      <c r="F790" s="278">
        <v>177200</v>
      </c>
      <c r="G790" s="278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6" t="s">
        <v>47</v>
      </c>
      <c r="E791" s="277" t="s">
        <v>14</v>
      </c>
      <c r="F791" s="278">
        <v>215500</v>
      </c>
      <c r="G791" s="278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6" t="s">
        <v>47</v>
      </c>
      <c r="E792" s="277" t="s">
        <v>14</v>
      </c>
      <c r="F792" s="278">
        <v>213100</v>
      </c>
      <c r="G792" s="278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6" t="s">
        <v>47</v>
      </c>
      <c r="E793" s="277" t="s">
        <v>14</v>
      </c>
      <c r="F793" s="278">
        <v>213100</v>
      </c>
      <c r="G793" s="278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6" t="s">
        <v>47</v>
      </c>
      <c r="E794" s="277" t="s">
        <v>14</v>
      </c>
      <c r="F794" s="278">
        <v>213100</v>
      </c>
      <c r="G794" s="278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1" t="s">
        <v>1517</v>
      </c>
      <c r="D795" s="276" t="s">
        <v>47</v>
      </c>
      <c r="E795" s="277" t="s">
        <v>14</v>
      </c>
      <c r="F795" s="278">
        <v>213100</v>
      </c>
      <c r="G795" s="27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6" t="s">
        <v>47</v>
      </c>
      <c r="E796" s="277" t="s">
        <v>14</v>
      </c>
      <c r="F796" s="278">
        <v>218400</v>
      </c>
      <c r="G796" s="278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6" t="s">
        <v>47</v>
      </c>
      <c r="E797" s="277" t="s">
        <v>14</v>
      </c>
      <c r="F797" s="278">
        <v>253600</v>
      </c>
      <c r="G797" s="278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6" t="s">
        <v>47</v>
      </c>
      <c r="E798" s="277" t="s">
        <v>14</v>
      </c>
      <c r="F798" s="278">
        <v>404400</v>
      </c>
      <c r="G798" s="278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6" t="s">
        <v>47</v>
      </c>
      <c r="E799" s="277" t="s">
        <v>14</v>
      </c>
      <c r="F799" s="278">
        <v>404400</v>
      </c>
      <c r="G799" s="278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6" t="s">
        <v>48</v>
      </c>
      <c r="E800" s="277"/>
      <c r="F800" s="278"/>
      <c r="G800" s="278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6" t="s">
        <v>48</v>
      </c>
      <c r="E801" s="277"/>
      <c r="F801" s="278"/>
      <c r="G801" s="278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6" t="s">
        <v>47</v>
      </c>
      <c r="E802" s="277" t="s">
        <v>14</v>
      </c>
      <c r="F802" s="278">
        <v>36000</v>
      </c>
      <c r="G802" s="278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6" t="s">
        <v>47</v>
      </c>
      <c r="E803" s="277" t="s">
        <v>14</v>
      </c>
      <c r="F803" s="278">
        <v>48100</v>
      </c>
      <c r="G803" s="278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6" t="s">
        <v>47</v>
      </c>
      <c r="E804" s="277" t="s">
        <v>14</v>
      </c>
      <c r="F804" s="278">
        <v>55300</v>
      </c>
      <c r="G804" s="278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6" t="s">
        <v>47</v>
      </c>
      <c r="E805" s="277" t="s">
        <v>14</v>
      </c>
      <c r="F805" s="278">
        <v>51500</v>
      </c>
      <c r="G805" s="278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6" t="s">
        <v>47</v>
      </c>
      <c r="E806" s="277" t="s">
        <v>14</v>
      </c>
      <c r="F806" s="278">
        <v>67900</v>
      </c>
      <c r="G806" s="278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6" t="s">
        <v>47</v>
      </c>
      <c r="E807" s="277" t="s">
        <v>14</v>
      </c>
      <c r="F807" s="278">
        <v>56700</v>
      </c>
      <c r="G807" s="278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6" t="s">
        <v>47</v>
      </c>
      <c r="E808" s="277" t="s">
        <v>14</v>
      </c>
      <c r="F808" s="278">
        <v>596900</v>
      </c>
      <c r="G808" s="278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6" t="s">
        <v>47</v>
      </c>
      <c r="E809" s="277" t="s">
        <v>14</v>
      </c>
      <c r="F809" s="278">
        <v>401500</v>
      </c>
      <c r="G809" s="278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6" t="s">
        <v>48</v>
      </c>
      <c r="E810" s="277"/>
      <c r="F810" s="278"/>
      <c r="G810" s="278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6" t="s">
        <v>48</v>
      </c>
      <c r="E811" s="277"/>
      <c r="F811" s="278"/>
      <c r="G811" s="278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6" t="s">
        <v>47</v>
      </c>
      <c r="E812" s="277" t="s">
        <v>14</v>
      </c>
      <c r="F812" s="278">
        <v>56400</v>
      </c>
      <c r="G812" s="278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6" t="s">
        <v>47</v>
      </c>
      <c r="E813" s="277" t="s">
        <v>14</v>
      </c>
      <c r="F813" s="278">
        <v>65400</v>
      </c>
      <c r="G813" s="278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6" t="s">
        <v>47</v>
      </c>
      <c r="E814" s="277" t="s">
        <v>14</v>
      </c>
      <c r="F814" s="278">
        <v>13600</v>
      </c>
      <c r="G814" s="278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6" t="s">
        <v>47</v>
      </c>
      <c r="E815" s="277" t="s">
        <v>14</v>
      </c>
      <c r="F815" s="278">
        <v>17800</v>
      </c>
      <c r="G815" s="278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6" t="s">
        <v>47</v>
      </c>
      <c r="E816" s="277" t="s">
        <v>14</v>
      </c>
      <c r="F816" s="278">
        <v>173100</v>
      </c>
      <c r="G816" s="278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6" t="s">
        <v>47</v>
      </c>
      <c r="E817" s="277" t="s">
        <v>14</v>
      </c>
      <c r="F817" s="278">
        <v>1539900</v>
      </c>
      <c r="G817" s="278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6" t="s">
        <v>47</v>
      </c>
      <c r="E818" s="277" t="s">
        <v>14</v>
      </c>
      <c r="F818" s="278">
        <v>26200</v>
      </c>
      <c r="G818" s="278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6" t="s">
        <v>47</v>
      </c>
      <c r="E819" s="277" t="s">
        <v>14</v>
      </c>
      <c r="F819" s="278">
        <v>22300</v>
      </c>
      <c r="G819" s="278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6" t="s">
        <v>47</v>
      </c>
      <c r="E820" s="277" t="s">
        <v>14</v>
      </c>
      <c r="F820" s="278">
        <v>26200</v>
      </c>
      <c r="G820" s="278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6" t="s">
        <v>47</v>
      </c>
      <c r="E821" s="277" t="s">
        <v>14</v>
      </c>
      <c r="F821" s="278">
        <v>26200</v>
      </c>
      <c r="G821" s="27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6" t="s">
        <v>47</v>
      </c>
      <c r="E822" s="277" t="s">
        <v>14</v>
      </c>
      <c r="F822" s="278">
        <v>58400</v>
      </c>
      <c r="G822" s="278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6" t="s">
        <v>47</v>
      </c>
      <c r="E823" s="277" t="s">
        <v>14</v>
      </c>
      <c r="F823" s="278">
        <v>45900</v>
      </c>
      <c r="G823" s="278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6" t="s">
        <v>47</v>
      </c>
      <c r="E824" s="277" t="s">
        <v>14</v>
      </c>
      <c r="F824" s="278">
        <v>58400</v>
      </c>
      <c r="G824" s="278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6" t="s">
        <v>47</v>
      </c>
      <c r="E825" s="277" t="s">
        <v>14</v>
      </c>
      <c r="F825" s="278">
        <v>58400</v>
      </c>
      <c r="G825" s="278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6" t="s">
        <v>47</v>
      </c>
      <c r="E826" s="277" t="s">
        <v>14</v>
      </c>
      <c r="F826" s="278">
        <v>45900</v>
      </c>
      <c r="G826" s="278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6" t="s">
        <v>47</v>
      </c>
      <c r="E827" s="277" t="s">
        <v>14</v>
      </c>
      <c r="F827" s="278">
        <v>43100</v>
      </c>
      <c r="G827" s="278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6" t="s">
        <v>47</v>
      </c>
      <c r="E828" s="277" t="s">
        <v>14</v>
      </c>
      <c r="F828" s="278">
        <v>57400</v>
      </c>
      <c r="G828" s="278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6" t="s">
        <v>47</v>
      </c>
      <c r="E829" s="277" t="s">
        <v>14</v>
      </c>
      <c r="F829" s="278">
        <v>45900</v>
      </c>
      <c r="G829" s="278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6" t="s">
        <v>47</v>
      </c>
      <c r="E830" s="277" t="s">
        <v>14</v>
      </c>
      <c r="F830" s="278">
        <v>3843100</v>
      </c>
      <c r="G830" s="278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6" t="s">
        <v>47</v>
      </c>
      <c r="E831" s="277" t="s">
        <v>14</v>
      </c>
      <c r="F831" s="278">
        <v>39700</v>
      </c>
      <c r="G831" s="278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6" t="s">
        <v>47</v>
      </c>
      <c r="E832" s="277" t="s">
        <v>14</v>
      </c>
      <c r="F832" s="278">
        <v>58000</v>
      </c>
      <c r="G832" s="278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6" t="s">
        <v>47</v>
      </c>
      <c r="E833" s="277" t="s">
        <v>14</v>
      </c>
      <c r="F833" s="278">
        <v>31300</v>
      </c>
      <c r="G833" s="278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6" t="s">
        <v>47</v>
      </c>
      <c r="E834" s="277" t="s">
        <v>14</v>
      </c>
      <c r="F834" s="278">
        <v>45600</v>
      </c>
      <c r="G834" s="278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6" t="s">
        <v>47</v>
      </c>
      <c r="E835" s="277" t="s">
        <v>14</v>
      </c>
      <c r="F835" s="278">
        <v>36600</v>
      </c>
      <c r="G835" s="278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6" t="s">
        <v>47</v>
      </c>
      <c r="E836" s="277" t="s">
        <v>14</v>
      </c>
      <c r="F836" s="278">
        <v>36600</v>
      </c>
      <c r="G836" s="278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6" t="s">
        <v>47</v>
      </c>
      <c r="E837" s="277" t="s">
        <v>14</v>
      </c>
      <c r="F837" s="278">
        <v>36600</v>
      </c>
      <c r="G837" s="278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6" t="s">
        <v>47</v>
      </c>
      <c r="E838" s="277" t="s">
        <v>14</v>
      </c>
      <c r="F838" s="278">
        <v>50900</v>
      </c>
      <c r="G838" s="278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6" t="s">
        <v>47</v>
      </c>
      <c r="E839" s="277" t="s">
        <v>14</v>
      </c>
      <c r="F839" s="278">
        <v>50900</v>
      </c>
      <c r="G839" s="278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6" t="s">
        <v>47</v>
      </c>
      <c r="E840" s="277" t="s">
        <v>14</v>
      </c>
      <c r="F840" s="278">
        <v>50900</v>
      </c>
      <c r="G840" s="278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6" t="s">
        <v>47</v>
      </c>
      <c r="E841" s="277" t="s">
        <v>14</v>
      </c>
      <c r="F841" s="278">
        <v>142600</v>
      </c>
      <c r="G841" s="278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6" t="s">
        <v>47</v>
      </c>
      <c r="E842" s="277" t="s">
        <v>14</v>
      </c>
      <c r="F842" s="278">
        <v>142600</v>
      </c>
      <c r="G842" s="278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6" t="s">
        <v>47</v>
      </c>
      <c r="E843" s="277" t="s">
        <v>14</v>
      </c>
      <c r="F843" s="278">
        <v>54400</v>
      </c>
      <c r="G843" s="278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6" t="s">
        <v>47</v>
      </c>
      <c r="E844" s="277" t="s">
        <v>14</v>
      </c>
      <c r="F844" s="278">
        <v>50700</v>
      </c>
      <c r="G844" s="278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6" t="s">
        <v>47</v>
      </c>
      <c r="E845" s="277" t="s">
        <v>14</v>
      </c>
      <c r="F845" s="278">
        <v>50700</v>
      </c>
      <c r="G845" s="278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6" t="s">
        <v>47</v>
      </c>
      <c r="E846" s="277" t="s">
        <v>14</v>
      </c>
      <c r="F846" s="278">
        <v>762100</v>
      </c>
      <c r="G846" s="278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6" t="s">
        <v>47</v>
      </c>
      <c r="E847" s="277" t="s">
        <v>14</v>
      </c>
      <c r="F847" s="278">
        <v>13000</v>
      </c>
      <c r="G847" s="278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6" t="s">
        <v>47</v>
      </c>
      <c r="E848" s="277" t="s">
        <v>14</v>
      </c>
      <c r="F848" s="278">
        <v>614700</v>
      </c>
      <c r="G848" s="278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6" t="s">
        <v>47</v>
      </c>
      <c r="E849" s="277" t="s">
        <v>14</v>
      </c>
      <c r="F849" s="278">
        <v>829000</v>
      </c>
      <c r="G849" s="278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6" t="s">
        <v>47</v>
      </c>
      <c r="E850" s="277" t="s">
        <v>14</v>
      </c>
      <c r="F850" s="278">
        <v>179200</v>
      </c>
      <c r="G850" s="278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6" t="s">
        <v>47</v>
      </c>
      <c r="E851" s="277" t="s">
        <v>473</v>
      </c>
      <c r="F851" s="278">
        <v>14370.766666666666</v>
      </c>
      <c r="G851" s="278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6" t="s">
        <v>48</v>
      </c>
      <c r="E852" s="277"/>
      <c r="F852" s="278"/>
      <c r="G852" s="278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6" t="s">
        <v>48</v>
      </c>
      <c r="E853" s="277"/>
      <c r="F853" s="278"/>
      <c r="G853" s="278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6" t="s">
        <v>47</v>
      </c>
      <c r="E854" s="277" t="s">
        <v>14</v>
      </c>
      <c r="F854" s="278">
        <v>1568200</v>
      </c>
      <c r="G854" s="278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6" t="s">
        <v>47</v>
      </c>
      <c r="E855" s="277" t="s">
        <v>14</v>
      </c>
      <c r="F855" s="278">
        <v>3467100</v>
      </c>
      <c r="G855" s="278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6" t="s">
        <v>47</v>
      </c>
      <c r="E856" s="277" t="s">
        <v>14</v>
      </c>
      <c r="F856" s="278">
        <v>3467100</v>
      </c>
      <c r="G856" s="278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6" t="s">
        <v>47</v>
      </c>
      <c r="E857" s="277" t="s">
        <v>14</v>
      </c>
      <c r="F857" s="278">
        <v>1515700</v>
      </c>
      <c r="G857" s="278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6"/>
      <c r="E858" s="277"/>
      <c r="F858" s="278"/>
      <c r="G858" s="278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6" t="s">
        <v>48</v>
      </c>
      <c r="E859" s="277"/>
      <c r="F859" s="278"/>
      <c r="G859" s="278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6" t="s">
        <v>47</v>
      </c>
      <c r="E860" s="277" t="s">
        <v>297</v>
      </c>
      <c r="F860" s="278">
        <v>475700</v>
      </c>
      <c r="G860" s="278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6" t="s">
        <v>47</v>
      </c>
      <c r="E861" s="277" t="s">
        <v>297</v>
      </c>
      <c r="F861" s="278">
        <v>475700</v>
      </c>
      <c r="G861" s="278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6" t="s">
        <v>47</v>
      </c>
      <c r="E862" s="277" t="s">
        <v>297</v>
      </c>
      <c r="F862" s="278">
        <v>371300</v>
      </c>
      <c r="G862" s="278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6" t="s">
        <v>47</v>
      </c>
      <c r="E863" s="277" t="s">
        <v>297</v>
      </c>
      <c r="F863" s="278">
        <v>351700</v>
      </c>
      <c r="G863" s="278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6" t="s">
        <v>47</v>
      </c>
      <c r="E864" s="277" t="s">
        <v>297</v>
      </c>
      <c r="F864" s="278">
        <v>300100</v>
      </c>
      <c r="G864" s="278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6" t="s">
        <v>47</v>
      </c>
      <c r="E865" s="277" t="s">
        <v>297</v>
      </c>
      <c r="F865" s="278">
        <v>290900</v>
      </c>
      <c r="G865" s="278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6" t="s">
        <v>47</v>
      </c>
      <c r="E866" s="277" t="s">
        <v>297</v>
      </c>
      <c r="F866" s="278">
        <v>290600</v>
      </c>
      <c r="G866" s="278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6" t="s">
        <v>47</v>
      </c>
      <c r="E867" s="277" t="s">
        <v>297</v>
      </c>
      <c r="F867" s="278">
        <v>247000</v>
      </c>
      <c r="G867" s="278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6" t="s">
        <v>47</v>
      </c>
      <c r="E868" s="277" t="s">
        <v>297</v>
      </c>
      <c r="F868" s="278">
        <v>276000</v>
      </c>
      <c r="G868" s="278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6" t="s">
        <v>47</v>
      </c>
      <c r="E869" s="277" t="s">
        <v>297</v>
      </c>
      <c r="F869" s="278">
        <v>268100</v>
      </c>
      <c r="G869" s="278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6" t="s">
        <v>47</v>
      </c>
      <c r="E870" s="277" t="s">
        <v>297</v>
      </c>
      <c r="F870" s="278">
        <v>222400</v>
      </c>
      <c r="G870" s="278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6" t="s">
        <v>47</v>
      </c>
      <c r="E871" s="277" t="s">
        <v>297</v>
      </c>
      <c r="F871" s="278">
        <v>222400</v>
      </c>
      <c r="G871" s="278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6" t="s">
        <v>47</v>
      </c>
      <c r="E872" s="277" t="s">
        <v>297</v>
      </c>
      <c r="F872" s="278">
        <v>197300</v>
      </c>
      <c r="G872" s="278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6" t="s">
        <v>47</v>
      </c>
      <c r="E873" s="277" t="s">
        <v>297</v>
      </c>
      <c r="F873" s="278">
        <v>149200</v>
      </c>
      <c r="G873" s="278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6" t="s">
        <v>47</v>
      </c>
      <c r="E874" s="277" t="s">
        <v>297</v>
      </c>
      <c r="F874" s="278">
        <v>390200</v>
      </c>
      <c r="G874" s="278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6" t="s">
        <v>47</v>
      </c>
      <c r="E875" s="277" t="s">
        <v>297</v>
      </c>
      <c r="F875" s="278">
        <v>307600</v>
      </c>
      <c r="G875" s="278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6" t="s">
        <v>47</v>
      </c>
      <c r="E876" s="277" t="s">
        <v>297</v>
      </c>
      <c r="F876" s="278">
        <v>261600</v>
      </c>
      <c r="G876" s="278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6" t="s">
        <v>47</v>
      </c>
      <c r="E877" s="277" t="s">
        <v>297</v>
      </c>
      <c r="F877" s="278">
        <v>198700</v>
      </c>
      <c r="G877" s="278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6" t="s">
        <v>47</v>
      </c>
      <c r="E878" s="277" t="s">
        <v>297</v>
      </c>
      <c r="F878" s="278">
        <v>272600</v>
      </c>
      <c r="G878" s="278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6" t="s">
        <v>47</v>
      </c>
      <c r="E879" s="277" t="s">
        <v>297</v>
      </c>
      <c r="F879" s="278">
        <v>243400</v>
      </c>
      <c r="G879" s="278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6" t="s">
        <v>47</v>
      </c>
      <c r="E880" s="277" t="s">
        <v>297</v>
      </c>
      <c r="F880" s="278">
        <v>179300</v>
      </c>
      <c r="G880" s="278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6" t="s">
        <v>47</v>
      </c>
      <c r="E881" s="277" t="s">
        <v>297</v>
      </c>
      <c r="F881" s="278">
        <v>151900</v>
      </c>
      <c r="G881" s="278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6" t="s">
        <v>47</v>
      </c>
      <c r="E882" s="277" t="s">
        <v>297</v>
      </c>
      <c r="F882" s="278">
        <v>136485.10978061482</v>
      </c>
      <c r="G882" s="278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6" t="s">
        <v>47</v>
      </c>
      <c r="E883" s="277" t="s">
        <v>297</v>
      </c>
      <c r="F883" s="278">
        <v>125481.16630030893</v>
      </c>
      <c r="G883" s="278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6" t="s">
        <v>47</v>
      </c>
      <c r="E884" s="277" t="s">
        <v>297</v>
      </c>
      <c r="F884" s="278">
        <v>115200</v>
      </c>
      <c r="G884" s="278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6" t="s">
        <v>47</v>
      </c>
      <c r="E885" s="277" t="s">
        <v>297</v>
      </c>
      <c r="F885" s="278">
        <v>115000</v>
      </c>
      <c r="G885" s="278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6" t="s">
        <v>47</v>
      </c>
      <c r="E886" s="277" t="s">
        <v>297</v>
      </c>
      <c r="F886" s="278">
        <v>101800</v>
      </c>
      <c r="G886" s="278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6" t="s">
        <v>47</v>
      </c>
      <c r="E887" s="277" t="s">
        <v>297</v>
      </c>
      <c r="F887" s="278">
        <v>523270.00000000006</v>
      </c>
      <c r="G887" s="278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6" t="s">
        <v>47</v>
      </c>
      <c r="E888" s="277" t="s">
        <v>297</v>
      </c>
      <c r="F888" s="278">
        <v>523270.00000000006</v>
      </c>
      <c r="G888" s="278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6" t="s">
        <v>47</v>
      </c>
      <c r="E889" s="277" t="s">
        <v>297</v>
      </c>
      <c r="F889" s="278">
        <v>408430.00000000006</v>
      </c>
      <c r="G889" s="278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6" t="s">
        <v>47</v>
      </c>
      <c r="E890" s="277" t="s">
        <v>297</v>
      </c>
      <c r="F890" s="278">
        <v>386870.00000000006</v>
      </c>
      <c r="G890" s="278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6" t="s">
        <v>47</v>
      </c>
      <c r="E891" s="277" t="s">
        <v>297</v>
      </c>
      <c r="F891" s="278">
        <v>330110</v>
      </c>
      <c r="G891" s="278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6" t="s">
        <v>47</v>
      </c>
      <c r="E892" s="277" t="s">
        <v>297</v>
      </c>
      <c r="F892" s="278">
        <v>319990</v>
      </c>
      <c r="G892" s="278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6" t="s">
        <v>47</v>
      </c>
      <c r="E893" s="277" t="s">
        <v>297</v>
      </c>
      <c r="F893" s="278">
        <v>319660</v>
      </c>
      <c r="G893" s="278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6" t="s">
        <v>47</v>
      </c>
      <c r="E894" s="277" t="s">
        <v>297</v>
      </c>
      <c r="F894" s="278">
        <v>271700</v>
      </c>
      <c r="G894" s="278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6" t="s">
        <v>47</v>
      </c>
      <c r="E895" s="277" t="s">
        <v>297</v>
      </c>
      <c r="F895" s="278">
        <v>303600</v>
      </c>
      <c r="G895" s="278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6" t="s">
        <v>47</v>
      </c>
      <c r="E896" s="277" t="s">
        <v>297</v>
      </c>
      <c r="F896" s="278">
        <v>294910</v>
      </c>
      <c r="G896" s="278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6" t="s">
        <v>47</v>
      </c>
      <c r="E897" s="277" t="s">
        <v>297</v>
      </c>
      <c r="F897" s="278">
        <v>244640.00000000003</v>
      </c>
      <c r="G897" s="278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6" t="s">
        <v>47</v>
      </c>
      <c r="E898" s="277" t="s">
        <v>297</v>
      </c>
      <c r="F898" s="278">
        <v>244640.00000000003</v>
      </c>
      <c r="G898" s="278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6" t="s">
        <v>47</v>
      </c>
      <c r="E899" s="277" t="s">
        <v>297</v>
      </c>
      <c r="F899" s="278">
        <v>217030.00000000003</v>
      </c>
      <c r="G899" s="278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6" t="s">
        <v>47</v>
      </c>
      <c r="E900" s="277" t="s">
        <v>297</v>
      </c>
      <c r="F900" s="278">
        <v>164120</v>
      </c>
      <c r="G900" s="278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6" t="s">
        <v>47</v>
      </c>
      <c r="E901" s="277" t="s">
        <v>297</v>
      </c>
      <c r="F901" s="278">
        <v>429220.00000000006</v>
      </c>
      <c r="G901" s="278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6" t="s">
        <v>47</v>
      </c>
      <c r="E902" s="277" t="s">
        <v>297</v>
      </c>
      <c r="F902" s="278">
        <v>338360</v>
      </c>
      <c r="G902" s="278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6" t="s">
        <v>47</v>
      </c>
      <c r="E903" s="277" t="s">
        <v>297</v>
      </c>
      <c r="F903" s="278">
        <v>287760</v>
      </c>
      <c r="G903" s="278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6" t="s">
        <v>47</v>
      </c>
      <c r="E904" s="277" t="s">
        <v>297</v>
      </c>
      <c r="F904" s="278">
        <v>218570.00000000003</v>
      </c>
      <c r="G904" s="278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6" t="s">
        <v>47</v>
      </c>
      <c r="E905" s="277" t="s">
        <v>297</v>
      </c>
      <c r="F905" s="278">
        <v>299860</v>
      </c>
      <c r="G905" s="278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6" t="s">
        <v>47</v>
      </c>
      <c r="E906" s="277" t="s">
        <v>297</v>
      </c>
      <c r="F906" s="278">
        <v>267740</v>
      </c>
      <c r="G906" s="278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6" t="s">
        <v>47</v>
      </c>
      <c r="E907" s="277" t="s">
        <v>297</v>
      </c>
      <c r="F907" s="278">
        <v>197230.00000000003</v>
      </c>
      <c r="G907" s="278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6" t="s">
        <v>47</v>
      </c>
      <c r="E908" s="277" t="s">
        <v>297</v>
      </c>
      <c r="F908" s="278">
        <v>167090</v>
      </c>
      <c r="G908" s="278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6" t="s">
        <v>47</v>
      </c>
      <c r="E909" s="277" t="s">
        <v>297</v>
      </c>
      <c r="F909" s="278">
        <v>150133.62075867632</v>
      </c>
      <c r="G909" s="278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6" t="s">
        <v>47</v>
      </c>
      <c r="E910" s="277" t="s">
        <v>297</v>
      </c>
      <c r="F910" s="278">
        <v>138029.28293033983</v>
      </c>
      <c r="G910" s="278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6" t="s">
        <v>47</v>
      </c>
      <c r="E911" s="277" t="s">
        <v>297</v>
      </c>
      <c r="F911" s="278">
        <v>126720.00000000001</v>
      </c>
      <c r="G911" s="278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6" t="s">
        <v>47</v>
      </c>
      <c r="E912" s="277" t="s">
        <v>297</v>
      </c>
      <c r="F912" s="278">
        <v>126500.00000000001</v>
      </c>
      <c r="G912" s="278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6" t="s">
        <v>47</v>
      </c>
      <c r="E913" s="277" t="s">
        <v>297</v>
      </c>
      <c r="F913" s="278">
        <v>111980.00000000001</v>
      </c>
      <c r="G913" s="278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6" t="s">
        <v>47</v>
      </c>
      <c r="E914" s="277" t="s">
        <v>297</v>
      </c>
      <c r="F914" s="278">
        <v>382439</v>
      </c>
      <c r="G914" s="278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6" t="s">
        <v>47</v>
      </c>
      <c r="E915" s="277" t="s">
        <v>297</v>
      </c>
      <c r="F915" s="278">
        <v>662141.63144094404</v>
      </c>
      <c r="G915" s="278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6" t="s">
        <v>48</v>
      </c>
      <c r="E916" s="277"/>
      <c r="F916" s="278"/>
      <c r="G916" s="278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6" t="s">
        <v>48</v>
      </c>
      <c r="E917" s="277"/>
      <c r="F917" s="278"/>
      <c r="G917" s="278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6" t="s">
        <v>47</v>
      </c>
      <c r="E918" s="277" t="s">
        <v>297</v>
      </c>
      <c r="F918" s="278">
        <v>285500</v>
      </c>
      <c r="G918" s="278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6" t="s">
        <v>47</v>
      </c>
      <c r="E919" s="277" t="s">
        <v>297</v>
      </c>
      <c r="F919" s="278">
        <v>240000</v>
      </c>
      <c r="G919" s="278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6" t="s">
        <v>47</v>
      </c>
      <c r="E920" s="277" t="s">
        <v>297</v>
      </c>
      <c r="F920" s="278">
        <v>220800</v>
      </c>
      <c r="G920" s="278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6" t="s">
        <v>47</v>
      </c>
      <c r="E921" s="277" t="s">
        <v>297</v>
      </c>
      <c r="F921" s="278">
        <v>164300</v>
      </c>
      <c r="G921" s="278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6" t="s">
        <v>47</v>
      </c>
      <c r="E922" s="277" t="s">
        <v>297</v>
      </c>
      <c r="F922" s="278">
        <v>111700</v>
      </c>
      <c r="G922" s="278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6" t="s">
        <v>47</v>
      </c>
      <c r="E923" s="277" t="s">
        <v>297</v>
      </c>
      <c r="F923" s="278">
        <v>223500</v>
      </c>
      <c r="G923" s="278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6" t="s">
        <v>47</v>
      </c>
      <c r="E924" s="277" t="s">
        <v>297</v>
      </c>
      <c r="F924" s="278">
        <v>179000</v>
      </c>
      <c r="G924" s="278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6" t="s">
        <v>48</v>
      </c>
      <c r="E925" s="277"/>
      <c r="F925" s="278"/>
      <c r="G925" s="278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6" t="s">
        <v>48</v>
      </c>
      <c r="E926" s="277"/>
      <c r="F926" s="278"/>
      <c r="G926" s="278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6" t="s">
        <v>47</v>
      </c>
      <c r="E927" s="277" t="s">
        <v>1102</v>
      </c>
      <c r="F927" s="278">
        <v>9514000</v>
      </c>
      <c r="G927" s="278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6" t="s">
        <v>47</v>
      </c>
      <c r="E928" s="277" t="s">
        <v>1102</v>
      </c>
      <c r="F928" s="278">
        <v>9514000</v>
      </c>
      <c r="G928" s="278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6" t="s">
        <v>47</v>
      </c>
      <c r="E929" s="277" t="s">
        <v>1102</v>
      </c>
      <c r="F929" s="278">
        <v>7426000</v>
      </c>
      <c r="G929" s="278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6" t="s">
        <v>47</v>
      </c>
      <c r="E930" s="277" t="s">
        <v>1102</v>
      </c>
      <c r="F930" s="278">
        <v>7034000</v>
      </c>
      <c r="G930" s="278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6" t="s">
        <v>47</v>
      </c>
      <c r="E931" s="277" t="s">
        <v>1102</v>
      </c>
      <c r="F931" s="278">
        <v>6002000</v>
      </c>
      <c r="G931" s="278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6" t="s">
        <v>47</v>
      </c>
      <c r="E932" s="277" t="s">
        <v>1102</v>
      </c>
      <c r="F932" s="278">
        <v>5818000</v>
      </c>
      <c r="G932" s="278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6" t="s">
        <v>47</v>
      </c>
      <c r="E933" s="277" t="s">
        <v>1102</v>
      </c>
      <c r="F933" s="278">
        <v>5812000</v>
      </c>
      <c r="G933" s="278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6" t="s">
        <v>47</v>
      </c>
      <c r="E934" s="277" t="s">
        <v>1102</v>
      </c>
      <c r="F934" s="278">
        <v>4940000</v>
      </c>
      <c r="G934" s="278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6" t="s">
        <v>47</v>
      </c>
      <c r="E935" s="277" t="s">
        <v>1102</v>
      </c>
      <c r="F935" s="278">
        <v>5520000</v>
      </c>
      <c r="G935" s="278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6" t="s">
        <v>47</v>
      </c>
      <c r="E936" s="277" t="s">
        <v>1102</v>
      </c>
      <c r="F936" s="278">
        <v>5362000</v>
      </c>
      <c r="G936" s="278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6" t="s">
        <v>47</v>
      </c>
      <c r="E937" s="277" t="s">
        <v>1102</v>
      </c>
      <c r="F937" s="278">
        <v>4448000</v>
      </c>
      <c r="G937" s="278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6" t="s">
        <v>47</v>
      </c>
      <c r="E938" s="277" t="s">
        <v>1102</v>
      </c>
      <c r="F938" s="278">
        <v>4448000</v>
      </c>
      <c r="G938" s="278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6" t="s">
        <v>47</v>
      </c>
      <c r="E939" s="277" t="s">
        <v>1102</v>
      </c>
      <c r="F939" s="278">
        <v>3946000</v>
      </c>
      <c r="G939" s="278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6" t="s">
        <v>47</v>
      </c>
      <c r="E940" s="277" t="s">
        <v>1102</v>
      </c>
      <c r="F940" s="278">
        <v>2984000</v>
      </c>
      <c r="G940" s="278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6" t="s">
        <v>47</v>
      </c>
      <c r="E941" s="277" t="s">
        <v>1102</v>
      </c>
      <c r="F941" s="278">
        <v>7804000</v>
      </c>
      <c r="G941" s="278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6" t="s">
        <v>47</v>
      </c>
      <c r="E942" s="277" t="s">
        <v>1102</v>
      </c>
      <c r="F942" s="278">
        <v>6152000</v>
      </c>
      <c r="G942" s="278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6" t="s">
        <v>47</v>
      </c>
      <c r="E943" s="277" t="s">
        <v>1102</v>
      </c>
      <c r="F943" s="278">
        <v>5232000</v>
      </c>
      <c r="G943" s="278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6" t="s">
        <v>47</v>
      </c>
      <c r="E944" s="277" t="s">
        <v>1102</v>
      </c>
      <c r="F944" s="278">
        <v>3974000</v>
      </c>
      <c r="G944" s="278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6" t="s">
        <v>47</v>
      </c>
      <c r="E945" s="277" t="s">
        <v>1102</v>
      </c>
      <c r="F945" s="278">
        <v>5452000</v>
      </c>
      <c r="G945" s="278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6" t="s">
        <v>47</v>
      </c>
      <c r="E946" s="277" t="s">
        <v>1102</v>
      </c>
      <c r="F946" s="278">
        <v>4868000</v>
      </c>
      <c r="G946" s="278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6" t="s">
        <v>47</v>
      </c>
      <c r="E947" s="277" t="s">
        <v>1102</v>
      </c>
      <c r="F947" s="278">
        <v>3586000</v>
      </c>
      <c r="G947" s="278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6" t="s">
        <v>47</v>
      </c>
      <c r="E948" s="277" t="s">
        <v>1102</v>
      </c>
      <c r="F948" s="278">
        <v>3038000</v>
      </c>
      <c r="G948" s="278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6" t="s">
        <v>47</v>
      </c>
      <c r="E949" s="277" t="s">
        <v>1102</v>
      </c>
      <c r="F949" s="278">
        <v>2729702.1956122965</v>
      </c>
      <c r="G949" s="278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6" t="s">
        <v>47</v>
      </c>
      <c r="E950" s="277" t="s">
        <v>1102</v>
      </c>
      <c r="F950" s="278">
        <v>2509623.3260061787</v>
      </c>
      <c r="G950" s="278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6" t="s">
        <v>47</v>
      </c>
      <c r="E951" s="277" t="s">
        <v>1102</v>
      </c>
      <c r="F951" s="278">
        <v>2304000</v>
      </c>
      <c r="G951" s="278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6" t="s">
        <v>47</v>
      </c>
      <c r="E952" s="277" t="s">
        <v>1102</v>
      </c>
      <c r="F952" s="278">
        <v>2300000</v>
      </c>
      <c r="G952" s="278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6" t="s">
        <v>47</v>
      </c>
      <c r="E953" s="277" t="s">
        <v>1102</v>
      </c>
      <c r="F953" s="278">
        <v>2036000</v>
      </c>
      <c r="G953" s="278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6" t="s">
        <v>47</v>
      </c>
      <c r="E954" s="277" t="s">
        <v>1102</v>
      </c>
      <c r="F954" s="278">
        <v>10465400.000000002</v>
      </c>
      <c r="G954" s="278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6" t="s">
        <v>47</v>
      </c>
      <c r="E955" s="277" t="s">
        <v>1102</v>
      </c>
      <c r="F955" s="278">
        <v>10465400.000000002</v>
      </c>
      <c r="G955" s="278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6" t="s">
        <v>47</v>
      </c>
      <c r="E956" s="277" t="s">
        <v>1102</v>
      </c>
      <c r="F956" s="278">
        <v>8168600.0000000009</v>
      </c>
      <c r="G956" s="278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6" t="s">
        <v>47</v>
      </c>
      <c r="E957" s="277" t="s">
        <v>1102</v>
      </c>
      <c r="F957" s="278">
        <v>7737400.0000000009</v>
      </c>
      <c r="G957" s="278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6" t="s">
        <v>47</v>
      </c>
      <c r="E958" s="277" t="s">
        <v>1102</v>
      </c>
      <c r="F958" s="278">
        <v>6602200</v>
      </c>
      <c r="G958" s="278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6" t="s">
        <v>47</v>
      </c>
      <c r="E959" s="277" t="s">
        <v>1102</v>
      </c>
      <c r="F959" s="278">
        <v>6399800</v>
      </c>
      <c r="G959" s="278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6" t="s">
        <v>47</v>
      </c>
      <c r="E960" s="277" t="s">
        <v>1102</v>
      </c>
      <c r="F960" s="278">
        <v>6393200</v>
      </c>
      <c r="G960" s="278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6" t="s">
        <v>47</v>
      </c>
      <c r="E961" s="277" t="s">
        <v>1102</v>
      </c>
      <c r="F961" s="278">
        <v>5434000</v>
      </c>
      <c r="G961" s="278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6" t="s">
        <v>47</v>
      </c>
      <c r="E962" s="277" t="s">
        <v>1102</v>
      </c>
      <c r="F962" s="278">
        <v>6072000</v>
      </c>
      <c r="G962" s="278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6" t="s">
        <v>47</v>
      </c>
      <c r="E963" s="277" t="s">
        <v>1102</v>
      </c>
      <c r="F963" s="278">
        <v>5898200</v>
      </c>
      <c r="G963" s="278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6" t="s">
        <v>47</v>
      </c>
      <c r="E964" s="277" t="s">
        <v>1102</v>
      </c>
      <c r="F964" s="278">
        <v>4892800.0000000009</v>
      </c>
      <c r="G964" s="278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6" t="s">
        <v>47</v>
      </c>
      <c r="E965" s="277" t="s">
        <v>1102</v>
      </c>
      <c r="F965" s="278">
        <v>4892800.0000000009</v>
      </c>
      <c r="G965" s="278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6" t="s">
        <v>47</v>
      </c>
      <c r="E966" s="277" t="s">
        <v>1102</v>
      </c>
      <c r="F966" s="278">
        <v>4340600.0000000009</v>
      </c>
      <c r="G966" s="278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6" t="s">
        <v>47</v>
      </c>
      <c r="E967" s="277" t="s">
        <v>1102</v>
      </c>
      <c r="F967" s="278">
        <v>3282400</v>
      </c>
      <c r="G967" s="278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6" t="s">
        <v>47</v>
      </c>
      <c r="E968" s="277" t="s">
        <v>1102</v>
      </c>
      <c r="F968" s="278">
        <v>8584400.0000000019</v>
      </c>
      <c r="G968" s="278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6" t="s">
        <v>47</v>
      </c>
      <c r="E969" s="277" t="s">
        <v>1102</v>
      </c>
      <c r="F969" s="278">
        <v>6767200</v>
      </c>
      <c r="G969" s="278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6" t="s">
        <v>47</v>
      </c>
      <c r="E970" s="277" t="s">
        <v>1102</v>
      </c>
      <c r="F970" s="278">
        <v>5755200</v>
      </c>
      <c r="G970" s="278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6" t="s">
        <v>47</v>
      </c>
      <c r="E971" s="277" t="s">
        <v>1102</v>
      </c>
      <c r="F971" s="278">
        <v>4371400.0000000009</v>
      </c>
      <c r="G971" s="278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6" t="s">
        <v>47</v>
      </c>
      <c r="E972" s="277" t="s">
        <v>1102</v>
      </c>
      <c r="F972" s="278">
        <v>5997200</v>
      </c>
      <c r="G972" s="278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6" t="s">
        <v>47</v>
      </c>
      <c r="E973" s="277" t="s">
        <v>1102</v>
      </c>
      <c r="F973" s="278">
        <v>5354800</v>
      </c>
      <c r="G973" s="278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6" t="s">
        <v>47</v>
      </c>
      <c r="E974" s="277" t="s">
        <v>1102</v>
      </c>
      <c r="F974" s="278">
        <v>3944600.0000000005</v>
      </c>
      <c r="G974" s="278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6" t="s">
        <v>47</v>
      </c>
      <c r="E975" s="277" t="s">
        <v>1102</v>
      </c>
      <c r="F975" s="278">
        <v>3341800</v>
      </c>
      <c r="G975" s="278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6" t="s">
        <v>47</v>
      </c>
      <c r="E976" s="277" t="s">
        <v>1102</v>
      </c>
      <c r="F976" s="278">
        <v>3002672.4151735264</v>
      </c>
      <c r="G976" s="278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6" t="s">
        <v>47</v>
      </c>
      <c r="E977" s="277" t="s">
        <v>1102</v>
      </c>
      <c r="F977" s="278">
        <v>2760585.6586067965</v>
      </c>
      <c r="G977" s="278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6" t="s">
        <v>47</v>
      </c>
      <c r="E978" s="277" t="s">
        <v>1102</v>
      </c>
      <c r="F978" s="278">
        <v>2534400.0000000005</v>
      </c>
      <c r="G978" s="278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6" t="s">
        <v>47</v>
      </c>
      <c r="E979" s="277" t="s">
        <v>1102</v>
      </c>
      <c r="F979" s="278">
        <v>2530000.0000000005</v>
      </c>
      <c r="G979" s="278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6" t="s">
        <v>47</v>
      </c>
      <c r="E980" s="277" t="s">
        <v>1102</v>
      </c>
      <c r="F980" s="278">
        <v>2239600.0000000005</v>
      </c>
      <c r="G980" s="278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6" t="s">
        <v>47</v>
      </c>
      <c r="E981" s="277" t="s">
        <v>1102</v>
      </c>
      <c r="F981" s="278">
        <v>13242832.628818881</v>
      </c>
      <c r="G981" s="278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6" t="s">
        <v>48</v>
      </c>
      <c r="E982" s="277"/>
      <c r="F982" s="278">
        <v>0</v>
      </c>
      <c r="G982" s="278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6" t="s">
        <v>48</v>
      </c>
      <c r="E983" s="277"/>
      <c r="F983" s="278">
        <v>0</v>
      </c>
      <c r="G983" s="278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6" t="s">
        <v>47</v>
      </c>
      <c r="E984" s="277" t="s">
        <v>1102</v>
      </c>
      <c r="F984" s="278">
        <v>5710000</v>
      </c>
      <c r="G984" s="278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6" t="s">
        <v>47</v>
      </c>
      <c r="E985" s="277" t="s">
        <v>1102</v>
      </c>
      <c r="F985" s="278">
        <v>4800000</v>
      </c>
      <c r="G985" s="278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6" t="s">
        <v>47</v>
      </c>
      <c r="E986" s="277" t="s">
        <v>1102</v>
      </c>
      <c r="F986" s="278">
        <v>4416000</v>
      </c>
      <c r="G986" s="278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6" t="s">
        <v>47</v>
      </c>
      <c r="E987" s="277" t="s">
        <v>1102</v>
      </c>
      <c r="F987" s="278">
        <v>3286000</v>
      </c>
      <c r="G987" s="278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6" t="s">
        <v>47</v>
      </c>
      <c r="E988" s="277" t="s">
        <v>1102</v>
      </c>
      <c r="F988" s="278">
        <v>2234000</v>
      </c>
      <c r="G988" s="278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6" t="s">
        <v>47</v>
      </c>
      <c r="E989" s="277" t="s">
        <v>1102</v>
      </c>
      <c r="F989" s="278">
        <v>4470000</v>
      </c>
      <c r="G989" s="278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6" t="s">
        <v>47</v>
      </c>
      <c r="E990" s="277" t="s">
        <v>1102</v>
      </c>
      <c r="F990" s="278">
        <v>3580000</v>
      </c>
      <c r="G990" s="278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6" t="s">
        <v>48</v>
      </c>
      <c r="E991" s="277"/>
      <c r="F991" s="278"/>
      <c r="G991" s="278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6" t="s">
        <v>48</v>
      </c>
      <c r="E992" s="277"/>
      <c r="F992" s="278"/>
      <c r="G992" s="278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6" t="s">
        <v>47</v>
      </c>
      <c r="E993" s="277" t="s">
        <v>14</v>
      </c>
      <c r="F993" s="278">
        <v>355700</v>
      </c>
      <c r="G993" s="278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6" t="s">
        <v>47</v>
      </c>
      <c r="E994" s="277" t="s">
        <v>14</v>
      </c>
      <c r="F994" s="278">
        <v>346400</v>
      </c>
      <c r="G994" s="278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6" t="s">
        <v>47</v>
      </c>
      <c r="E995" s="277" t="s">
        <v>14</v>
      </c>
      <c r="F995" s="278">
        <v>571650</v>
      </c>
      <c r="G995" s="278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6" t="s">
        <v>47</v>
      </c>
      <c r="E996" s="277" t="s">
        <v>14</v>
      </c>
      <c r="F996" s="278">
        <v>1182800</v>
      </c>
      <c r="G996" s="278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6" t="s">
        <v>47</v>
      </c>
      <c r="E997" s="277" t="s">
        <v>14</v>
      </c>
      <c r="F997" s="278">
        <v>2953300</v>
      </c>
      <c r="G997" s="278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6" t="s">
        <v>47</v>
      </c>
      <c r="E998" s="277" t="s">
        <v>14</v>
      </c>
      <c r="F998" s="278">
        <v>1627400</v>
      </c>
      <c r="G998" s="278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6" t="s">
        <v>47</v>
      </c>
      <c r="E999" s="277" t="s">
        <v>14</v>
      </c>
      <c r="F999" s="278">
        <v>3686500</v>
      </c>
      <c r="G999" s="278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6" t="s">
        <v>47</v>
      </c>
      <c r="E1000" s="277" t="s">
        <v>14</v>
      </c>
      <c r="F1000" s="278">
        <v>3784400</v>
      </c>
      <c r="G1000" s="278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6" t="s">
        <v>47</v>
      </c>
      <c r="E1001" s="277" t="s">
        <v>14</v>
      </c>
      <c r="F1001" s="278">
        <v>4127900</v>
      </c>
      <c r="G1001" s="278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6" t="s">
        <v>47</v>
      </c>
      <c r="E1002" s="277" t="s">
        <v>14</v>
      </c>
      <c r="F1002" s="278">
        <v>4540690</v>
      </c>
      <c r="G1002" s="278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6" t="s">
        <v>47</v>
      </c>
      <c r="E1003" s="277" t="s">
        <v>14</v>
      </c>
      <c r="F1003" s="278">
        <v>614700</v>
      </c>
      <c r="G1003" s="278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6" t="s">
        <v>47</v>
      </c>
      <c r="E1004" s="277" t="s">
        <v>14</v>
      </c>
      <c r="F1004" s="278">
        <v>829000</v>
      </c>
      <c r="G1004" s="278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6" t="s">
        <v>48</v>
      </c>
      <c r="E1005" s="277"/>
      <c r="F1005" s="278"/>
      <c r="G1005" s="278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6" t="s">
        <v>48</v>
      </c>
      <c r="E1006" s="277"/>
      <c r="F1006" s="278"/>
      <c r="G1006" s="278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6" t="s">
        <v>47</v>
      </c>
      <c r="E1007" s="277" t="s">
        <v>100</v>
      </c>
      <c r="F1007" s="278">
        <v>367100.81715813151</v>
      </c>
      <c r="G1007" s="278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6" t="s">
        <v>47</v>
      </c>
      <c r="E1008" s="277" t="s">
        <v>100</v>
      </c>
      <c r="F1008" s="278">
        <v>367100.81715813151</v>
      </c>
      <c r="G1008" s="278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6" t="s">
        <v>47</v>
      </c>
      <c r="E1009" s="277" t="s">
        <v>100</v>
      </c>
      <c r="F1009" s="278">
        <v>483136</v>
      </c>
      <c r="G1009" s="278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6" t="s">
        <v>47</v>
      </c>
      <c r="E1010" s="277" t="s">
        <v>100</v>
      </c>
      <c r="F1010" s="278">
        <v>483136</v>
      </c>
      <c r="G1010" s="278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6" t="s">
        <v>47</v>
      </c>
      <c r="E1011" s="277" t="s">
        <v>100</v>
      </c>
      <c r="F1011" s="278">
        <v>542850</v>
      </c>
      <c r="G1011" s="278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6" t="s">
        <v>47</v>
      </c>
      <c r="E1012" s="277" t="s">
        <v>100</v>
      </c>
      <c r="F1012" s="278">
        <v>542850</v>
      </c>
      <c r="G1012" s="278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6" t="s">
        <v>47</v>
      </c>
      <c r="E1013" s="277" t="s">
        <v>100</v>
      </c>
      <c r="F1013" s="278">
        <v>580849</v>
      </c>
      <c r="G1013" s="278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6" t="s">
        <v>47</v>
      </c>
      <c r="E1014" s="277" t="s">
        <v>100</v>
      </c>
      <c r="F1014" s="278">
        <v>580849</v>
      </c>
      <c r="G1014" s="278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6" t="s">
        <v>47</v>
      </c>
      <c r="E1015" s="277" t="s">
        <v>100</v>
      </c>
      <c r="F1015" s="278">
        <v>640563</v>
      </c>
      <c r="G1015" s="278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6" t="s">
        <v>47</v>
      </c>
      <c r="E1016" s="277" t="s">
        <v>100</v>
      </c>
      <c r="F1016" s="278">
        <v>640563</v>
      </c>
      <c r="G1016" s="278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6" t="s">
        <v>47</v>
      </c>
      <c r="E1017" s="277" t="s">
        <v>100</v>
      </c>
      <c r="F1017" s="278">
        <v>777904.11254937388</v>
      </c>
      <c r="G1017" s="278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6" t="s">
        <v>47</v>
      </c>
      <c r="E1018" s="277" t="s">
        <v>100</v>
      </c>
      <c r="F1018" s="278">
        <v>777904.11254937388</v>
      </c>
      <c r="G1018" s="278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6" t="s">
        <v>47</v>
      </c>
      <c r="E1019" s="277" t="s">
        <v>100</v>
      </c>
      <c r="F1019" s="278">
        <v>776275</v>
      </c>
      <c r="G1019" s="278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6" t="s">
        <v>47</v>
      </c>
      <c r="E1020" s="277" t="s">
        <v>100</v>
      </c>
      <c r="F1020" s="278">
        <v>776275</v>
      </c>
      <c r="G1020" s="278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6" t="s">
        <v>47</v>
      </c>
      <c r="E1021" s="277" t="s">
        <v>100</v>
      </c>
      <c r="F1021" s="278">
        <v>852274</v>
      </c>
      <c r="G1021" s="278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6" t="s">
        <v>47</v>
      </c>
      <c r="E1022" s="277" t="s">
        <v>100</v>
      </c>
      <c r="F1022" s="278">
        <v>852274</v>
      </c>
      <c r="G1022" s="278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6" t="s">
        <v>47</v>
      </c>
      <c r="E1023" s="277" t="s">
        <v>100</v>
      </c>
      <c r="F1023" s="278">
        <v>1280085.3169734846</v>
      </c>
      <c r="G1023" s="278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6" t="s">
        <v>47</v>
      </c>
      <c r="E1024" s="277" t="s">
        <v>100</v>
      </c>
      <c r="F1024" s="278">
        <v>1280085.3169734846</v>
      </c>
      <c r="G1024" s="278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6" t="s">
        <v>47</v>
      </c>
      <c r="E1025" s="277" t="s">
        <v>100</v>
      </c>
      <c r="F1025" s="278">
        <v>901131</v>
      </c>
      <c r="G1025" s="278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6" t="s">
        <v>47</v>
      </c>
      <c r="E1026" s="277" t="s">
        <v>100</v>
      </c>
      <c r="F1026" s="278">
        <v>901131</v>
      </c>
      <c r="G1026" s="278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6" t="s">
        <v>47</v>
      </c>
      <c r="E1027" s="277" t="s">
        <v>100</v>
      </c>
      <c r="F1027" s="278">
        <v>928273</v>
      </c>
      <c r="G1027" s="278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6" t="s">
        <v>47</v>
      </c>
      <c r="E1028" s="277" t="s">
        <v>100</v>
      </c>
      <c r="F1028" s="278">
        <v>928273</v>
      </c>
      <c r="G1028" s="278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6" t="s">
        <v>47</v>
      </c>
      <c r="E1029" s="277" t="s">
        <v>100</v>
      </c>
      <c r="F1029" s="278">
        <v>1063986</v>
      </c>
      <c r="G1029" s="278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6" t="s">
        <v>47</v>
      </c>
      <c r="E1030" s="277" t="s">
        <v>100</v>
      </c>
      <c r="F1030" s="278">
        <v>1063986</v>
      </c>
      <c r="G1030" s="278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6" t="s">
        <v>47</v>
      </c>
      <c r="E1031" s="277" t="s">
        <v>100</v>
      </c>
      <c r="F1031" s="278">
        <v>1503365.2512190146</v>
      </c>
      <c r="G1031" s="278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6" t="s">
        <v>47</v>
      </c>
      <c r="E1032" s="277" t="s">
        <v>100</v>
      </c>
      <c r="F1032" s="278">
        <v>1503365.2512190146</v>
      </c>
      <c r="G1032" s="278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6" t="s">
        <v>48</v>
      </c>
      <c r="E1033" s="277"/>
      <c r="F1033" s="278"/>
      <c r="G1033" s="278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6" t="s">
        <v>48</v>
      </c>
      <c r="E1034" s="277"/>
      <c r="F1034" s="278"/>
      <c r="G1034" s="278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6" t="s">
        <v>47</v>
      </c>
      <c r="E1035" s="277" t="s">
        <v>14</v>
      </c>
      <c r="F1035" s="278">
        <v>11600</v>
      </c>
      <c r="G1035" s="278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6" t="s">
        <v>47</v>
      </c>
      <c r="E1036" s="277" t="s">
        <v>14</v>
      </c>
      <c r="F1036" s="278">
        <v>10700</v>
      </c>
      <c r="G1036" s="278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6" t="s">
        <v>47</v>
      </c>
      <c r="E1037" s="277" t="s">
        <v>297</v>
      </c>
      <c r="F1037" s="278">
        <v>1318750</v>
      </c>
      <c r="G1037" s="278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6" t="s">
        <v>47</v>
      </c>
      <c r="E1038" s="277" t="s">
        <v>297</v>
      </c>
      <c r="F1038" s="278">
        <v>1055000</v>
      </c>
      <c r="G1038" s="278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6" t="s">
        <v>47</v>
      </c>
      <c r="E1039" s="277" t="s">
        <v>473</v>
      </c>
      <c r="F1039" s="278">
        <v>700</v>
      </c>
      <c r="G1039" s="278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6" t="s">
        <v>47</v>
      </c>
      <c r="E1040" s="277" t="s">
        <v>473</v>
      </c>
      <c r="F1040" s="278">
        <v>1400</v>
      </c>
      <c r="G1040" s="278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6" t="s">
        <v>47</v>
      </c>
      <c r="E1041" s="277" t="s">
        <v>473</v>
      </c>
      <c r="F1041" s="278">
        <v>28300</v>
      </c>
      <c r="G1041" s="278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6" t="s">
        <v>47</v>
      </c>
      <c r="E1042" s="277" t="s">
        <v>473</v>
      </c>
      <c r="F1042" s="278">
        <v>16900</v>
      </c>
      <c r="G1042" s="278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6" t="s">
        <v>47</v>
      </c>
      <c r="E1043" s="277" t="s">
        <v>473</v>
      </c>
      <c r="F1043" s="278">
        <v>4566.666666666667</v>
      </c>
      <c r="G1043" s="278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6" t="s">
        <v>47</v>
      </c>
      <c r="E1044" s="277" t="s">
        <v>473</v>
      </c>
      <c r="F1044" s="282">
        <v>1100</v>
      </c>
      <c r="G1044" s="282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6" t="s">
        <v>47</v>
      </c>
      <c r="E1045" s="277" t="s">
        <v>473</v>
      </c>
      <c r="F1045" s="282">
        <v>2200</v>
      </c>
      <c r="G1045" s="282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6" t="s">
        <v>47</v>
      </c>
      <c r="E1046" s="277" t="s">
        <v>473</v>
      </c>
      <c r="F1046" s="282">
        <v>5300</v>
      </c>
      <c r="G1046" s="282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6" t="s">
        <v>47</v>
      </c>
      <c r="E1047" s="277" t="s">
        <v>473</v>
      </c>
      <c r="F1047" s="282">
        <v>5800</v>
      </c>
      <c r="G1047" s="282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6" t="s">
        <v>47</v>
      </c>
      <c r="E1048" s="277" t="s">
        <v>473</v>
      </c>
      <c r="F1048" s="282">
        <v>7200</v>
      </c>
      <c r="G1048" s="282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6" t="s">
        <v>47</v>
      </c>
      <c r="E1049" s="277" t="s">
        <v>796</v>
      </c>
      <c r="F1049" s="278">
        <v>162200</v>
      </c>
      <c r="G1049" s="278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6"/>
      <c r="E1050" s="277"/>
      <c r="F1050" s="278"/>
      <c r="G1050" s="278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6" t="s">
        <v>48</v>
      </c>
      <c r="E1051" s="277"/>
      <c r="F1051" s="278"/>
      <c r="G1051" s="278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6" t="s">
        <v>47</v>
      </c>
      <c r="E1052" s="277" t="s">
        <v>14</v>
      </c>
      <c r="F1052" s="278">
        <v>25000</v>
      </c>
      <c r="G1052" s="278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6" t="s">
        <v>47</v>
      </c>
      <c r="E1053" s="277" t="s">
        <v>14</v>
      </c>
      <c r="F1053" s="278">
        <v>60300</v>
      </c>
      <c r="G1053" s="278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6" t="s">
        <v>47</v>
      </c>
      <c r="E1054" s="277" t="s">
        <v>14</v>
      </c>
      <c r="F1054" s="278">
        <v>54400</v>
      </c>
      <c r="G1054" s="278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6" t="s">
        <v>47</v>
      </c>
      <c r="E1055" s="277" t="s">
        <v>14</v>
      </c>
      <c r="F1055" s="278">
        <v>106400</v>
      </c>
      <c r="G1055" s="278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6" t="s">
        <v>47</v>
      </c>
      <c r="E1056" s="277" t="s">
        <v>14</v>
      </c>
      <c r="F1056" s="278">
        <v>798700</v>
      </c>
      <c r="G1056" s="278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6" t="s">
        <v>47</v>
      </c>
      <c r="E1057" s="277" t="s">
        <v>14</v>
      </c>
      <c r="F1057" s="278">
        <v>1641700</v>
      </c>
      <c r="G1057" s="278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6" t="s">
        <v>47</v>
      </c>
      <c r="E1058" s="277" t="s">
        <v>14</v>
      </c>
      <c r="F1058" s="278">
        <v>39800</v>
      </c>
      <c r="G1058" s="278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6" t="s">
        <v>47</v>
      </c>
      <c r="E1059" s="277" t="s">
        <v>14</v>
      </c>
      <c r="F1059" s="278">
        <v>78008</v>
      </c>
      <c r="G1059" s="278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6" t="s">
        <v>48</v>
      </c>
      <c r="E1060" s="277"/>
      <c r="F1060" s="278"/>
      <c r="G1060" s="278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6" t="s">
        <v>48</v>
      </c>
      <c r="E1061" s="277"/>
      <c r="F1061" s="278"/>
      <c r="G1061" s="278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6" t="s">
        <v>48</v>
      </c>
      <c r="E1062" s="277"/>
      <c r="F1062" s="278"/>
      <c r="G1062" s="278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6" t="s">
        <v>47</v>
      </c>
      <c r="E1063" s="277" t="s">
        <v>14</v>
      </c>
      <c r="F1063" s="278">
        <v>11880</v>
      </c>
      <c r="G1063" s="278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6" t="s">
        <v>47</v>
      </c>
      <c r="E1064" s="277" t="s">
        <v>14</v>
      </c>
      <c r="F1064" s="278">
        <v>12300</v>
      </c>
      <c r="G1064" s="278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6" t="s">
        <v>47</v>
      </c>
      <c r="E1065" s="277" t="s">
        <v>14</v>
      </c>
      <c r="F1065" s="278">
        <v>16500</v>
      </c>
      <c r="G1065" s="278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6" t="s">
        <v>47</v>
      </c>
      <c r="E1066" s="277" t="s">
        <v>14</v>
      </c>
      <c r="F1066" s="278">
        <v>8940</v>
      </c>
      <c r="G1066" s="278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6" t="s">
        <v>47</v>
      </c>
      <c r="E1067" s="277" t="s">
        <v>14</v>
      </c>
      <c r="F1067" s="278">
        <v>15060</v>
      </c>
      <c r="G1067" s="278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6" t="s">
        <v>47</v>
      </c>
      <c r="E1068" s="277" t="s">
        <v>14</v>
      </c>
      <c r="F1068" s="278">
        <v>17820</v>
      </c>
      <c r="G1068" s="278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6" t="s">
        <v>47</v>
      </c>
      <c r="E1069" s="277" t="s">
        <v>14</v>
      </c>
      <c r="F1069" s="278">
        <v>15060</v>
      </c>
      <c r="G1069" s="278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6" t="s">
        <v>47</v>
      </c>
      <c r="E1070" s="277" t="s">
        <v>14</v>
      </c>
      <c r="F1070" s="278">
        <v>22560</v>
      </c>
      <c r="G1070" s="278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6" t="s">
        <v>47</v>
      </c>
      <c r="E1071" s="277" t="s">
        <v>14</v>
      </c>
      <c r="F1071" s="278">
        <v>15060</v>
      </c>
      <c r="G1071" s="278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6" t="s">
        <v>47</v>
      </c>
      <c r="E1072" s="277" t="s">
        <v>14</v>
      </c>
      <c r="F1072" s="278">
        <v>23880</v>
      </c>
      <c r="G1072" s="278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6" t="s">
        <v>47</v>
      </c>
      <c r="E1073" s="277" t="s">
        <v>14</v>
      </c>
      <c r="F1073" s="278">
        <v>13320</v>
      </c>
      <c r="G1073" s="278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6" t="s">
        <v>47</v>
      </c>
      <c r="E1074" s="277" t="s">
        <v>14</v>
      </c>
      <c r="F1074" s="278">
        <v>18180</v>
      </c>
      <c r="G1074" s="278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6" t="s">
        <v>47</v>
      </c>
      <c r="E1075" s="277" t="s">
        <v>14</v>
      </c>
      <c r="F1075" s="278">
        <v>13920</v>
      </c>
      <c r="G1075" s="278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6" t="s">
        <v>47</v>
      </c>
      <c r="E1076" s="277" t="s">
        <v>14</v>
      </c>
      <c r="F1076" s="278">
        <v>10320</v>
      </c>
      <c r="G1076" s="278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6" t="s">
        <v>47</v>
      </c>
      <c r="E1077" s="277" t="s">
        <v>14</v>
      </c>
      <c r="F1077" s="278">
        <v>11880</v>
      </c>
      <c r="G1077" s="278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6" t="s">
        <v>47</v>
      </c>
      <c r="E1078" s="277" t="s">
        <v>14</v>
      </c>
      <c r="F1078" s="278">
        <v>11880</v>
      </c>
      <c r="G1078" s="278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6" t="s">
        <v>47</v>
      </c>
      <c r="E1079" s="277" t="s">
        <v>14</v>
      </c>
      <c r="F1079" s="278">
        <v>12300</v>
      </c>
      <c r="G1079" s="278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6" t="s">
        <v>47</v>
      </c>
      <c r="E1080" s="277" t="s">
        <v>14</v>
      </c>
      <c r="F1080" s="278">
        <v>12300</v>
      </c>
      <c r="G1080" s="278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6" t="s">
        <v>47</v>
      </c>
      <c r="E1081" s="277" t="s">
        <v>14</v>
      </c>
      <c r="F1081" s="278">
        <v>16500</v>
      </c>
      <c r="G1081" s="278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6" t="s">
        <v>47</v>
      </c>
      <c r="E1082" s="277" t="s">
        <v>14</v>
      </c>
      <c r="F1082" s="278">
        <v>16500</v>
      </c>
      <c r="G1082" s="278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6" t="s">
        <v>47</v>
      </c>
      <c r="E1083" s="277" t="s">
        <v>14</v>
      </c>
      <c r="F1083" s="278">
        <v>13260</v>
      </c>
      <c r="G1083" s="278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6" t="s">
        <v>48</v>
      </c>
      <c r="E1084" s="277"/>
      <c r="F1084" s="278">
        <v>0</v>
      </c>
      <c r="G1084" s="278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6" t="s">
        <v>48</v>
      </c>
      <c r="E1085" s="277"/>
      <c r="F1085" s="278">
        <v>0</v>
      </c>
      <c r="G1085" s="278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6" t="s">
        <v>47</v>
      </c>
      <c r="E1086" s="277" t="s">
        <v>14</v>
      </c>
      <c r="F1086" s="278">
        <v>31920</v>
      </c>
      <c r="G1086" s="278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6" t="s">
        <v>47</v>
      </c>
      <c r="E1087" s="277" t="s">
        <v>14</v>
      </c>
      <c r="F1087" s="278">
        <v>31920</v>
      </c>
      <c r="G1087" s="278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6" t="s">
        <v>47</v>
      </c>
      <c r="E1088" s="277" t="s">
        <v>14</v>
      </c>
      <c r="F1088" s="278">
        <v>31920</v>
      </c>
      <c r="G1088" s="278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6" t="s">
        <v>47</v>
      </c>
      <c r="E1089" s="277" t="s">
        <v>14</v>
      </c>
      <c r="F1089" s="278">
        <v>48060</v>
      </c>
      <c r="G1089" s="278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6" t="s">
        <v>47</v>
      </c>
      <c r="E1090" s="277" t="s">
        <v>14</v>
      </c>
      <c r="F1090" s="278">
        <v>16200</v>
      </c>
      <c r="G1090" s="278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6" t="s">
        <v>47</v>
      </c>
      <c r="E1091" s="277" t="s">
        <v>14</v>
      </c>
      <c r="F1091" s="278">
        <v>48060</v>
      </c>
      <c r="G1091" s="278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6" t="s">
        <v>47</v>
      </c>
      <c r="E1092" s="277" t="s">
        <v>14</v>
      </c>
      <c r="F1092" s="278">
        <v>50400</v>
      </c>
      <c r="G1092" s="278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6" t="s">
        <v>47</v>
      </c>
      <c r="E1093" s="277" t="s">
        <v>14</v>
      </c>
      <c r="F1093" s="278">
        <v>26400</v>
      </c>
      <c r="G1093" s="278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6" t="s">
        <v>47</v>
      </c>
      <c r="E1094" s="277" t="s">
        <v>14</v>
      </c>
      <c r="F1094" s="278">
        <v>42180</v>
      </c>
      <c r="G1094" s="278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6" t="s">
        <v>47</v>
      </c>
      <c r="E1095" s="277" t="s">
        <v>14</v>
      </c>
      <c r="F1095" s="278">
        <v>42180</v>
      </c>
      <c r="G1095" s="278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6" t="s">
        <v>47</v>
      </c>
      <c r="E1096" s="277" t="s">
        <v>14</v>
      </c>
      <c r="F1096" s="278">
        <v>27120</v>
      </c>
      <c r="G1096" s="278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6" t="s">
        <v>47</v>
      </c>
      <c r="E1097" s="277" t="s">
        <v>14</v>
      </c>
      <c r="F1097" s="278">
        <v>46800</v>
      </c>
      <c r="G1097" s="278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6" t="s">
        <v>47</v>
      </c>
      <c r="E1098" s="277" t="s">
        <v>14</v>
      </c>
      <c r="F1098" s="278">
        <v>46800</v>
      </c>
      <c r="G1098" s="278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6" t="s">
        <v>47</v>
      </c>
      <c r="E1099" s="277" t="s">
        <v>14</v>
      </c>
      <c r="F1099" s="278">
        <v>45240</v>
      </c>
      <c r="G1099" s="278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6" t="s">
        <v>47</v>
      </c>
      <c r="E1100" s="277" t="s">
        <v>14</v>
      </c>
      <c r="F1100" s="278">
        <v>22740</v>
      </c>
      <c r="G1100" s="278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6" t="s">
        <v>47</v>
      </c>
      <c r="E1101" s="277" t="s">
        <v>14</v>
      </c>
      <c r="F1101" s="278">
        <v>22740</v>
      </c>
      <c r="G1101" s="278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6" t="s">
        <v>47</v>
      </c>
      <c r="E1102" s="277" t="s">
        <v>14</v>
      </c>
      <c r="F1102" s="278">
        <v>24420</v>
      </c>
      <c r="G1102" s="278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6" t="s">
        <v>47</v>
      </c>
      <c r="E1103" s="277" t="s">
        <v>14</v>
      </c>
      <c r="F1103" s="278">
        <v>24420</v>
      </c>
      <c r="G1103" s="278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6" t="s">
        <v>47</v>
      </c>
      <c r="E1104" s="277" t="s">
        <v>14</v>
      </c>
      <c r="F1104" s="278">
        <v>24420</v>
      </c>
      <c r="G1104" s="278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6" t="s">
        <v>47</v>
      </c>
      <c r="E1105" s="277" t="s">
        <v>14</v>
      </c>
      <c r="F1105" s="278">
        <v>24420</v>
      </c>
      <c r="G1105" s="27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6" t="s">
        <v>47</v>
      </c>
      <c r="E1106" s="277" t="s">
        <v>14</v>
      </c>
      <c r="F1106" s="278">
        <v>21720</v>
      </c>
      <c r="G1106" s="278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6" t="s">
        <v>47</v>
      </c>
      <c r="E1107" s="277" t="s">
        <v>14</v>
      </c>
      <c r="F1107" s="278">
        <v>20100</v>
      </c>
      <c r="G1107" s="278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6" t="s">
        <v>47</v>
      </c>
      <c r="E1108" s="277" t="s">
        <v>14</v>
      </c>
      <c r="F1108" s="278">
        <v>20100</v>
      </c>
      <c r="G1108" s="278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6" t="s">
        <v>47</v>
      </c>
      <c r="E1109" s="277" t="s">
        <v>14</v>
      </c>
      <c r="F1109" s="278">
        <v>20100</v>
      </c>
      <c r="G1109" s="278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6" t="s">
        <v>47</v>
      </c>
      <c r="E1110" s="277" t="s">
        <v>14</v>
      </c>
      <c r="F1110" s="278">
        <v>20100</v>
      </c>
      <c r="G1110" s="27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6" t="s">
        <v>47</v>
      </c>
      <c r="E1111" s="277" t="s">
        <v>14</v>
      </c>
      <c r="F1111" s="278">
        <v>42240</v>
      </c>
      <c r="G1111" s="278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6" t="s">
        <v>47</v>
      </c>
      <c r="E1112" s="277" t="s">
        <v>14</v>
      </c>
      <c r="F1112" s="278">
        <v>42240</v>
      </c>
      <c r="G1112" s="278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6" t="s">
        <v>47</v>
      </c>
      <c r="E1113" s="277" t="s">
        <v>14</v>
      </c>
      <c r="F1113" s="278">
        <v>40260</v>
      </c>
      <c r="G1113" s="278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6" t="s">
        <v>47</v>
      </c>
      <c r="E1114" s="277" t="s">
        <v>14</v>
      </c>
      <c r="F1114" s="278">
        <v>28020</v>
      </c>
      <c r="G1114" s="278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6" t="s">
        <v>47</v>
      </c>
      <c r="E1115" s="277" t="s">
        <v>14</v>
      </c>
      <c r="F1115" s="278">
        <v>28020</v>
      </c>
      <c r="G1115" s="278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6" t="s">
        <v>47</v>
      </c>
      <c r="E1116" s="277" t="s">
        <v>14</v>
      </c>
      <c r="F1116" s="278">
        <v>45360</v>
      </c>
      <c r="G1116" s="278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6" t="s">
        <v>47</v>
      </c>
      <c r="E1117" s="277" t="s">
        <v>14</v>
      </c>
      <c r="F1117" s="278">
        <v>45360</v>
      </c>
      <c r="G1117" s="278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6" t="s">
        <v>47</v>
      </c>
      <c r="E1118" s="277" t="s">
        <v>14</v>
      </c>
      <c r="F1118" s="278">
        <v>36060</v>
      </c>
      <c r="G1118" s="278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6" t="s">
        <v>47</v>
      </c>
      <c r="E1119" s="277" t="s">
        <v>14</v>
      </c>
      <c r="F1119" s="278">
        <v>33660</v>
      </c>
      <c r="G1119" s="278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6" t="s">
        <v>48</v>
      </c>
      <c r="E1120" s="277"/>
      <c r="F1120" s="278">
        <v>0</v>
      </c>
      <c r="G1120" s="278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6" t="s">
        <v>48</v>
      </c>
      <c r="E1121" s="277"/>
      <c r="F1121" s="278">
        <v>0</v>
      </c>
      <c r="G1121" s="278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6" t="s">
        <v>47</v>
      </c>
      <c r="E1122" s="277" t="s">
        <v>14</v>
      </c>
      <c r="F1122" s="278">
        <v>38820</v>
      </c>
      <c r="G1122" s="278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6" t="s">
        <v>47</v>
      </c>
      <c r="E1123" s="277" t="s">
        <v>14</v>
      </c>
      <c r="F1123" s="278">
        <v>38820</v>
      </c>
      <c r="G1123" s="278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6" t="s">
        <v>47</v>
      </c>
      <c r="E1124" s="277" t="s">
        <v>14</v>
      </c>
      <c r="F1124" s="278">
        <v>47880</v>
      </c>
      <c r="G1124" s="278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6" t="s">
        <v>47</v>
      </c>
      <c r="E1125" s="277" t="s">
        <v>14</v>
      </c>
      <c r="F1125" s="278">
        <v>49920</v>
      </c>
      <c r="G1125" s="278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6" t="s">
        <v>47</v>
      </c>
      <c r="E1126" s="277" t="s">
        <v>14</v>
      </c>
      <c r="F1126" s="278">
        <v>64260</v>
      </c>
      <c r="G1126" s="278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6" t="s">
        <v>47</v>
      </c>
      <c r="E1127" s="277" t="s">
        <v>14</v>
      </c>
      <c r="F1127" s="278">
        <v>110640</v>
      </c>
      <c r="G1127" s="278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6" t="s">
        <v>48</v>
      </c>
      <c r="E1128" s="277"/>
      <c r="F1128" s="278">
        <v>0</v>
      </c>
      <c r="G1128" s="278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6" t="s">
        <v>48</v>
      </c>
      <c r="E1129" s="277"/>
      <c r="F1129" s="278">
        <v>0</v>
      </c>
      <c r="G1129" s="278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6" t="s">
        <v>47</v>
      </c>
      <c r="E1130" s="277" t="s">
        <v>14</v>
      </c>
      <c r="F1130" s="278">
        <v>45120</v>
      </c>
      <c r="G1130" s="278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6" t="s">
        <v>47</v>
      </c>
      <c r="E1131" s="277" t="s">
        <v>14</v>
      </c>
      <c r="F1131" s="278">
        <v>45120</v>
      </c>
      <c r="G1131" s="278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6" t="s">
        <v>47</v>
      </c>
      <c r="E1132" s="277" t="s">
        <v>14</v>
      </c>
      <c r="F1132" s="278">
        <v>44940</v>
      </c>
      <c r="G1132" s="278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6" t="s">
        <v>47</v>
      </c>
      <c r="E1133" s="277" t="s">
        <v>14</v>
      </c>
      <c r="F1133" s="278">
        <v>47640</v>
      </c>
      <c r="G1133" s="278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6" t="s">
        <v>47</v>
      </c>
      <c r="E1134" s="277" t="s">
        <v>14</v>
      </c>
      <c r="F1134" s="278">
        <v>50340</v>
      </c>
      <c r="G1134" s="278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6" t="s">
        <v>47</v>
      </c>
      <c r="E1135" s="277" t="s">
        <v>14</v>
      </c>
      <c r="F1135" s="278">
        <v>43860</v>
      </c>
      <c r="G1135" s="278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6" t="s">
        <v>47</v>
      </c>
      <c r="E1136" s="277" t="s">
        <v>14</v>
      </c>
      <c r="F1136" s="278">
        <v>50940</v>
      </c>
      <c r="G1136" s="278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6" t="s">
        <v>47</v>
      </c>
      <c r="E1137" s="277" t="s">
        <v>14</v>
      </c>
      <c r="F1137" s="278">
        <v>50940</v>
      </c>
      <c r="G1137" s="278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6" t="s">
        <v>47</v>
      </c>
      <c r="E1138" s="277" t="s">
        <v>14</v>
      </c>
      <c r="F1138" s="278">
        <v>48240</v>
      </c>
      <c r="G1138" s="278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6" t="s">
        <v>47</v>
      </c>
      <c r="E1139" s="277" t="s">
        <v>14</v>
      </c>
      <c r="F1139" s="278">
        <v>47280</v>
      </c>
      <c r="G1139" s="278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6" t="s">
        <v>47</v>
      </c>
      <c r="E1140" s="277" t="s">
        <v>14</v>
      </c>
      <c r="F1140" s="278">
        <v>59940</v>
      </c>
      <c r="G1140" s="278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6" t="s">
        <v>47</v>
      </c>
      <c r="E1141" s="277" t="s">
        <v>14</v>
      </c>
      <c r="F1141" s="278">
        <v>55080</v>
      </c>
      <c r="G1141" s="278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6" t="s">
        <v>47</v>
      </c>
      <c r="E1142" s="277" t="s">
        <v>14</v>
      </c>
      <c r="F1142" s="278">
        <v>44640</v>
      </c>
      <c r="G1142" s="278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6" t="s">
        <v>47</v>
      </c>
      <c r="E1143" s="277" t="s">
        <v>14</v>
      </c>
      <c r="F1143" s="278">
        <v>58920</v>
      </c>
      <c r="G1143" s="278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6" t="s">
        <v>47</v>
      </c>
      <c r="E1144" s="277" t="s">
        <v>14</v>
      </c>
      <c r="F1144" s="278">
        <v>58920</v>
      </c>
      <c r="G1144" s="278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6" t="s">
        <v>47</v>
      </c>
      <c r="E1145" s="277" t="s">
        <v>14</v>
      </c>
      <c r="F1145" s="278">
        <v>58140</v>
      </c>
      <c r="G1145" s="278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6" t="s">
        <v>47</v>
      </c>
      <c r="E1146" s="277" t="s">
        <v>14</v>
      </c>
      <c r="F1146" s="278">
        <v>58140</v>
      </c>
      <c r="G1146" s="278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6" t="s">
        <v>47</v>
      </c>
      <c r="E1147" s="277" t="s">
        <v>14</v>
      </c>
      <c r="F1147" s="278">
        <v>56340</v>
      </c>
      <c r="G1147" s="278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6" t="s">
        <v>47</v>
      </c>
      <c r="E1148" s="277" t="s">
        <v>14</v>
      </c>
      <c r="F1148" s="278">
        <v>105060</v>
      </c>
      <c r="G1148" s="278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6" t="s">
        <v>47</v>
      </c>
      <c r="E1149" s="277" t="s">
        <v>14</v>
      </c>
      <c r="F1149" s="278">
        <v>57540</v>
      </c>
      <c r="G1149" s="278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6" t="s">
        <v>47</v>
      </c>
      <c r="E1150" s="277" t="s">
        <v>14</v>
      </c>
      <c r="F1150" s="278">
        <v>61080</v>
      </c>
      <c r="G1150" s="278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6" t="s">
        <v>47</v>
      </c>
      <c r="E1151" s="277" t="s">
        <v>14</v>
      </c>
      <c r="F1151" s="278">
        <v>71880</v>
      </c>
      <c r="G1151" s="278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6" t="s">
        <v>47</v>
      </c>
      <c r="E1152" s="277" t="s">
        <v>14</v>
      </c>
      <c r="F1152" s="278">
        <v>61080</v>
      </c>
      <c r="G1152" s="278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6" t="s">
        <v>47</v>
      </c>
      <c r="E1153" s="277" t="s">
        <v>14</v>
      </c>
      <c r="F1153" s="278">
        <v>55860</v>
      </c>
      <c r="G1153" s="278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6" t="s">
        <v>47</v>
      </c>
      <c r="E1154" s="277" t="s">
        <v>14</v>
      </c>
      <c r="F1154" s="278">
        <v>58680</v>
      </c>
      <c r="G1154" s="278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6" t="s">
        <v>47</v>
      </c>
      <c r="E1155" s="277" t="s">
        <v>14</v>
      </c>
      <c r="F1155" s="278">
        <v>115680</v>
      </c>
      <c r="G1155" s="278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6" t="s">
        <v>47</v>
      </c>
      <c r="E1156" s="277" t="s">
        <v>14</v>
      </c>
      <c r="F1156" s="278">
        <v>118500</v>
      </c>
      <c r="G1156" s="278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6" t="s">
        <v>47</v>
      </c>
      <c r="E1157" s="277" t="s">
        <v>14</v>
      </c>
      <c r="F1157" s="278">
        <v>118500</v>
      </c>
      <c r="G1157" s="278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6" t="s">
        <v>47</v>
      </c>
      <c r="E1158" s="277" t="s">
        <v>14</v>
      </c>
      <c r="F1158" s="278">
        <v>117900</v>
      </c>
      <c r="G1158" s="278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6" t="s">
        <v>47</v>
      </c>
      <c r="E1159" s="277" t="s">
        <v>14</v>
      </c>
      <c r="F1159" s="278">
        <v>120120</v>
      </c>
      <c r="G1159" s="278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6" t="s">
        <v>47</v>
      </c>
      <c r="E1160" s="277" t="s">
        <v>14</v>
      </c>
      <c r="F1160" s="278">
        <v>50460</v>
      </c>
      <c r="G1160" s="278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6" t="s">
        <v>47</v>
      </c>
      <c r="E1161" s="277" t="s">
        <v>14</v>
      </c>
      <c r="F1161" s="278">
        <v>50460</v>
      </c>
      <c r="G1161" s="278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6" t="s">
        <v>47</v>
      </c>
      <c r="E1162" s="277" t="s">
        <v>14</v>
      </c>
      <c r="F1162" s="278">
        <v>41400</v>
      </c>
      <c r="G1162" s="278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6" t="s">
        <v>47</v>
      </c>
      <c r="E1163" s="277" t="s">
        <v>14</v>
      </c>
      <c r="F1163" s="278">
        <v>61140</v>
      </c>
      <c r="G1163" s="278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6" t="s">
        <v>47</v>
      </c>
      <c r="E1164" s="277" t="s">
        <v>14</v>
      </c>
      <c r="F1164" s="278">
        <v>61140</v>
      </c>
      <c r="G1164" s="278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6" t="s">
        <v>47</v>
      </c>
      <c r="E1165" s="277" t="s">
        <v>14</v>
      </c>
      <c r="F1165" s="278">
        <v>55380</v>
      </c>
      <c r="G1165" s="278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6" t="s">
        <v>47</v>
      </c>
      <c r="E1166" s="277" t="s">
        <v>14</v>
      </c>
      <c r="F1166" s="278">
        <v>61860</v>
      </c>
      <c r="G1166" s="278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6" t="s">
        <v>47</v>
      </c>
      <c r="E1167" s="277" t="s">
        <v>14</v>
      </c>
      <c r="F1167" s="278">
        <v>63900</v>
      </c>
      <c r="G1167" s="278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6" t="s">
        <v>47</v>
      </c>
      <c r="E1168" s="277" t="s">
        <v>14</v>
      </c>
      <c r="F1168" s="278">
        <v>59220</v>
      </c>
      <c r="G1168" s="278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6" t="s">
        <v>48</v>
      </c>
      <c r="E1169" s="277"/>
      <c r="F1169" s="278">
        <v>0</v>
      </c>
      <c r="G1169" s="278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6" t="s">
        <v>48</v>
      </c>
      <c r="E1170" s="277"/>
      <c r="F1170" s="278">
        <v>0</v>
      </c>
      <c r="G1170" s="278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6" t="s">
        <v>47</v>
      </c>
      <c r="E1171" s="277" t="s">
        <v>14</v>
      </c>
      <c r="F1171" s="278">
        <v>89700</v>
      </c>
      <c r="G1171" s="278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6" t="s">
        <v>47</v>
      </c>
      <c r="E1172" s="277" t="s">
        <v>14</v>
      </c>
      <c r="F1172" s="278">
        <v>91200</v>
      </c>
      <c r="G1172" s="278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6" t="s">
        <v>47</v>
      </c>
      <c r="E1173" s="277" t="s">
        <v>14</v>
      </c>
      <c r="F1173" s="278">
        <v>95640</v>
      </c>
      <c r="G1173" s="278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6" t="s">
        <v>47</v>
      </c>
      <c r="E1174" s="277" t="s">
        <v>14</v>
      </c>
      <c r="F1174" s="278">
        <v>95640</v>
      </c>
      <c r="G1174" s="278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6" t="s">
        <v>47</v>
      </c>
      <c r="E1175" s="277" t="s">
        <v>14</v>
      </c>
      <c r="F1175" s="278">
        <v>116340</v>
      </c>
      <c r="G1175" s="278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6" t="s">
        <v>47</v>
      </c>
      <c r="E1176" s="277" t="s">
        <v>14</v>
      </c>
      <c r="F1176" s="278">
        <v>115020</v>
      </c>
      <c r="G1176" s="278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6" t="s">
        <v>47</v>
      </c>
      <c r="E1177" s="277" t="s">
        <v>14</v>
      </c>
      <c r="F1177" s="278">
        <v>115020</v>
      </c>
      <c r="G1177" s="278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6" t="s">
        <v>47</v>
      </c>
      <c r="E1178" s="277" t="s">
        <v>14</v>
      </c>
      <c r="F1178" s="278">
        <v>115020</v>
      </c>
      <c r="G1178" s="278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6" t="s">
        <v>47</v>
      </c>
      <c r="E1179" s="277" t="s">
        <v>14</v>
      </c>
      <c r="F1179" s="278">
        <v>117900</v>
      </c>
      <c r="G1179" s="278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6" t="s">
        <v>47</v>
      </c>
      <c r="E1180" s="277" t="s">
        <v>14</v>
      </c>
      <c r="F1180" s="278">
        <v>136860</v>
      </c>
      <c r="G1180" s="278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6" t="s">
        <v>47</v>
      </c>
      <c r="E1181" s="277" t="s">
        <v>14</v>
      </c>
      <c r="F1181" s="278">
        <v>220920</v>
      </c>
      <c r="G1181" s="278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6" t="s">
        <v>47</v>
      </c>
      <c r="E1182" s="277" t="s">
        <v>14</v>
      </c>
      <c r="F1182" s="278">
        <v>220920</v>
      </c>
      <c r="G1182" s="278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6" t="s">
        <v>48</v>
      </c>
      <c r="E1183" s="277"/>
      <c r="F1183" s="278">
        <v>0</v>
      </c>
      <c r="G1183" s="278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6" t="s">
        <v>48</v>
      </c>
      <c r="E1184" s="277"/>
      <c r="F1184" s="278">
        <v>0</v>
      </c>
      <c r="G1184" s="278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6" t="s">
        <v>47</v>
      </c>
      <c r="E1185" s="277" t="s">
        <v>14</v>
      </c>
      <c r="F1185" s="278">
        <v>19440</v>
      </c>
      <c r="G1185" s="278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6" t="s">
        <v>47</v>
      </c>
      <c r="E1186" s="277" t="s">
        <v>14</v>
      </c>
      <c r="F1186" s="278">
        <v>28860</v>
      </c>
      <c r="G1186" s="278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6" t="s">
        <v>47</v>
      </c>
      <c r="E1187" s="277" t="s">
        <v>14</v>
      </c>
      <c r="F1187" s="278">
        <v>33180</v>
      </c>
      <c r="G1187" s="278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6" t="s">
        <v>47</v>
      </c>
      <c r="E1188" s="277" t="s">
        <v>14</v>
      </c>
      <c r="F1188" s="278">
        <v>30900</v>
      </c>
      <c r="G1188" s="278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6" t="s">
        <v>47</v>
      </c>
      <c r="E1189" s="277" t="s">
        <v>14</v>
      </c>
      <c r="F1189" s="278">
        <v>40740</v>
      </c>
      <c r="G1189" s="278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6" t="s">
        <v>47</v>
      </c>
      <c r="E1190" s="277" t="s">
        <v>14</v>
      </c>
      <c r="F1190" s="278">
        <v>34020</v>
      </c>
      <c r="G1190" s="278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6" t="s">
        <v>47</v>
      </c>
      <c r="E1191" s="277" t="s">
        <v>14</v>
      </c>
      <c r="F1191" s="278">
        <v>358140</v>
      </c>
      <c r="G1191" s="278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6" t="s">
        <v>47</v>
      </c>
      <c r="E1192" s="277" t="s">
        <v>14</v>
      </c>
      <c r="F1192" s="278">
        <v>240900</v>
      </c>
      <c r="G1192" s="278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6" t="s">
        <v>48</v>
      </c>
      <c r="E1193" s="277"/>
      <c r="F1193" s="278">
        <v>0</v>
      </c>
      <c r="G1193" s="278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6" t="s">
        <v>48</v>
      </c>
      <c r="E1194" s="277"/>
      <c r="F1194" s="278">
        <v>0</v>
      </c>
      <c r="G1194" s="278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6" t="s">
        <v>47</v>
      </c>
      <c r="E1195" s="277" t="s">
        <v>14</v>
      </c>
      <c r="F1195" s="278">
        <v>33840</v>
      </c>
      <c r="G1195" s="278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6" t="s">
        <v>47</v>
      </c>
      <c r="E1196" s="277" t="s">
        <v>14</v>
      </c>
      <c r="F1196" s="278">
        <v>39240</v>
      </c>
      <c r="G1196" s="278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6" t="s">
        <v>47</v>
      </c>
      <c r="E1197" s="277" t="s">
        <v>14</v>
      </c>
      <c r="F1197" s="278">
        <v>7320</v>
      </c>
      <c r="G1197" s="278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6" t="s">
        <v>47</v>
      </c>
      <c r="E1198" s="277" t="s">
        <v>14</v>
      </c>
      <c r="F1198" s="278">
        <v>9600</v>
      </c>
      <c r="G1198" s="278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6" t="s">
        <v>47</v>
      </c>
      <c r="E1199" s="277" t="s">
        <v>14</v>
      </c>
      <c r="F1199" s="278">
        <v>103860</v>
      </c>
      <c r="G1199" s="278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6" t="s">
        <v>47</v>
      </c>
      <c r="E1200" s="277" t="s">
        <v>14</v>
      </c>
      <c r="F1200" s="278">
        <v>923940</v>
      </c>
      <c r="G1200" s="278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6" t="s">
        <v>47</v>
      </c>
      <c r="E1201" s="277" t="s">
        <v>14</v>
      </c>
      <c r="F1201" s="278">
        <v>14160</v>
      </c>
      <c r="G1201" s="278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6" t="s">
        <v>47</v>
      </c>
      <c r="E1202" s="277" t="s">
        <v>14</v>
      </c>
      <c r="F1202" s="278">
        <v>12060</v>
      </c>
      <c r="G1202" s="278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6" t="s">
        <v>47</v>
      </c>
      <c r="E1203" s="277" t="s">
        <v>14</v>
      </c>
      <c r="F1203" s="278">
        <v>14160</v>
      </c>
      <c r="G1203" s="278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6" t="s">
        <v>47</v>
      </c>
      <c r="E1204" s="277" t="s">
        <v>14</v>
      </c>
      <c r="F1204" s="278">
        <v>14160</v>
      </c>
      <c r="G1204" s="27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6" t="s">
        <v>47</v>
      </c>
      <c r="E1205" s="277" t="s">
        <v>14</v>
      </c>
      <c r="F1205" s="278">
        <v>35040</v>
      </c>
      <c r="G1205" s="278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6" t="s">
        <v>47</v>
      </c>
      <c r="E1206" s="277" t="s">
        <v>14</v>
      </c>
      <c r="F1206" s="278">
        <v>25860</v>
      </c>
      <c r="G1206" s="278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6" t="s">
        <v>47</v>
      </c>
      <c r="E1207" s="277" t="s">
        <v>14</v>
      </c>
      <c r="F1207" s="278">
        <v>35040</v>
      </c>
      <c r="G1207" s="278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6" t="s">
        <v>47</v>
      </c>
      <c r="E1208" s="277" t="s">
        <v>14</v>
      </c>
      <c r="F1208" s="278">
        <v>35040</v>
      </c>
      <c r="G1208" s="27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6" t="s">
        <v>47</v>
      </c>
      <c r="E1209" s="277" t="s">
        <v>14</v>
      </c>
      <c r="F1209" s="278">
        <v>25860</v>
      </c>
      <c r="G1209" s="27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6" t="s">
        <v>47</v>
      </c>
      <c r="E1210" s="277" t="s">
        <v>14</v>
      </c>
      <c r="F1210" s="278">
        <v>25860</v>
      </c>
      <c r="G1210" s="278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6" t="s">
        <v>47</v>
      </c>
      <c r="E1211" s="277" t="s">
        <v>14</v>
      </c>
      <c r="F1211" s="278">
        <v>30960</v>
      </c>
      <c r="G1211" s="278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6" t="s">
        <v>47</v>
      </c>
      <c r="E1212" s="277" t="s">
        <v>14</v>
      </c>
      <c r="F1212" s="278">
        <v>25860</v>
      </c>
      <c r="G1212" s="27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6" t="s">
        <v>47</v>
      </c>
      <c r="E1213" s="277" t="s">
        <v>14</v>
      </c>
      <c r="F1213" s="278">
        <v>2305860</v>
      </c>
      <c r="G1213" s="278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6" t="s">
        <v>47</v>
      </c>
      <c r="E1214" s="277" t="s">
        <v>14</v>
      </c>
      <c r="F1214" s="278">
        <v>18780</v>
      </c>
      <c r="G1214" s="278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6" t="s">
        <v>47</v>
      </c>
      <c r="E1215" s="277" t="s">
        <v>14</v>
      </c>
      <c r="F1215" s="278">
        <v>27360</v>
      </c>
      <c r="G1215" s="278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6" t="s">
        <v>47</v>
      </c>
      <c r="E1216" s="277" t="s">
        <v>14</v>
      </c>
      <c r="F1216" s="278">
        <v>18780</v>
      </c>
      <c r="G1216" s="278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6" t="s">
        <v>47</v>
      </c>
      <c r="E1217" s="277" t="s">
        <v>14</v>
      </c>
      <c r="F1217" s="278">
        <v>27360</v>
      </c>
      <c r="G1217" s="278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6" t="s">
        <v>47</v>
      </c>
      <c r="E1218" s="277" t="s">
        <v>14</v>
      </c>
      <c r="F1218" s="278">
        <v>18720</v>
      </c>
      <c r="G1218" s="278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6" t="s">
        <v>47</v>
      </c>
      <c r="E1219" s="277" t="s">
        <v>14</v>
      </c>
      <c r="F1219" s="278">
        <v>18720</v>
      </c>
      <c r="G1219" s="278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6" t="s">
        <v>47</v>
      </c>
      <c r="E1220" s="277" t="s">
        <v>14</v>
      </c>
      <c r="F1220" s="278">
        <v>18720</v>
      </c>
      <c r="G1220" s="278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6" t="s">
        <v>47</v>
      </c>
      <c r="E1221" s="277" t="s">
        <v>14</v>
      </c>
      <c r="F1221" s="278">
        <v>25260</v>
      </c>
      <c r="G1221" s="278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6" t="s">
        <v>47</v>
      </c>
      <c r="E1222" s="277" t="s">
        <v>14</v>
      </c>
      <c r="F1222" s="278">
        <v>25260</v>
      </c>
      <c r="G1222" s="278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6" t="s">
        <v>47</v>
      </c>
      <c r="E1223" s="277" t="s">
        <v>14</v>
      </c>
      <c r="F1223" s="278">
        <v>22860</v>
      </c>
      <c r="G1223" s="278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6" t="s">
        <v>47</v>
      </c>
      <c r="E1224" s="277" t="s">
        <v>14</v>
      </c>
      <c r="F1224" s="278">
        <v>74340</v>
      </c>
      <c r="G1224" s="278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6" t="s">
        <v>47</v>
      </c>
      <c r="E1225" s="277" t="s">
        <v>14</v>
      </c>
      <c r="F1225" s="278">
        <v>74340</v>
      </c>
      <c r="G1225" s="278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6" t="s">
        <v>47</v>
      </c>
      <c r="E1226" s="277" t="s">
        <v>14</v>
      </c>
      <c r="F1226" s="278">
        <v>27540</v>
      </c>
      <c r="G1226" s="278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6" t="s">
        <v>47</v>
      </c>
      <c r="E1227" s="277" t="s">
        <v>14</v>
      </c>
      <c r="F1227" s="278">
        <v>21480</v>
      </c>
      <c r="G1227" s="278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6" t="s">
        <v>47</v>
      </c>
      <c r="E1228" s="277" t="s">
        <v>14</v>
      </c>
      <c r="F1228" s="278">
        <v>25560</v>
      </c>
      <c r="G1228" s="278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6" t="s">
        <v>47</v>
      </c>
      <c r="E1229" s="277" t="s">
        <v>14</v>
      </c>
      <c r="F1229" s="278">
        <v>457260</v>
      </c>
      <c r="G1229" s="278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6" t="s">
        <v>47</v>
      </c>
      <c r="E1230" s="277" t="s">
        <v>14</v>
      </c>
      <c r="F1230" s="278">
        <v>6360</v>
      </c>
      <c r="G1230" s="278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6" t="s">
        <v>47</v>
      </c>
      <c r="E1231" s="277" t="s">
        <v>14</v>
      </c>
      <c r="F1231" s="278">
        <v>368820</v>
      </c>
      <c r="G1231" s="278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6" t="s">
        <v>47</v>
      </c>
      <c r="E1232" s="277" t="s">
        <v>14</v>
      </c>
      <c r="F1232" s="278">
        <v>497400</v>
      </c>
      <c r="G1232" s="278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6" t="s">
        <v>47</v>
      </c>
      <c r="E1233" s="277" t="s">
        <v>14</v>
      </c>
      <c r="F1233" s="278">
        <v>107520</v>
      </c>
      <c r="G1233" s="278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6" t="s">
        <v>47</v>
      </c>
      <c r="E1234" s="277" t="s">
        <v>473</v>
      </c>
      <c r="F1234" s="278">
        <v>8622.4599999999991</v>
      </c>
      <c r="G1234" s="278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6" t="s">
        <v>48</v>
      </c>
      <c r="E1235" s="277"/>
      <c r="F1235" s="278">
        <v>0</v>
      </c>
      <c r="G1235" s="278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6" t="s">
        <v>48</v>
      </c>
      <c r="E1236" s="277"/>
      <c r="F1236" s="278">
        <v>0</v>
      </c>
      <c r="G1236" s="278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6" t="s">
        <v>47</v>
      </c>
      <c r="E1237" s="277" t="s">
        <v>14</v>
      </c>
      <c r="F1237" s="278">
        <v>940920</v>
      </c>
      <c r="G1237" s="278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6" t="s">
        <v>47</v>
      </c>
      <c r="E1238" s="277" t="s">
        <v>14</v>
      </c>
      <c r="F1238" s="278">
        <v>2080260</v>
      </c>
      <c r="G1238" s="278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6" t="s">
        <v>47</v>
      </c>
      <c r="E1239" s="277" t="s">
        <v>14</v>
      </c>
      <c r="F1239" s="278">
        <v>2080260</v>
      </c>
      <c r="G1239" s="278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6" t="s">
        <v>47</v>
      </c>
      <c r="E1240" s="277" t="s">
        <v>14</v>
      </c>
      <c r="F1240" s="278">
        <v>909420</v>
      </c>
      <c r="G1240" s="278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6"/>
      <c r="E1241" s="277"/>
      <c r="F1241" s="278">
        <v>0</v>
      </c>
      <c r="G1241" s="278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6" t="s">
        <v>48</v>
      </c>
      <c r="E1242" s="277"/>
      <c r="F1242" s="278">
        <v>0</v>
      </c>
      <c r="G1242" s="278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6" t="s">
        <v>47</v>
      </c>
      <c r="E1243" s="277" t="s">
        <v>297</v>
      </c>
      <c r="F1243" s="278">
        <v>285420</v>
      </c>
      <c r="G1243" s="278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6" t="s">
        <v>47</v>
      </c>
      <c r="E1244" s="277" t="s">
        <v>297</v>
      </c>
      <c r="F1244" s="278">
        <v>285420</v>
      </c>
      <c r="G1244" s="278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6" t="s">
        <v>47</v>
      </c>
      <c r="E1245" s="277" t="s">
        <v>297</v>
      </c>
      <c r="F1245" s="278">
        <v>222780</v>
      </c>
      <c r="G1245" s="278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6" t="s">
        <v>47</v>
      </c>
      <c r="E1246" s="277" t="s">
        <v>297</v>
      </c>
      <c r="F1246" s="278">
        <v>211020</v>
      </c>
      <c r="G1246" s="278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6" t="s">
        <v>47</v>
      </c>
      <c r="E1247" s="277" t="s">
        <v>297</v>
      </c>
      <c r="F1247" s="278">
        <v>180060</v>
      </c>
      <c r="G1247" s="278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6" t="s">
        <v>47</v>
      </c>
      <c r="E1248" s="277" t="s">
        <v>297</v>
      </c>
      <c r="F1248" s="278">
        <v>174540</v>
      </c>
      <c r="G1248" s="278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6" t="s">
        <v>47</v>
      </c>
      <c r="E1249" s="277" t="s">
        <v>297</v>
      </c>
      <c r="F1249" s="278">
        <v>174360</v>
      </c>
      <c r="G1249" s="278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6" t="s">
        <v>47</v>
      </c>
      <c r="E1250" s="277" t="s">
        <v>297</v>
      </c>
      <c r="F1250" s="278">
        <v>148200</v>
      </c>
      <c r="G1250" s="278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6" t="s">
        <v>47</v>
      </c>
      <c r="E1251" s="277" t="s">
        <v>297</v>
      </c>
      <c r="F1251" s="278">
        <v>165600</v>
      </c>
      <c r="G1251" s="278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6" t="s">
        <v>47</v>
      </c>
      <c r="E1252" s="277" t="s">
        <v>297</v>
      </c>
      <c r="F1252" s="278">
        <v>160860</v>
      </c>
      <c r="G1252" s="278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6" t="s">
        <v>47</v>
      </c>
      <c r="E1253" s="277" t="s">
        <v>297</v>
      </c>
      <c r="F1253" s="278">
        <v>133440</v>
      </c>
      <c r="G1253" s="278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6" t="s">
        <v>47</v>
      </c>
      <c r="E1254" s="277" t="s">
        <v>297</v>
      </c>
      <c r="F1254" s="278">
        <v>133440</v>
      </c>
      <c r="G1254" s="278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6" t="s">
        <v>47</v>
      </c>
      <c r="E1255" s="277" t="s">
        <v>297</v>
      </c>
      <c r="F1255" s="278">
        <v>118380</v>
      </c>
      <c r="G1255" s="278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6" t="s">
        <v>47</v>
      </c>
      <c r="E1256" s="277" t="s">
        <v>297</v>
      </c>
      <c r="F1256" s="278">
        <v>89520</v>
      </c>
      <c r="G1256" s="278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6" t="s">
        <v>47</v>
      </c>
      <c r="E1257" s="277" t="s">
        <v>297</v>
      </c>
      <c r="F1257" s="278">
        <v>234120</v>
      </c>
      <c r="G1257" s="278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6" t="s">
        <v>47</v>
      </c>
      <c r="E1258" s="277" t="s">
        <v>297</v>
      </c>
      <c r="F1258" s="278">
        <v>184560</v>
      </c>
      <c r="G1258" s="278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6" t="s">
        <v>47</v>
      </c>
      <c r="E1259" s="277" t="s">
        <v>297</v>
      </c>
      <c r="F1259" s="278">
        <v>156960</v>
      </c>
      <c r="G1259" s="278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6" t="s">
        <v>47</v>
      </c>
      <c r="E1260" s="277" t="s">
        <v>297</v>
      </c>
      <c r="F1260" s="278">
        <v>119220</v>
      </c>
      <c r="G1260" s="278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6" t="s">
        <v>47</v>
      </c>
      <c r="E1261" s="277" t="s">
        <v>297</v>
      </c>
      <c r="F1261" s="278">
        <v>163560</v>
      </c>
      <c r="G1261" s="278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6" t="s">
        <v>47</v>
      </c>
      <c r="E1262" s="277" t="s">
        <v>297</v>
      </c>
      <c r="F1262" s="278">
        <v>146040</v>
      </c>
      <c r="G1262" s="278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6" t="s">
        <v>47</v>
      </c>
      <c r="E1263" s="277" t="s">
        <v>297</v>
      </c>
      <c r="F1263" s="278">
        <v>107580</v>
      </c>
      <c r="G1263" s="278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6" t="s">
        <v>47</v>
      </c>
      <c r="E1264" s="277" t="s">
        <v>297</v>
      </c>
      <c r="F1264" s="278">
        <v>91140</v>
      </c>
      <c r="G1264" s="278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6" t="s">
        <v>47</v>
      </c>
      <c r="E1265" s="277" t="s">
        <v>297</v>
      </c>
      <c r="F1265" s="278">
        <v>81891.065868368882</v>
      </c>
      <c r="G1265" s="278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6" t="s">
        <v>47</v>
      </c>
      <c r="E1266" s="277" t="s">
        <v>297</v>
      </c>
      <c r="F1266" s="278">
        <v>75288.699780185358</v>
      </c>
      <c r="G1266" s="278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6" t="s">
        <v>47</v>
      </c>
      <c r="E1267" s="277" t="s">
        <v>297</v>
      </c>
      <c r="F1267" s="278">
        <v>69120</v>
      </c>
      <c r="G1267" s="278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6" t="s">
        <v>47</v>
      </c>
      <c r="E1268" s="277" t="s">
        <v>297</v>
      </c>
      <c r="F1268" s="278">
        <v>69000</v>
      </c>
      <c r="G1268" s="278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6" t="s">
        <v>47</v>
      </c>
      <c r="E1269" s="277" t="s">
        <v>297</v>
      </c>
      <c r="F1269" s="278">
        <v>61080</v>
      </c>
      <c r="G1269" s="278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6" t="s">
        <v>47</v>
      </c>
      <c r="E1270" s="277" t="s">
        <v>297</v>
      </c>
      <c r="F1270" s="278">
        <v>313962</v>
      </c>
      <c r="G1270" s="278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6" t="s">
        <v>47</v>
      </c>
      <c r="E1271" s="277" t="s">
        <v>297</v>
      </c>
      <c r="F1271" s="278">
        <v>313962</v>
      </c>
      <c r="G1271" s="278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6" t="s">
        <v>47</v>
      </c>
      <c r="E1272" s="277" t="s">
        <v>297</v>
      </c>
      <c r="F1272" s="278">
        <v>245058.00000000003</v>
      </c>
      <c r="G1272" s="278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6" t="s">
        <v>47</v>
      </c>
      <c r="E1273" s="277" t="s">
        <v>297</v>
      </c>
      <c r="F1273" s="278">
        <v>232122.00000000003</v>
      </c>
      <c r="G1273" s="278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6" t="s">
        <v>47</v>
      </c>
      <c r="E1274" s="277" t="s">
        <v>297</v>
      </c>
      <c r="F1274" s="278">
        <v>198066</v>
      </c>
      <c r="G1274" s="278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6" t="s">
        <v>47</v>
      </c>
      <c r="E1275" s="277" t="s">
        <v>297</v>
      </c>
      <c r="F1275" s="278">
        <v>191994</v>
      </c>
      <c r="G1275" s="278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6" t="s">
        <v>47</v>
      </c>
      <c r="E1276" s="277" t="s">
        <v>297</v>
      </c>
      <c r="F1276" s="278">
        <v>191796</v>
      </c>
      <c r="G1276" s="278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6" t="s">
        <v>47</v>
      </c>
      <c r="E1277" s="277" t="s">
        <v>297</v>
      </c>
      <c r="F1277" s="278">
        <v>163020</v>
      </c>
      <c r="G1277" s="278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6" t="s">
        <v>47</v>
      </c>
      <c r="E1278" s="277" t="s">
        <v>297</v>
      </c>
      <c r="F1278" s="278">
        <v>182160</v>
      </c>
      <c r="G1278" s="278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6" t="s">
        <v>47</v>
      </c>
      <c r="E1279" s="277" t="s">
        <v>297</v>
      </c>
      <c r="F1279" s="278">
        <v>176946</v>
      </c>
      <c r="G1279" s="278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6" t="s">
        <v>47</v>
      </c>
      <c r="E1280" s="277" t="s">
        <v>297</v>
      </c>
      <c r="F1280" s="278">
        <v>146784</v>
      </c>
      <c r="G1280" s="278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6" t="s">
        <v>47</v>
      </c>
      <c r="E1281" s="277" t="s">
        <v>297</v>
      </c>
      <c r="F1281" s="278">
        <v>146784</v>
      </c>
      <c r="G1281" s="278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6" t="s">
        <v>47</v>
      </c>
      <c r="E1282" s="277" t="s">
        <v>297</v>
      </c>
      <c r="F1282" s="278">
        <v>130218.00000000001</v>
      </c>
      <c r="G1282" s="278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6" t="s">
        <v>47</v>
      </c>
      <c r="E1283" s="277" t="s">
        <v>297</v>
      </c>
      <c r="F1283" s="278">
        <v>98472</v>
      </c>
      <c r="G1283" s="278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6" t="s">
        <v>47</v>
      </c>
      <c r="E1284" s="277" t="s">
        <v>297</v>
      </c>
      <c r="F1284" s="278">
        <v>257532.00000000003</v>
      </c>
      <c r="G1284" s="278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6" t="s">
        <v>47</v>
      </c>
      <c r="E1285" s="277" t="s">
        <v>297</v>
      </c>
      <c r="F1285" s="278">
        <v>203016</v>
      </c>
      <c r="G1285" s="278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6" t="s">
        <v>47</v>
      </c>
      <c r="E1286" s="277" t="s">
        <v>297</v>
      </c>
      <c r="F1286" s="278">
        <v>172656</v>
      </c>
      <c r="G1286" s="278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6" t="s">
        <v>47</v>
      </c>
      <c r="E1287" s="277" t="s">
        <v>297</v>
      </c>
      <c r="F1287" s="278">
        <v>131142</v>
      </c>
      <c r="G1287" s="278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6" t="s">
        <v>47</v>
      </c>
      <c r="E1288" s="277" t="s">
        <v>297</v>
      </c>
      <c r="F1288" s="278">
        <v>179916</v>
      </c>
      <c r="G1288" s="278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6" t="s">
        <v>47</v>
      </c>
      <c r="E1289" s="277" t="s">
        <v>297</v>
      </c>
      <c r="F1289" s="278">
        <v>160644</v>
      </c>
      <c r="G1289" s="278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6" t="s">
        <v>47</v>
      </c>
      <c r="E1290" s="277" t="s">
        <v>297</v>
      </c>
      <c r="F1290" s="278">
        <v>118338.00000000001</v>
      </c>
      <c r="G1290" s="278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6" t="s">
        <v>47</v>
      </c>
      <c r="E1291" s="277" t="s">
        <v>297</v>
      </c>
      <c r="F1291" s="278">
        <v>100254</v>
      </c>
      <c r="G1291" s="278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6" t="s">
        <v>47</v>
      </c>
      <c r="E1292" s="277" t="s">
        <v>297</v>
      </c>
      <c r="F1292" s="278">
        <v>90080.172455205786</v>
      </c>
      <c r="G1292" s="278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6" t="s">
        <v>47</v>
      </c>
      <c r="E1293" s="277" t="s">
        <v>297</v>
      </c>
      <c r="F1293" s="278">
        <v>82817.569758203899</v>
      </c>
      <c r="G1293" s="278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6" t="s">
        <v>47</v>
      </c>
      <c r="E1294" s="277" t="s">
        <v>297</v>
      </c>
      <c r="F1294" s="278">
        <v>76032</v>
      </c>
      <c r="G1294" s="278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6" t="s">
        <v>47</v>
      </c>
      <c r="E1295" s="277" t="s">
        <v>297</v>
      </c>
      <c r="F1295" s="278">
        <v>75900</v>
      </c>
      <c r="G1295" s="278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6" t="s">
        <v>47</v>
      </c>
      <c r="E1296" s="277" t="s">
        <v>297</v>
      </c>
      <c r="F1296" s="278">
        <v>67188</v>
      </c>
      <c r="G1296" s="278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6" t="s">
        <v>47</v>
      </c>
      <c r="E1297" s="277" t="s">
        <v>297</v>
      </c>
      <c r="F1297" s="278">
        <v>397284.97886456642</v>
      </c>
      <c r="G1297" s="278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6" t="s">
        <v>48</v>
      </c>
      <c r="E1298" s="277"/>
      <c r="F1298" s="278">
        <v>0</v>
      </c>
      <c r="G1298" s="278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6" t="s">
        <v>48</v>
      </c>
      <c r="E1299" s="277"/>
      <c r="F1299" s="278">
        <v>0</v>
      </c>
      <c r="G1299" s="278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6" t="s">
        <v>47</v>
      </c>
      <c r="E1300" s="277" t="s">
        <v>297</v>
      </c>
      <c r="F1300" s="278">
        <v>171300</v>
      </c>
      <c r="G1300" s="278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6" t="s">
        <v>47</v>
      </c>
      <c r="E1301" s="277" t="s">
        <v>297</v>
      </c>
      <c r="F1301" s="278">
        <v>144000</v>
      </c>
      <c r="G1301" s="278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6" t="s">
        <v>47</v>
      </c>
      <c r="E1302" s="277" t="s">
        <v>297</v>
      </c>
      <c r="F1302" s="278">
        <v>132480</v>
      </c>
      <c r="G1302" s="278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6" t="s">
        <v>47</v>
      </c>
      <c r="E1303" s="277" t="s">
        <v>297</v>
      </c>
      <c r="F1303" s="278">
        <v>98580</v>
      </c>
      <c r="G1303" s="278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6" t="s">
        <v>47</v>
      </c>
      <c r="E1304" s="277" t="s">
        <v>297</v>
      </c>
      <c r="F1304" s="278">
        <v>67020</v>
      </c>
      <c r="G1304" s="278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6" t="s">
        <v>47</v>
      </c>
      <c r="E1305" s="277" t="s">
        <v>297</v>
      </c>
      <c r="F1305" s="278">
        <v>134100</v>
      </c>
      <c r="G1305" s="278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6" t="s">
        <v>47</v>
      </c>
      <c r="E1306" s="277" t="s">
        <v>297</v>
      </c>
      <c r="F1306" s="278">
        <v>107400</v>
      </c>
      <c r="G1306" s="278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6" t="s">
        <v>48</v>
      </c>
      <c r="E1307" s="277"/>
      <c r="F1307" s="278">
        <v>0</v>
      </c>
      <c r="G1307" s="278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6" t="s">
        <v>48</v>
      </c>
      <c r="E1308" s="277"/>
      <c r="F1308" s="278">
        <v>0</v>
      </c>
      <c r="G1308" s="278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6" t="s">
        <v>47</v>
      </c>
      <c r="E1309" s="277" t="s">
        <v>1102</v>
      </c>
      <c r="F1309" s="278">
        <v>5708400</v>
      </c>
      <c r="G1309" s="278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6" t="s">
        <v>47</v>
      </c>
      <c r="E1310" s="277" t="s">
        <v>1102</v>
      </c>
      <c r="F1310" s="278">
        <v>5708400</v>
      </c>
      <c r="G1310" s="278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6" t="s">
        <v>47</v>
      </c>
      <c r="E1311" s="277" t="s">
        <v>1102</v>
      </c>
      <c r="F1311" s="278">
        <v>4455600</v>
      </c>
      <c r="G1311" s="278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6" t="s">
        <v>47</v>
      </c>
      <c r="E1312" s="277" t="s">
        <v>1102</v>
      </c>
      <c r="F1312" s="278">
        <v>4220400</v>
      </c>
      <c r="G1312" s="278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6" t="s">
        <v>47</v>
      </c>
      <c r="E1313" s="277" t="s">
        <v>1102</v>
      </c>
      <c r="F1313" s="278">
        <v>3601200</v>
      </c>
      <c r="G1313" s="278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6" t="s">
        <v>47</v>
      </c>
      <c r="E1314" s="277" t="s">
        <v>1102</v>
      </c>
      <c r="F1314" s="278">
        <v>3490800</v>
      </c>
      <c r="G1314" s="278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6" t="s">
        <v>47</v>
      </c>
      <c r="E1315" s="277" t="s">
        <v>1102</v>
      </c>
      <c r="F1315" s="278">
        <v>3487200</v>
      </c>
      <c r="G1315" s="278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6" t="s">
        <v>47</v>
      </c>
      <c r="E1316" s="277" t="s">
        <v>1102</v>
      </c>
      <c r="F1316" s="278">
        <v>2964000</v>
      </c>
      <c r="G1316" s="278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6" t="s">
        <v>47</v>
      </c>
      <c r="E1317" s="277" t="s">
        <v>1102</v>
      </c>
      <c r="F1317" s="278">
        <v>3312000</v>
      </c>
      <c r="G1317" s="278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6" t="s">
        <v>47</v>
      </c>
      <c r="E1318" s="277" t="s">
        <v>1102</v>
      </c>
      <c r="F1318" s="278">
        <v>3217200</v>
      </c>
      <c r="G1318" s="278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6" t="s">
        <v>47</v>
      </c>
      <c r="E1319" s="277" t="s">
        <v>1102</v>
      </c>
      <c r="F1319" s="278">
        <v>2668800</v>
      </c>
      <c r="G1319" s="278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6" t="s">
        <v>47</v>
      </c>
      <c r="E1320" s="277" t="s">
        <v>1102</v>
      </c>
      <c r="F1320" s="278">
        <v>2668800</v>
      </c>
      <c r="G1320" s="278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6" t="s">
        <v>47</v>
      </c>
      <c r="E1321" s="277" t="s">
        <v>1102</v>
      </c>
      <c r="F1321" s="278">
        <v>2367600</v>
      </c>
      <c r="G1321" s="278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6" t="s">
        <v>47</v>
      </c>
      <c r="E1322" s="277" t="s">
        <v>1102</v>
      </c>
      <c r="F1322" s="278">
        <v>1790400</v>
      </c>
      <c r="G1322" s="278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6" t="s">
        <v>47</v>
      </c>
      <c r="E1323" s="277" t="s">
        <v>1102</v>
      </c>
      <c r="F1323" s="278">
        <v>4682400</v>
      </c>
      <c r="G1323" s="278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6" t="s">
        <v>47</v>
      </c>
      <c r="E1324" s="277" t="s">
        <v>1102</v>
      </c>
      <c r="F1324" s="278">
        <v>3691200</v>
      </c>
      <c r="G1324" s="278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6" t="s">
        <v>47</v>
      </c>
      <c r="E1325" s="277" t="s">
        <v>1102</v>
      </c>
      <c r="F1325" s="278">
        <v>3139200</v>
      </c>
      <c r="G1325" s="278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6" t="s">
        <v>47</v>
      </c>
      <c r="E1326" s="277" t="s">
        <v>1102</v>
      </c>
      <c r="F1326" s="278">
        <v>2384400</v>
      </c>
      <c r="G1326" s="278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6" t="s">
        <v>47</v>
      </c>
      <c r="E1327" s="277" t="s">
        <v>1102</v>
      </c>
      <c r="F1327" s="278">
        <v>3271200</v>
      </c>
      <c r="G1327" s="278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6" t="s">
        <v>47</v>
      </c>
      <c r="E1328" s="277" t="s">
        <v>1102</v>
      </c>
      <c r="F1328" s="278">
        <v>2920800</v>
      </c>
      <c r="G1328" s="278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6" t="s">
        <v>47</v>
      </c>
      <c r="E1329" s="277" t="s">
        <v>1102</v>
      </c>
      <c r="F1329" s="278">
        <v>2151600</v>
      </c>
      <c r="G1329" s="278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6" t="s">
        <v>47</v>
      </c>
      <c r="E1330" s="277" t="s">
        <v>1102</v>
      </c>
      <c r="F1330" s="278">
        <v>1822800</v>
      </c>
      <c r="G1330" s="278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6" t="s">
        <v>47</v>
      </c>
      <c r="E1331" s="277" t="s">
        <v>1102</v>
      </c>
      <c r="F1331" s="278">
        <v>1637821.3173673779</v>
      </c>
      <c r="G1331" s="278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6" t="s">
        <v>47</v>
      </c>
      <c r="E1332" s="277" t="s">
        <v>1102</v>
      </c>
      <c r="F1332" s="278">
        <v>1505773.9956037072</v>
      </c>
      <c r="G1332" s="278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6" t="s">
        <v>47</v>
      </c>
      <c r="E1333" s="277" t="s">
        <v>1102</v>
      </c>
      <c r="F1333" s="278">
        <v>1382400</v>
      </c>
      <c r="G1333" s="278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6" t="s">
        <v>47</v>
      </c>
      <c r="E1334" s="277" t="s">
        <v>1102</v>
      </c>
      <c r="F1334" s="278">
        <v>1380000</v>
      </c>
      <c r="G1334" s="278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6" t="s">
        <v>47</v>
      </c>
      <c r="E1335" s="277" t="s">
        <v>1102</v>
      </c>
      <c r="F1335" s="278">
        <v>1221600</v>
      </c>
      <c r="G1335" s="278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6" t="s">
        <v>47</v>
      </c>
      <c r="E1336" s="277" t="s">
        <v>1102</v>
      </c>
      <c r="F1336" s="278">
        <v>6279240.0000000009</v>
      </c>
      <c r="G1336" s="278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6" t="s">
        <v>47</v>
      </c>
      <c r="E1337" s="277" t="s">
        <v>1102</v>
      </c>
      <c r="F1337" s="278">
        <v>6279240.0000000009</v>
      </c>
      <c r="G1337" s="278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6" t="s">
        <v>47</v>
      </c>
      <c r="E1338" s="277" t="s">
        <v>1102</v>
      </c>
      <c r="F1338" s="278">
        <v>4901160</v>
      </c>
      <c r="G1338" s="278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6" t="s">
        <v>47</v>
      </c>
      <c r="E1339" s="277" t="s">
        <v>1102</v>
      </c>
      <c r="F1339" s="278">
        <v>4642440</v>
      </c>
      <c r="G1339" s="278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6" t="s">
        <v>47</v>
      </c>
      <c r="E1340" s="277" t="s">
        <v>1102</v>
      </c>
      <c r="F1340" s="278">
        <v>3961320</v>
      </c>
      <c r="G1340" s="278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6" t="s">
        <v>47</v>
      </c>
      <c r="E1341" s="277" t="s">
        <v>1102</v>
      </c>
      <c r="F1341" s="278">
        <v>3839880</v>
      </c>
      <c r="G1341" s="278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6" t="s">
        <v>47</v>
      </c>
      <c r="E1342" s="277" t="s">
        <v>1102</v>
      </c>
      <c r="F1342" s="278">
        <v>3835920</v>
      </c>
      <c r="G1342" s="278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6" t="s">
        <v>47</v>
      </c>
      <c r="E1343" s="277" t="s">
        <v>1102</v>
      </c>
      <c r="F1343" s="278">
        <v>3260400</v>
      </c>
      <c r="G1343" s="278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6" t="s">
        <v>47</v>
      </c>
      <c r="E1344" s="277" t="s">
        <v>1102</v>
      </c>
      <c r="F1344" s="278">
        <v>3643200</v>
      </c>
      <c r="G1344" s="278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6" t="s">
        <v>47</v>
      </c>
      <c r="E1345" s="277" t="s">
        <v>1102</v>
      </c>
      <c r="F1345" s="278">
        <v>3538920</v>
      </c>
      <c r="G1345" s="278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6" t="s">
        <v>47</v>
      </c>
      <c r="E1346" s="277" t="s">
        <v>1102</v>
      </c>
      <c r="F1346" s="278">
        <v>2935680.0000000005</v>
      </c>
      <c r="G1346" s="278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6" t="s">
        <v>47</v>
      </c>
      <c r="E1347" s="277" t="s">
        <v>1102</v>
      </c>
      <c r="F1347" s="278">
        <v>2935680.0000000005</v>
      </c>
      <c r="G1347" s="278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6" t="s">
        <v>47</v>
      </c>
      <c r="E1348" s="277" t="s">
        <v>1102</v>
      </c>
      <c r="F1348" s="278">
        <v>2604360.0000000005</v>
      </c>
      <c r="G1348" s="278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6" t="s">
        <v>47</v>
      </c>
      <c r="E1349" s="277" t="s">
        <v>1102</v>
      </c>
      <c r="F1349" s="278">
        <v>1969440</v>
      </c>
      <c r="G1349" s="278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6" t="s">
        <v>47</v>
      </c>
      <c r="E1350" s="277" t="s">
        <v>1102</v>
      </c>
      <c r="F1350" s="278">
        <v>5150640.0000000009</v>
      </c>
      <c r="G1350" s="278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6" t="s">
        <v>47</v>
      </c>
      <c r="E1351" s="277" t="s">
        <v>1102</v>
      </c>
      <c r="F1351" s="278">
        <v>4060320</v>
      </c>
      <c r="G1351" s="278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6" t="s">
        <v>47</v>
      </c>
      <c r="E1352" s="277" t="s">
        <v>1102</v>
      </c>
      <c r="F1352" s="278">
        <v>3453120</v>
      </c>
      <c r="G1352" s="278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6" t="s">
        <v>47</v>
      </c>
      <c r="E1353" s="277" t="s">
        <v>1102</v>
      </c>
      <c r="F1353" s="278">
        <v>2622840.0000000005</v>
      </c>
      <c r="G1353" s="278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6" t="s">
        <v>47</v>
      </c>
      <c r="E1354" s="277" t="s">
        <v>1102</v>
      </c>
      <c r="F1354" s="278">
        <v>3598320</v>
      </c>
      <c r="G1354" s="278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6" t="s">
        <v>47</v>
      </c>
      <c r="E1355" s="277" t="s">
        <v>1102</v>
      </c>
      <c r="F1355" s="278">
        <v>3212880</v>
      </c>
      <c r="G1355" s="278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6" t="s">
        <v>47</v>
      </c>
      <c r="E1356" s="277" t="s">
        <v>1102</v>
      </c>
      <c r="F1356" s="278">
        <v>2366760</v>
      </c>
      <c r="G1356" s="278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6" t="s">
        <v>47</v>
      </c>
      <c r="E1357" s="277" t="s">
        <v>1102</v>
      </c>
      <c r="F1357" s="278">
        <v>2005080</v>
      </c>
      <c r="G1357" s="278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6" t="s">
        <v>47</v>
      </c>
      <c r="E1358" s="277" t="s">
        <v>1102</v>
      </c>
      <c r="F1358" s="278">
        <v>1801603.4491041158</v>
      </c>
      <c r="G1358" s="278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6" t="s">
        <v>47</v>
      </c>
      <c r="E1359" s="277" t="s">
        <v>1102</v>
      </c>
      <c r="F1359" s="278">
        <v>1656351.3951640779</v>
      </c>
      <c r="G1359" s="278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6" t="s">
        <v>47</v>
      </c>
      <c r="E1360" s="277" t="s">
        <v>1102</v>
      </c>
      <c r="F1360" s="278">
        <v>1520640.0000000002</v>
      </c>
      <c r="G1360" s="278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6" t="s">
        <v>47</v>
      </c>
      <c r="E1361" s="277" t="s">
        <v>1102</v>
      </c>
      <c r="F1361" s="278">
        <v>1518000.0000000002</v>
      </c>
      <c r="G1361" s="278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6" t="s">
        <v>47</v>
      </c>
      <c r="E1362" s="277" t="s">
        <v>1102</v>
      </c>
      <c r="F1362" s="278">
        <v>1343760.0000000002</v>
      </c>
      <c r="G1362" s="278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6" t="s">
        <v>47</v>
      </c>
      <c r="E1363" s="277" t="s">
        <v>1102</v>
      </c>
      <c r="F1363" s="278">
        <v>7945699.5772913285</v>
      </c>
      <c r="G1363" s="278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6" t="s">
        <v>48</v>
      </c>
      <c r="E1364" s="277"/>
      <c r="F1364" s="278">
        <v>0</v>
      </c>
      <c r="G1364" s="278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6" t="s">
        <v>48</v>
      </c>
      <c r="E1365" s="277"/>
      <c r="F1365" s="278">
        <v>0</v>
      </c>
      <c r="G1365" s="278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6" t="s">
        <v>47</v>
      </c>
      <c r="E1366" s="277" t="s">
        <v>1102</v>
      </c>
      <c r="F1366" s="278">
        <v>3426000</v>
      </c>
      <c r="G1366" s="278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6" t="s">
        <v>47</v>
      </c>
      <c r="E1367" s="277" t="s">
        <v>1102</v>
      </c>
      <c r="F1367" s="278">
        <v>2880000</v>
      </c>
      <c r="G1367" s="278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6" t="s">
        <v>47</v>
      </c>
      <c r="E1368" s="277" t="s">
        <v>1102</v>
      </c>
      <c r="F1368" s="278">
        <v>2649600</v>
      </c>
      <c r="G1368" s="278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6" t="s">
        <v>47</v>
      </c>
      <c r="E1369" s="277" t="s">
        <v>1102</v>
      </c>
      <c r="F1369" s="278">
        <v>1971600</v>
      </c>
      <c r="G1369" s="278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6" t="s">
        <v>47</v>
      </c>
      <c r="E1370" s="277" t="s">
        <v>1102</v>
      </c>
      <c r="F1370" s="278">
        <v>1340400</v>
      </c>
      <c r="G1370" s="278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6" t="s">
        <v>47</v>
      </c>
      <c r="E1371" s="277" t="s">
        <v>1102</v>
      </c>
      <c r="F1371" s="278">
        <v>2682000</v>
      </c>
      <c r="G1371" s="278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6" t="s">
        <v>47</v>
      </c>
      <c r="E1372" s="277" t="s">
        <v>1102</v>
      </c>
      <c r="F1372" s="278">
        <v>2148000</v>
      </c>
      <c r="G1372" s="278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6" t="s">
        <v>48</v>
      </c>
      <c r="E1373" s="277"/>
      <c r="F1373" s="278">
        <v>0</v>
      </c>
      <c r="G1373" s="278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6" t="s">
        <v>48</v>
      </c>
      <c r="E1374" s="277"/>
      <c r="F1374" s="278">
        <v>0</v>
      </c>
      <c r="G1374" s="278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6" t="s">
        <v>47</v>
      </c>
      <c r="E1375" s="277" t="s">
        <v>14</v>
      </c>
      <c r="F1375" s="278">
        <v>213420</v>
      </c>
      <c r="G1375" s="278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6" t="s">
        <v>47</v>
      </c>
      <c r="E1376" s="277" t="s">
        <v>14</v>
      </c>
      <c r="F1376" s="278">
        <v>207840</v>
      </c>
      <c r="G1376" s="278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6" t="s">
        <v>47</v>
      </c>
      <c r="E1377" s="277" t="s">
        <v>14</v>
      </c>
      <c r="F1377" s="278">
        <v>342990</v>
      </c>
      <c r="G1377" s="278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6" t="s">
        <v>47</v>
      </c>
      <c r="E1378" s="277" t="s">
        <v>14</v>
      </c>
      <c r="F1378" s="278">
        <v>709680</v>
      </c>
      <c r="G1378" s="278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6" t="s">
        <v>47</v>
      </c>
      <c r="E1379" s="277" t="s">
        <v>14</v>
      </c>
      <c r="F1379" s="278">
        <v>1771980</v>
      </c>
      <c r="G1379" s="278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6" t="s">
        <v>47</v>
      </c>
      <c r="E1380" s="277" t="s">
        <v>14</v>
      </c>
      <c r="F1380" s="278">
        <v>976440</v>
      </c>
      <c r="G1380" s="278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6" t="s">
        <v>47</v>
      </c>
      <c r="E1381" s="277" t="s">
        <v>14</v>
      </c>
      <c r="F1381" s="278">
        <v>2211900</v>
      </c>
      <c r="G1381" s="278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6" t="s">
        <v>47</v>
      </c>
      <c r="E1382" s="277" t="s">
        <v>14</v>
      </c>
      <c r="F1382" s="278">
        <v>2270640</v>
      </c>
      <c r="G1382" s="278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6" t="s">
        <v>47</v>
      </c>
      <c r="E1383" s="277" t="s">
        <v>14</v>
      </c>
      <c r="F1383" s="278">
        <v>2476740</v>
      </c>
      <c r="G1383" s="278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6" t="s">
        <v>48</v>
      </c>
      <c r="E1384" s="277"/>
      <c r="F1384" s="278">
        <v>0</v>
      </c>
      <c r="G1384" s="278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6" t="s">
        <v>48</v>
      </c>
      <c r="E1385" s="277"/>
      <c r="F1385" s="278">
        <v>0</v>
      </c>
      <c r="G1385" s="278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6" t="s">
        <v>47</v>
      </c>
      <c r="E1386" s="277" t="s">
        <v>100</v>
      </c>
      <c r="F1386" s="278">
        <v>220260.49029487889</v>
      </c>
      <c r="G1386" s="278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6" t="s">
        <v>47</v>
      </c>
      <c r="E1387" s="277" t="s">
        <v>100</v>
      </c>
      <c r="F1387" s="278">
        <v>220260.49029487889</v>
      </c>
      <c r="G1387" s="278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6" t="s">
        <v>47</v>
      </c>
      <c r="E1388" s="277" t="s">
        <v>100</v>
      </c>
      <c r="F1388" s="278">
        <v>250977.08928157968</v>
      </c>
      <c r="G1388" s="278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6" t="s">
        <v>47</v>
      </c>
      <c r="E1389" s="277" t="s">
        <v>100</v>
      </c>
      <c r="F1389" s="278">
        <v>289200</v>
      </c>
      <c r="G1389" s="278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6" t="s">
        <v>47</v>
      </c>
      <c r="E1390" s="277" t="s">
        <v>100</v>
      </c>
      <c r="F1390" s="278">
        <v>277947.76156258525</v>
      </c>
      <c r="G1390" s="278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6" t="s">
        <v>47</v>
      </c>
      <c r="E1391" s="277" t="s">
        <v>100</v>
      </c>
      <c r="F1391" s="278">
        <v>309000</v>
      </c>
      <c r="G1391" s="278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6" t="s">
        <v>47</v>
      </c>
      <c r="E1392" s="277" t="s">
        <v>100</v>
      </c>
      <c r="F1392" s="278">
        <v>277947.76156258525</v>
      </c>
      <c r="G1392" s="278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6" t="s">
        <v>47</v>
      </c>
      <c r="E1393" s="277" t="s">
        <v>100</v>
      </c>
      <c r="F1393" s="278">
        <v>345600</v>
      </c>
      <c r="G1393" s="278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6" t="s">
        <v>47</v>
      </c>
      <c r="E1394" s="277" t="s">
        <v>100</v>
      </c>
      <c r="F1394" s="278">
        <v>438273.42456634069</v>
      </c>
      <c r="G1394" s="278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6" t="s">
        <v>47</v>
      </c>
      <c r="E1395" s="277" t="s">
        <v>100</v>
      </c>
      <c r="F1395" s="278">
        <v>384600</v>
      </c>
      <c r="G1395" s="278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6" t="s">
        <v>47</v>
      </c>
      <c r="E1396" s="277" t="s">
        <v>100</v>
      </c>
      <c r="F1396" s="278">
        <v>466742.46752962429</v>
      </c>
      <c r="G1396" s="278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6" t="s">
        <v>47</v>
      </c>
      <c r="E1397" s="277" t="s">
        <v>100</v>
      </c>
      <c r="F1397" s="278">
        <v>466742.46752962429</v>
      </c>
      <c r="G1397" s="278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6" t="s">
        <v>47</v>
      </c>
      <c r="E1398" s="277" t="s">
        <v>100</v>
      </c>
      <c r="F1398" s="278">
        <v>513941.14402138407</v>
      </c>
      <c r="G1398" s="278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6" t="s">
        <v>47</v>
      </c>
      <c r="E1399" s="277" t="s">
        <v>100</v>
      </c>
      <c r="F1399" s="278">
        <v>502200</v>
      </c>
      <c r="G1399" s="278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6" t="s">
        <v>47</v>
      </c>
      <c r="E1400" s="277" t="s">
        <v>100</v>
      </c>
      <c r="F1400" s="278">
        <v>580618.63938275899</v>
      </c>
      <c r="G1400" s="278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6" t="s">
        <v>47</v>
      </c>
      <c r="E1401" s="277" t="s">
        <v>100</v>
      </c>
      <c r="F1401" s="278">
        <v>522000</v>
      </c>
      <c r="G1401" s="278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6" t="s">
        <v>47</v>
      </c>
      <c r="E1402" s="277" t="s">
        <v>100</v>
      </c>
      <c r="F1402" s="278">
        <v>768051.19018409075</v>
      </c>
      <c r="G1402" s="278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6" t="s">
        <v>47</v>
      </c>
      <c r="E1403" s="277" t="s">
        <v>100</v>
      </c>
      <c r="F1403" s="278">
        <v>768051.19018409075</v>
      </c>
      <c r="G1403" s="278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6" t="s">
        <v>47</v>
      </c>
      <c r="E1404" s="277" t="s">
        <v>100</v>
      </c>
      <c r="F1404" s="278">
        <v>755996.11696758063</v>
      </c>
      <c r="G1404" s="278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6" t="s">
        <v>47</v>
      </c>
      <c r="E1405" s="277" t="s">
        <v>100</v>
      </c>
      <c r="F1405" s="278">
        <v>589800</v>
      </c>
      <c r="G1405" s="278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6" t="s">
        <v>47</v>
      </c>
      <c r="E1406" s="277" t="s">
        <v>100</v>
      </c>
      <c r="F1406" s="278">
        <v>832055.45603276498</v>
      </c>
      <c r="G1406" s="278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6" t="s">
        <v>47</v>
      </c>
      <c r="E1407" s="277" t="s">
        <v>100</v>
      </c>
      <c r="F1407" s="278">
        <v>636000</v>
      </c>
      <c r="G1407" s="278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6" t="s">
        <v>47</v>
      </c>
      <c r="E1408" s="277" t="s">
        <v>100</v>
      </c>
      <c r="F1408" s="278">
        <v>842833.50878142437</v>
      </c>
      <c r="G1408" s="278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6" t="s">
        <v>47</v>
      </c>
      <c r="E1409" s="277" t="s">
        <v>100</v>
      </c>
      <c r="F1409" s="278">
        <v>762000</v>
      </c>
      <c r="G1409" s="278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6" t="s">
        <v>47</v>
      </c>
      <c r="E1410" s="277" t="s">
        <v>100</v>
      </c>
      <c r="F1410" s="278">
        <v>902019.15073140874</v>
      </c>
      <c r="G1410" s="278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6" t="s">
        <v>47</v>
      </c>
      <c r="E1411" s="277" t="s">
        <v>100</v>
      </c>
      <c r="F1411" s="278">
        <v>902019.15073140874</v>
      </c>
      <c r="G1411" s="278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6" t="s">
        <v>48</v>
      </c>
      <c r="E1412" s="277"/>
      <c r="F1412" s="278">
        <v>0</v>
      </c>
      <c r="G1412" s="278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6" t="s">
        <v>48</v>
      </c>
      <c r="E1413" s="277"/>
      <c r="F1413" s="278">
        <v>0</v>
      </c>
      <c r="G1413" s="278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6" t="s">
        <v>47</v>
      </c>
      <c r="E1414" s="277" t="s">
        <v>14</v>
      </c>
      <c r="F1414" s="278">
        <v>96180</v>
      </c>
      <c r="G1414" s="278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6" t="s">
        <v>47</v>
      </c>
      <c r="E1415" s="277" t="s">
        <v>14</v>
      </c>
      <c r="F1415" s="278">
        <v>257820</v>
      </c>
      <c r="G1415" s="278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6" t="s">
        <v>47</v>
      </c>
      <c r="E1416" s="277" t="s">
        <v>14</v>
      </c>
      <c r="F1416" s="278">
        <v>299160</v>
      </c>
      <c r="G1416" s="278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6" t="s">
        <v>47</v>
      </c>
      <c r="E1417" s="277" t="s">
        <v>14</v>
      </c>
      <c r="F1417" s="278">
        <v>246960</v>
      </c>
      <c r="G1417" s="278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6" t="s">
        <v>47</v>
      </c>
      <c r="E1418" s="277" t="s">
        <v>14</v>
      </c>
      <c r="F1418" s="278">
        <v>286461</v>
      </c>
      <c r="G1418" s="278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6" t="s">
        <v>47</v>
      </c>
      <c r="E1419" s="277" t="s">
        <v>14</v>
      </c>
      <c r="F1419" s="278">
        <v>259308</v>
      </c>
      <c r="G1419" s="278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6" t="s">
        <v>47</v>
      </c>
      <c r="E1420" s="277" t="s">
        <v>14</v>
      </c>
      <c r="F1420" s="278">
        <v>300784.05</v>
      </c>
      <c r="G1420" s="278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6" t="s">
        <v>47</v>
      </c>
      <c r="E1421" s="277" t="s">
        <v>14</v>
      </c>
      <c r="F1421" s="278">
        <v>300600</v>
      </c>
      <c r="G1421" s="278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6" t="s">
        <v>47</v>
      </c>
      <c r="E1422" s="277" t="s">
        <v>14</v>
      </c>
      <c r="F1422" s="278">
        <v>358140</v>
      </c>
      <c r="G1422" s="278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6" t="s">
        <v>47</v>
      </c>
      <c r="E1423" s="277" t="s">
        <v>14</v>
      </c>
      <c r="F1423" s="278">
        <v>341777.99941898551</v>
      </c>
      <c r="G1423" s="278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6" t="s">
        <v>47</v>
      </c>
      <c r="E1424" s="277" t="s">
        <v>14</v>
      </c>
      <c r="F1424" s="278">
        <v>395879.58401850733</v>
      </c>
      <c r="G1424" s="278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6" t="s">
        <v>47</v>
      </c>
      <c r="E1425" s="277" t="s">
        <v>14</v>
      </c>
      <c r="F1425" s="278">
        <v>6240</v>
      </c>
      <c r="G1425" s="278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6" t="s">
        <v>47</v>
      </c>
      <c r="E1426" s="277" t="s">
        <v>14</v>
      </c>
      <c r="F1426" s="278">
        <v>5760</v>
      </c>
      <c r="G1426" s="278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6" t="s">
        <v>47</v>
      </c>
      <c r="E1427" s="277" t="s">
        <v>297</v>
      </c>
      <c r="F1427" s="278">
        <v>337284.9788645666</v>
      </c>
      <c r="G1427" s="278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6" t="s">
        <v>47</v>
      </c>
      <c r="E1428" s="277" t="s">
        <v>297</v>
      </c>
      <c r="F1428" s="278">
        <v>269827.98309165332</v>
      </c>
      <c r="G1428" s="278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6" t="s">
        <v>47</v>
      </c>
      <c r="E1429" s="277" t="s">
        <v>473</v>
      </c>
      <c r="F1429" s="278">
        <v>420</v>
      </c>
      <c r="G1429" s="278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6" t="s">
        <v>47</v>
      </c>
      <c r="E1430" s="277" t="s">
        <v>473</v>
      </c>
      <c r="F1430" s="278">
        <v>720</v>
      </c>
      <c r="G1430" s="278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6" t="s">
        <v>47</v>
      </c>
      <c r="E1431" s="277" t="s">
        <v>473</v>
      </c>
      <c r="F1431" s="278">
        <v>15300</v>
      </c>
      <c r="G1431" s="278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6" t="s">
        <v>47</v>
      </c>
      <c r="E1432" s="277" t="s">
        <v>473</v>
      </c>
      <c r="F1432" s="278">
        <v>9120</v>
      </c>
      <c r="G1432" s="278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6" t="s">
        <v>47</v>
      </c>
      <c r="E1433" s="277" t="s">
        <v>473</v>
      </c>
      <c r="F1433" s="474">
        <v>2740</v>
      </c>
      <c r="G1433" s="474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6" t="s">
        <v>48</v>
      </c>
      <c r="E1434" s="277"/>
      <c r="F1434" s="278">
        <v>0</v>
      </c>
      <c r="G1434" s="278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6" t="s">
        <v>48</v>
      </c>
      <c r="E1435" s="277"/>
      <c r="F1435" s="278">
        <v>0</v>
      </c>
      <c r="G1435" s="278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6" t="s">
        <v>47</v>
      </c>
      <c r="E1436" s="277" t="s">
        <v>14</v>
      </c>
      <c r="F1436" s="278">
        <v>15000</v>
      </c>
      <c r="G1436" s="278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6" t="s">
        <v>47</v>
      </c>
      <c r="E1437" s="277" t="s">
        <v>14</v>
      </c>
      <c r="F1437" s="278">
        <v>36180</v>
      </c>
      <c r="G1437" s="278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6" t="s">
        <v>47</v>
      </c>
      <c r="E1438" s="277" t="s">
        <v>14</v>
      </c>
      <c r="F1438" s="278">
        <v>32640</v>
      </c>
      <c r="G1438" s="278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6" t="s">
        <v>47</v>
      </c>
      <c r="E1439" s="277" t="s">
        <v>14</v>
      </c>
      <c r="F1439" s="278">
        <v>63840</v>
      </c>
      <c r="G1439" s="278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6" t="s">
        <v>47</v>
      </c>
      <c r="E1440" s="277" t="s">
        <v>14</v>
      </c>
      <c r="F1440" s="278">
        <v>450000</v>
      </c>
      <c r="G1440" s="278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6" t="s">
        <v>47</v>
      </c>
      <c r="E1441" s="277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6" t="s">
        <v>48</v>
      </c>
      <c r="E1442" s="277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6" t="s">
        <v>48</v>
      </c>
      <c r="E1443" s="277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6" t="s">
        <v>47</v>
      </c>
      <c r="E1444" s="277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6" t="s">
        <v>47</v>
      </c>
      <c r="E1445" s="277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6" t="s">
        <v>47</v>
      </c>
      <c r="E1446" s="277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6" t="s">
        <v>47</v>
      </c>
      <c r="E1447" s="277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6" t="s">
        <v>47</v>
      </c>
      <c r="E1448" s="277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6" t="s">
        <v>47</v>
      </c>
      <c r="E1449" s="277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6" t="s">
        <v>47</v>
      </c>
      <c r="E1450" s="277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6" t="s">
        <v>47</v>
      </c>
      <c r="E1451" s="277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6" t="s">
        <v>47</v>
      </c>
      <c r="E1452" s="277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6" t="s">
        <v>47</v>
      </c>
      <c r="E1453" s="277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6" t="s">
        <v>47</v>
      </c>
      <c r="E1454" s="277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6" t="s">
        <v>45</v>
      </c>
      <c r="E1455" s="277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6" t="s">
        <v>47</v>
      </c>
      <c r="E1456" s="277" t="s">
        <v>100</v>
      </c>
      <c r="F1456" s="283">
        <v>750000</v>
      </c>
      <c r="G1456" s="283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6" t="s">
        <v>48</v>
      </c>
      <c r="E1457" s="277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6"/>
      <c r="E1458" s="277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6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6" t="s">
        <v>47</v>
      </c>
      <c r="E1460" s="277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6"/>
      <c r="E1461" s="27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6" t="s">
        <v>47</v>
      </c>
      <c r="E1462" s="277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6" t="s">
        <v>47</v>
      </c>
      <c r="E1463" s="277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6" t="s">
        <v>47</v>
      </c>
      <c r="E1464" s="277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6" t="s">
        <v>47</v>
      </c>
      <c r="E1465" s="277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6"/>
      <c r="E1466" s="277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6"/>
      <c r="E1467" s="277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6" t="s">
        <v>45</v>
      </c>
      <c r="E1468" s="277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6" t="s">
        <v>47</v>
      </c>
      <c r="E1469" s="277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6" t="s">
        <v>48</v>
      </c>
      <c r="E1470" s="277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6"/>
      <c r="E1471" s="277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6" t="s">
        <v>45</v>
      </c>
      <c r="E1472" s="277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6" t="s">
        <v>47</v>
      </c>
      <c r="E1473" s="277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6" t="s">
        <v>48</v>
      </c>
      <c r="E1474" s="277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6" t="s">
        <v>45</v>
      </c>
      <c r="E1475" s="277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6" t="s">
        <v>47</v>
      </c>
      <c r="E1476" s="277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6" t="s">
        <v>48</v>
      </c>
      <c r="E1477" s="27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6" t="s">
        <v>47</v>
      </c>
      <c r="E1478" s="277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75" t="s">
        <v>1426</v>
      </c>
      <c r="D1479" s="276" t="s">
        <v>47</v>
      </c>
      <c r="E1479" s="277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75" t="s">
        <v>1427</v>
      </c>
      <c r="D1480" s="276" t="s">
        <v>47</v>
      </c>
      <c r="E1480" s="277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75" t="s">
        <v>1428</v>
      </c>
      <c r="D1481" s="276" t="s">
        <v>47</v>
      </c>
      <c r="E1481" s="27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75" t="s">
        <v>1429</v>
      </c>
      <c r="D1482" s="276" t="s">
        <v>47</v>
      </c>
      <c r="E1482" s="27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6" t="s">
        <v>47</v>
      </c>
      <c r="E1483" s="27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6" t="s">
        <v>47</v>
      </c>
      <c r="E1484" s="27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75" t="s">
        <v>1431</v>
      </c>
      <c r="D1485" s="276" t="s">
        <v>47</v>
      </c>
      <c r="E1485" s="27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6" t="s">
        <v>48</v>
      </c>
      <c r="E1486" s="277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6"/>
      <c r="E1487" s="277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6" t="s">
        <v>45</v>
      </c>
      <c r="E1488" s="277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6" t="s">
        <v>45</v>
      </c>
      <c r="E1489" s="277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6" t="s">
        <v>45</v>
      </c>
      <c r="E1490" s="277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6" t="s">
        <v>47</v>
      </c>
      <c r="E1491" s="277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6" t="s">
        <v>47</v>
      </c>
      <c r="E1492" s="277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6" t="s">
        <v>47</v>
      </c>
      <c r="E1493" s="277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D6:K6 D1:IV5 N6:IV6 D7:IV7 Q121:IV1454 J108:P1454 Q108:IV117 I108:I117 A108:A117 A1:C7 I9:IV106 I121:I1404 A1495:XFD65536 H1455:IV1457 H1434:I1454 A8:A106 H8:IV8 A121:A1493 H1458:XFD1485 H1486:H1493 A1494:H1494 I1486:XFD1494">
    <cfRule type="cellIs" dxfId="103" priority="163" operator="equal">
      <formula>0</formula>
    </cfRule>
  </conditionalFormatting>
  <conditionalFormatting sqref="M6">
    <cfRule type="cellIs" dxfId="102" priority="140" operator="equal">
      <formula>0</formula>
    </cfRule>
  </conditionalFormatting>
  <conditionalFormatting sqref="A118:A120 I118:I120 Q118:IV120">
    <cfRule type="cellIs" dxfId="101" priority="139" operator="equal">
      <formula>0</formula>
    </cfRule>
  </conditionalFormatting>
  <conditionalFormatting sqref="A107 I107:IV107">
    <cfRule type="cellIs" dxfId="100" priority="138" operator="equal">
      <formula>0</formula>
    </cfRule>
  </conditionalFormatting>
  <conditionalFormatting sqref="H108:H117 H9:H106 H250:H1404 H121:H246">
    <cfRule type="cellIs" dxfId="99" priority="134" operator="equal">
      <formula>0</formula>
    </cfRule>
  </conditionalFormatting>
  <conditionalFormatting sqref="H118:H120">
    <cfRule type="cellIs" dxfId="98" priority="133" operator="equal">
      <formula>0</formula>
    </cfRule>
  </conditionalFormatting>
  <conditionalFormatting sqref="H107">
    <cfRule type="cellIs" dxfId="97" priority="132" operator="equal">
      <formula>0</formula>
    </cfRule>
  </conditionalFormatting>
  <conditionalFormatting sqref="H247:H249">
    <cfRule type="cellIs" dxfId="96" priority="131" operator="equal">
      <formula>0</formula>
    </cfRule>
  </conditionalFormatting>
  <conditionalFormatting sqref="H1412:H1418 H1419:I1420">
    <cfRule type="cellIs" dxfId="95" priority="130" operator="equal">
      <formula>0</formula>
    </cfRule>
  </conditionalFormatting>
  <conditionalFormatting sqref="H1405:H1411">
    <cfRule type="cellIs" dxfId="94" priority="129" operator="equal">
      <formula>0</formula>
    </cfRule>
  </conditionalFormatting>
  <conditionalFormatting sqref="H1421:I1433">
    <cfRule type="cellIs" dxfId="93" priority="128" operator="equal">
      <formula>0</formula>
    </cfRule>
  </conditionalFormatting>
  <conditionalFormatting sqref="I1405:I1418">
    <cfRule type="cellIs" dxfId="92" priority="125" operator="equal">
      <formula>0</formula>
    </cfRule>
  </conditionalFormatting>
  <conditionalFormatting sqref="D8:G8 B1457:E1457 B1468:E1472 B1458:C1459 B1473 D1473:E1473 B1461:C1467 B1460 B1474:E1477 B1486:E1486 C1483:E1484 C1478:E1478 G229:G248 B1051:E1058 G1051:G1058 G1483:G1484 G1486 G1474:G1478 G1468:G1472 G1457 D9:E120 D124:G142 B132:C135 C144:G147 C136:C142 B136:B149 B150:G228 B229:E913 F252:G913 B915:G1001 B914 B1003:G1034 G1060:G1452 D1060:E1452 B1060:C1383">
    <cfRule type="cellIs" dxfId="91" priority="62" operator="equal">
      <formula>0</formula>
    </cfRule>
  </conditionalFormatting>
  <conditionalFormatting sqref="D121:E123">
    <cfRule type="cellIs" dxfId="90" priority="61" operator="equal">
      <formula>0</formula>
    </cfRule>
  </conditionalFormatting>
  <conditionalFormatting sqref="C8 B116:C116 C117:C121 B118 B120 B126:C128 B123:C123 B1384:C1452 C17:C85 B8:B85 B86:C114">
    <cfRule type="cellIs" dxfId="89" priority="57" operator="equal">
      <formula>0</formula>
    </cfRule>
  </conditionalFormatting>
  <conditionalFormatting sqref="B129:C131">
    <cfRule type="cellIs" dxfId="88" priority="56" operator="equal">
      <formula>0</formula>
    </cfRule>
  </conditionalFormatting>
  <conditionalFormatting sqref="B115:C115 B117 B119 B121">
    <cfRule type="cellIs" dxfId="87" priority="55" operator="equal">
      <formula>0</formula>
    </cfRule>
  </conditionalFormatting>
  <conditionalFormatting sqref="G9 G11:G120">
    <cfRule type="cellIs" dxfId="86" priority="60" operator="equal">
      <formula>0</formula>
    </cfRule>
  </conditionalFormatting>
  <conditionalFormatting sqref="G121:G123">
    <cfRule type="cellIs" dxfId="85" priority="59" operator="equal">
      <formula>0</formula>
    </cfRule>
  </conditionalFormatting>
  <conditionalFormatting sqref="G249:G251">
    <cfRule type="cellIs" dxfId="84" priority="58" operator="equal">
      <formula>0</formula>
    </cfRule>
  </conditionalFormatting>
  <conditionalFormatting sqref="C9:C13 C15:C16">
    <cfRule type="cellIs" dxfId="83" priority="54" operator="equal">
      <formula>0</formula>
    </cfRule>
  </conditionalFormatting>
  <conditionalFormatting sqref="C14">
    <cfRule type="cellIs" dxfId="82" priority="53" operator="equal">
      <formula>0</formula>
    </cfRule>
  </conditionalFormatting>
  <conditionalFormatting sqref="B124:C125">
    <cfRule type="cellIs" dxfId="81" priority="52" operator="equal">
      <formula>0</formula>
    </cfRule>
  </conditionalFormatting>
  <conditionalFormatting sqref="B122:C122">
    <cfRule type="cellIs" dxfId="80" priority="51" operator="equal">
      <formula>0</formula>
    </cfRule>
  </conditionalFormatting>
  <conditionalFormatting sqref="B1453:C1455 B1456">
    <cfRule type="cellIs" dxfId="79" priority="50" operator="equal">
      <formula>0</formula>
    </cfRule>
  </conditionalFormatting>
  <conditionalFormatting sqref="D1453:E1455 G1453:G1455">
    <cfRule type="cellIs" dxfId="78" priority="49" operator="equal">
      <formula>0</formula>
    </cfRule>
  </conditionalFormatting>
  <conditionalFormatting sqref="G1473">
    <cfRule type="cellIs" dxfId="77" priority="43" operator="equal">
      <formula>0</formula>
    </cfRule>
  </conditionalFormatting>
  <conditionalFormatting sqref="C1456:E1456 G1456">
    <cfRule type="cellIs" dxfId="76" priority="48" operator="equal">
      <formula>0</formula>
    </cfRule>
  </conditionalFormatting>
  <conditionalFormatting sqref="D1458:E1458 D1461:E1461 D1463:E1467 G1463:G1467 G1461 G1458">
    <cfRule type="cellIs" dxfId="75" priority="47" operator="equal">
      <formula>0</formula>
    </cfRule>
  </conditionalFormatting>
  <conditionalFormatting sqref="D1462:E1462 G1462">
    <cfRule type="cellIs" dxfId="74" priority="46" operator="equal">
      <formula>0</formula>
    </cfRule>
  </conditionalFormatting>
  <conditionalFormatting sqref="C1460">
    <cfRule type="cellIs" dxfId="73" priority="42" operator="equal">
      <formula>0</formula>
    </cfRule>
  </conditionalFormatting>
  <conditionalFormatting sqref="D1459:E1460 G1459:G1460">
    <cfRule type="cellIs" dxfId="72" priority="45" operator="equal">
      <formula>0</formula>
    </cfRule>
  </conditionalFormatting>
  <conditionalFormatting sqref="C1473">
    <cfRule type="cellIs" dxfId="71" priority="44" operator="equal">
      <formula>0</formula>
    </cfRule>
  </conditionalFormatting>
  <conditionalFormatting sqref="C1479:E1479 G1479">
    <cfRule type="cellIs" dxfId="70" priority="41" operator="equal">
      <formula>0</formula>
    </cfRule>
  </conditionalFormatting>
  <conditionalFormatting sqref="C1480:E1480 G1480">
    <cfRule type="cellIs" dxfId="69" priority="40" operator="equal">
      <formula>0</formula>
    </cfRule>
  </conditionalFormatting>
  <conditionalFormatting sqref="C1481:E1481 G1481">
    <cfRule type="cellIs" dxfId="68" priority="39" operator="equal">
      <formula>0</formula>
    </cfRule>
  </conditionalFormatting>
  <conditionalFormatting sqref="C1482:E1482 G1482">
    <cfRule type="cellIs" dxfId="67" priority="38" operator="equal">
      <formula>0</formula>
    </cfRule>
  </conditionalFormatting>
  <conditionalFormatting sqref="C1485:E1485 G1485">
    <cfRule type="cellIs" dxfId="66" priority="37" operator="equal">
      <formula>0</formula>
    </cfRule>
  </conditionalFormatting>
  <conditionalFormatting sqref="B1478:B1485">
    <cfRule type="cellIs" dxfId="65" priority="36" operator="equal">
      <formula>0</formula>
    </cfRule>
  </conditionalFormatting>
  <conditionalFormatting sqref="B1487:E1493 G1487:G1493">
    <cfRule type="cellIs" dxfId="64" priority="35" operator="equal">
      <formula>0</formula>
    </cfRule>
  </conditionalFormatting>
  <conditionalFormatting sqref="F1482">
    <cfRule type="cellIs" dxfId="63" priority="16" operator="equal">
      <formula>0</formula>
    </cfRule>
  </conditionalFormatting>
  <conditionalFormatting sqref="C1035:C1050">
    <cfRule type="cellIs" dxfId="62" priority="31" operator="equal">
      <formula>0</formula>
    </cfRule>
  </conditionalFormatting>
  <conditionalFormatting sqref="G1049">
    <cfRule type="cellIs" dxfId="61" priority="30" operator="equal">
      <formula>0</formula>
    </cfRule>
  </conditionalFormatting>
  <conditionalFormatting sqref="D1035:E1050">
    <cfRule type="cellIs" dxfId="60" priority="34" operator="equal">
      <formula>0</formula>
    </cfRule>
  </conditionalFormatting>
  <conditionalFormatting sqref="B1035:B1050">
    <cfRule type="cellIs" dxfId="59" priority="32" operator="equal">
      <formula>0</formula>
    </cfRule>
  </conditionalFormatting>
  <conditionalFormatting sqref="G1035:G1048 G1050">
    <cfRule type="cellIs" dxfId="58" priority="33" operator="equal">
      <formula>0</formula>
    </cfRule>
  </conditionalFormatting>
  <conditionalFormatting sqref="F1049">
    <cfRule type="cellIs" dxfId="57" priority="12" operator="equal">
      <formula>0</formula>
    </cfRule>
  </conditionalFormatting>
  <conditionalFormatting sqref="F229:F248 F1051:F1058 F1483:F1484 F1486 F1474:F1478 F1468:F1472 F1457 F1060:F1452">
    <cfRule type="cellIs" dxfId="56" priority="29" operator="equal">
      <formula>0</formula>
    </cfRule>
  </conditionalFormatting>
  <conditionalFormatting sqref="F9:F120">
    <cfRule type="cellIs" dxfId="55" priority="28" operator="equal">
      <formula>0</formula>
    </cfRule>
  </conditionalFormatting>
  <conditionalFormatting sqref="F121:F123">
    <cfRule type="cellIs" dxfId="54" priority="27" operator="equal">
      <formula>0</formula>
    </cfRule>
  </conditionalFormatting>
  <conditionalFormatting sqref="F249:F251">
    <cfRule type="cellIs" dxfId="53" priority="26" operator="equal">
      <formula>0</formula>
    </cfRule>
  </conditionalFormatting>
  <conditionalFormatting sqref="F1453:F1455">
    <cfRule type="cellIs" dxfId="52" priority="25" operator="equal">
      <formula>0</formula>
    </cfRule>
  </conditionalFormatting>
  <conditionalFormatting sqref="F1473">
    <cfRule type="cellIs" dxfId="51" priority="20" operator="equal">
      <formula>0</formula>
    </cfRule>
  </conditionalFormatting>
  <conditionalFormatting sqref="F1456">
    <cfRule type="cellIs" dxfId="50" priority="24" operator="equal">
      <formula>0</formula>
    </cfRule>
  </conditionalFormatting>
  <conditionalFormatting sqref="F1463:F1467 F1461 F1458">
    <cfRule type="cellIs" dxfId="49" priority="23" operator="equal">
      <formula>0</formula>
    </cfRule>
  </conditionalFormatting>
  <conditionalFormatting sqref="F1462">
    <cfRule type="cellIs" dxfId="48" priority="22" operator="equal">
      <formula>0</formula>
    </cfRule>
  </conditionalFormatting>
  <conditionalFormatting sqref="F1459:F1460">
    <cfRule type="cellIs" dxfId="47" priority="21" operator="equal">
      <formula>0</formula>
    </cfRule>
  </conditionalFormatting>
  <conditionalFormatting sqref="F1479">
    <cfRule type="cellIs" dxfId="46" priority="19" operator="equal">
      <formula>0</formula>
    </cfRule>
  </conditionalFormatting>
  <conditionalFormatting sqref="F1480">
    <cfRule type="cellIs" dxfId="45" priority="18" operator="equal">
      <formula>0</formula>
    </cfRule>
  </conditionalFormatting>
  <conditionalFormatting sqref="F1481">
    <cfRule type="cellIs" dxfId="44" priority="17" operator="equal">
      <formula>0</formula>
    </cfRule>
  </conditionalFormatting>
  <conditionalFormatting sqref="F1035:F1048 F1050">
    <cfRule type="cellIs" dxfId="43" priority="13" operator="equal">
      <formula>0</formula>
    </cfRule>
  </conditionalFormatting>
  <conditionalFormatting sqref="F1485">
    <cfRule type="cellIs" dxfId="42" priority="15" operator="equal">
      <formula>0</formula>
    </cfRule>
  </conditionalFormatting>
  <conditionalFormatting sqref="F1487:F1493">
    <cfRule type="cellIs" dxfId="41" priority="14" operator="equal">
      <formula>0</formula>
    </cfRule>
  </conditionalFormatting>
  <conditionalFormatting sqref="G10">
    <cfRule type="cellIs" dxfId="40" priority="11" operator="equal">
      <formula>0</formula>
    </cfRule>
  </conditionalFormatting>
  <conditionalFormatting sqref="C143:G143">
    <cfRule type="cellIs" dxfId="39" priority="10" operator="equal">
      <formula>0</formula>
    </cfRule>
  </conditionalFormatting>
  <conditionalFormatting sqref="C148:C149">
    <cfRule type="cellIs" dxfId="38" priority="7" operator="equal">
      <formula>0</formula>
    </cfRule>
  </conditionalFormatting>
  <conditionalFormatting sqref="E148:E149">
    <cfRule type="cellIs" dxfId="37" priority="9" operator="equal">
      <formula>0</formula>
    </cfRule>
  </conditionalFormatting>
  <conditionalFormatting sqref="G148:G149">
    <cfRule type="cellIs" dxfId="36" priority="8" operator="equal">
      <formula>0</formula>
    </cfRule>
  </conditionalFormatting>
  <conditionalFormatting sqref="F148:F149">
    <cfRule type="cellIs" dxfId="35" priority="6" operator="equal">
      <formula>0</formula>
    </cfRule>
  </conditionalFormatting>
  <conditionalFormatting sqref="D148:D149">
    <cfRule type="cellIs" dxfId="34" priority="5" operator="equal">
      <formula>0</formula>
    </cfRule>
  </conditionalFormatting>
  <conditionalFormatting sqref="C914:G914">
    <cfRule type="cellIs" dxfId="33" priority="4" operator="equal">
      <formula>0</formula>
    </cfRule>
  </conditionalFormatting>
  <conditionalFormatting sqref="B1002:G1002">
    <cfRule type="cellIs" dxfId="32" priority="3" operator="equal">
      <formula>0</formula>
    </cfRule>
  </conditionalFormatting>
  <conditionalFormatting sqref="B1059:E1059 G1059">
    <cfRule type="cellIs" dxfId="31" priority="2" operator="equal">
      <formula>0</formula>
    </cfRule>
  </conditionalFormatting>
  <conditionalFormatting sqref="F1059">
    <cfRule type="cellIs" dxfId="30" priority="1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3" sqref="K13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81" t="s">
        <v>1454</v>
      </c>
      <c r="C2" s="581"/>
      <c r="D2" s="581"/>
      <c r="E2" s="581"/>
      <c r="I2" s="206"/>
    </row>
    <row r="3" spans="1:12" s="205" customFormat="1" ht="13.5" customHeight="1" thickBot="1">
      <c r="B3" s="275"/>
      <c r="C3" s="275"/>
      <c r="D3" s="275"/>
      <c r="E3" s="275"/>
      <c r="I3" s="206"/>
    </row>
    <row r="4" spans="1:12" s="205" customFormat="1" ht="29.25" customHeight="1">
      <c r="A4" s="209"/>
      <c r="B4" s="586" t="s">
        <v>1532</v>
      </c>
      <c r="C4" s="587"/>
      <c r="D4" s="587"/>
      <c r="E4" s="588"/>
      <c r="F4" s="432"/>
      <c r="G4" s="432"/>
      <c r="H4" s="433"/>
      <c r="I4" s="550" t="s">
        <v>1533</v>
      </c>
      <c r="J4" s="551"/>
      <c r="K4" s="551"/>
      <c r="L4" s="552"/>
    </row>
    <row r="5" spans="1:12" ht="34.5" customHeight="1">
      <c r="A5" s="204"/>
      <c r="B5" s="435" t="s">
        <v>1379</v>
      </c>
      <c r="C5" s="274" t="s">
        <v>9</v>
      </c>
      <c r="D5" s="582" t="str">
        <f>DATA!D14</f>
        <v>PB MUHLISIN</v>
      </c>
      <c r="E5" s="583"/>
      <c r="F5" s="208"/>
      <c r="G5" s="208"/>
      <c r="I5" s="436" t="s">
        <v>1379</v>
      </c>
      <c r="J5" s="274" t="s">
        <v>9</v>
      </c>
      <c r="K5" s="553" t="str">
        <f>D5</f>
        <v>PB MUHLISIN</v>
      </c>
      <c r="L5" s="554"/>
    </row>
    <row r="6" spans="1:12" ht="31.5" customHeight="1">
      <c r="A6" s="204"/>
      <c r="B6" s="435" t="s">
        <v>1529</v>
      </c>
      <c r="C6" s="274" t="s">
        <v>9</v>
      </c>
      <c r="D6" s="591">
        <f>DATA!D17*1000</f>
        <v>0</v>
      </c>
      <c r="E6" s="592"/>
      <c r="F6" s="208"/>
      <c r="G6" s="208"/>
      <c r="I6" s="436" t="s">
        <v>1530</v>
      </c>
      <c r="J6" s="274" t="s">
        <v>9</v>
      </c>
      <c r="K6" s="555">
        <f>DATA!D20*1000</f>
        <v>33000</v>
      </c>
      <c r="L6" s="556"/>
    </row>
    <row r="7" spans="1:12" ht="30.75" customHeight="1">
      <c r="A7" s="204"/>
      <c r="B7" s="435" t="s">
        <v>1441</v>
      </c>
      <c r="C7" s="274" t="s">
        <v>9</v>
      </c>
      <c r="D7" s="589">
        <f>DATA!D18</f>
        <v>1</v>
      </c>
      <c r="E7" s="590"/>
      <c r="F7" s="434" t="s">
        <v>1453</v>
      </c>
      <c r="I7" s="436" t="s">
        <v>1441</v>
      </c>
      <c r="J7" s="274" t="s">
        <v>9</v>
      </c>
      <c r="K7" s="557">
        <f>DATA!D21</f>
        <v>3</v>
      </c>
      <c r="L7" s="558"/>
    </row>
    <row r="8" spans="1:12" ht="51" customHeight="1">
      <c r="A8" s="204"/>
      <c r="B8" s="435" t="s">
        <v>1442</v>
      </c>
      <c r="C8" s="274" t="s">
        <v>9</v>
      </c>
      <c r="D8" s="589">
        <f>DATA!D19</f>
        <v>220</v>
      </c>
      <c r="E8" s="590"/>
      <c r="F8" s="434" t="s">
        <v>1453</v>
      </c>
      <c r="G8" s="429">
        <v>220</v>
      </c>
      <c r="I8" s="436" t="s">
        <v>1442</v>
      </c>
      <c r="J8" s="274" t="s">
        <v>9</v>
      </c>
      <c r="K8" s="557">
        <f>DATA!D22</f>
        <v>380</v>
      </c>
      <c r="L8" s="558"/>
    </row>
    <row r="9" spans="1:12" ht="30" customHeight="1" thickBot="1">
      <c r="A9" s="204"/>
      <c r="B9" s="441" t="s">
        <v>1541</v>
      </c>
      <c r="C9" s="431" t="s">
        <v>9</v>
      </c>
      <c r="D9" s="584">
        <f>IF(D7=1,D6/(380/3^0.5),(D6/(380*3^0.5)))</f>
        <v>0</v>
      </c>
      <c r="E9" s="585"/>
      <c r="F9" s="207"/>
      <c r="G9" s="430">
        <v>380</v>
      </c>
      <c r="I9" s="442" t="s">
        <v>1541</v>
      </c>
      <c r="J9" s="431" t="s">
        <v>9</v>
      </c>
      <c r="K9" s="561">
        <f>IF(K7=1,K6/(380/3^0.5),(K6/(380*3^0.5)))</f>
        <v>50.138312850678034</v>
      </c>
      <c r="L9" s="562"/>
    </row>
    <row r="10" spans="1:12" ht="24.75" customHeight="1">
      <c r="B10" s="443"/>
      <c r="C10" s="440"/>
      <c r="D10" s="444"/>
      <c r="E10" s="444"/>
      <c r="F10" s="207"/>
      <c r="G10" s="430"/>
      <c r="I10" s="443"/>
      <c r="J10" s="440"/>
      <c r="K10" s="444"/>
      <c r="L10" s="444"/>
    </row>
    <row r="11" spans="1:12" ht="16.5" thickBot="1">
      <c r="B11" s="437" t="s">
        <v>1542</v>
      </c>
      <c r="I11" s="437" t="s">
        <v>1536</v>
      </c>
    </row>
    <row r="12" spans="1:12" ht="34.5" customHeight="1" thickBot="1">
      <c r="A12" s="204"/>
      <c r="B12" s="465" t="s">
        <v>1534</v>
      </c>
      <c r="C12" s="459" t="s">
        <v>9</v>
      </c>
      <c r="D12" s="559" t="s">
        <v>1611</v>
      </c>
      <c r="E12" s="560"/>
      <c r="F12" s="208"/>
      <c r="G12" s="208"/>
      <c r="I12" s="458" t="s">
        <v>1534</v>
      </c>
      <c r="J12" s="459" t="s">
        <v>9</v>
      </c>
      <c r="K12" s="559" t="s">
        <v>1611</v>
      </c>
      <c r="L12" s="560"/>
    </row>
    <row r="13" spans="1:12" ht="31.5" customHeight="1">
      <c r="A13" s="204"/>
      <c r="B13" s="466" t="s">
        <v>1380</v>
      </c>
      <c r="C13" s="446" t="s">
        <v>9</v>
      </c>
      <c r="D13" s="559" t="s">
        <v>1611</v>
      </c>
      <c r="E13" s="560"/>
      <c r="F13" s="208"/>
      <c r="G13" s="208"/>
      <c r="I13" s="460" t="s">
        <v>1380</v>
      </c>
      <c r="J13" s="446" t="s">
        <v>9</v>
      </c>
      <c r="K13" s="559" t="s">
        <v>1611</v>
      </c>
      <c r="L13" s="560"/>
    </row>
    <row r="14" spans="1:12" ht="30.75" customHeight="1">
      <c r="A14" s="204"/>
      <c r="B14" s="466" t="s">
        <v>1535</v>
      </c>
      <c r="C14" s="446" t="s">
        <v>9</v>
      </c>
      <c r="D14" s="563"/>
      <c r="E14" s="564"/>
      <c r="F14" s="434" t="s">
        <v>1453</v>
      </c>
      <c r="G14" s="438">
        <v>50</v>
      </c>
      <c r="I14" s="460" t="s">
        <v>1535</v>
      </c>
      <c r="J14" s="446" t="s">
        <v>9</v>
      </c>
      <c r="K14" s="565"/>
      <c r="L14" s="566"/>
    </row>
    <row r="15" spans="1:12" ht="57" customHeight="1">
      <c r="A15" s="204"/>
      <c r="B15" s="466" t="s">
        <v>1441</v>
      </c>
      <c r="C15" s="446" t="s">
        <v>9</v>
      </c>
      <c r="D15" s="452"/>
      <c r="E15" s="461"/>
      <c r="F15" s="434" t="s">
        <v>1453</v>
      </c>
      <c r="G15" s="438">
        <v>100</v>
      </c>
      <c r="I15" s="460" t="s">
        <v>1441</v>
      </c>
      <c r="J15" s="446" t="s">
        <v>9</v>
      </c>
      <c r="K15" s="452">
        <v>3</v>
      </c>
      <c r="L15" s="461"/>
    </row>
    <row r="16" spans="1:12" ht="44.25" customHeight="1">
      <c r="A16" s="204"/>
      <c r="B16" s="466" t="s">
        <v>1545</v>
      </c>
      <c r="C16" s="446"/>
      <c r="D16" s="567">
        <v>0</v>
      </c>
      <c r="E16" s="568"/>
      <c r="F16" s="434"/>
      <c r="G16" s="438">
        <v>160</v>
      </c>
      <c r="I16" s="460" t="s">
        <v>1537</v>
      </c>
      <c r="J16" s="446" t="s">
        <v>9</v>
      </c>
      <c r="K16" s="571">
        <f>K9</f>
        <v>50.138312850678034</v>
      </c>
      <c r="L16" s="572"/>
    </row>
    <row r="17" spans="1:12" ht="34.5" customHeight="1">
      <c r="A17" s="204"/>
      <c r="B17" s="466" t="s">
        <v>1538</v>
      </c>
      <c r="C17" s="446" t="s">
        <v>9</v>
      </c>
      <c r="D17" s="569">
        <f>IF(D15=1,D14/(20/3^0.5),(D14/(20*3^0.5)))</f>
        <v>0</v>
      </c>
      <c r="E17" s="570"/>
      <c r="F17" s="434" t="s">
        <v>1453</v>
      </c>
      <c r="G17" s="439">
        <v>200</v>
      </c>
      <c r="I17" s="460" t="s">
        <v>1538</v>
      </c>
      <c r="J17" s="446" t="s">
        <v>9</v>
      </c>
      <c r="K17" s="575">
        <f>IF(K15=1,K14/(20/3^0.5),(K14/(20*3^0.5)))</f>
        <v>0</v>
      </c>
      <c r="L17" s="576"/>
    </row>
    <row r="18" spans="1:12" ht="34.5" customHeight="1">
      <c r="A18" s="204"/>
      <c r="B18" s="466" t="s">
        <v>1539</v>
      </c>
      <c r="C18" s="446" t="s">
        <v>9</v>
      </c>
      <c r="D18" s="569">
        <f>IF(D15=1,D14/(380/3^0.5),(D14/(380*3^0.5)))*1000</f>
        <v>0</v>
      </c>
      <c r="E18" s="570"/>
      <c r="F18" s="434" t="s">
        <v>1453</v>
      </c>
      <c r="G18" s="439">
        <v>250</v>
      </c>
      <c r="I18" s="460" t="s">
        <v>1539</v>
      </c>
      <c r="J18" s="446" t="s">
        <v>9</v>
      </c>
      <c r="K18" s="575">
        <f>IF(K15=1,K14/(380/3^0.5),(K14/(380*3^0.5)))*1000</f>
        <v>0</v>
      </c>
      <c r="L18" s="576"/>
    </row>
    <row r="19" spans="1:12" ht="30" customHeight="1">
      <c r="A19" s="204"/>
      <c r="B19" s="467" t="s">
        <v>1531</v>
      </c>
      <c r="C19" s="445" t="s">
        <v>9</v>
      </c>
      <c r="D19" s="569">
        <f>IF(D15=1,D14/(380/3^0.5),(D14/(380*3^0.5)))</f>
        <v>0</v>
      </c>
      <c r="E19" s="570"/>
      <c r="F19" s="207"/>
      <c r="G19" s="430"/>
      <c r="I19" s="462" t="s">
        <v>1531</v>
      </c>
      <c r="J19" s="445" t="s">
        <v>9</v>
      </c>
      <c r="K19" s="575">
        <f>IF(K15=1,K14/(380/3^0.5),(K14/(380*3^0.5)))</f>
        <v>0</v>
      </c>
      <c r="L19" s="576"/>
    </row>
    <row r="20" spans="1:12" ht="30" customHeight="1" thickBot="1">
      <c r="A20" s="204"/>
      <c r="B20" s="468" t="s">
        <v>1540</v>
      </c>
      <c r="C20" s="464" t="s">
        <v>9</v>
      </c>
      <c r="D20" s="593" t="e">
        <f>D16/D18</f>
        <v>#DIV/0!</v>
      </c>
      <c r="E20" s="594"/>
      <c r="F20" s="207"/>
      <c r="G20" s="430"/>
      <c r="I20" s="463" t="s">
        <v>1531</v>
      </c>
      <c r="J20" s="464" t="s">
        <v>9</v>
      </c>
      <c r="K20" s="573" t="e">
        <f>K16/K18</f>
        <v>#DIV/0!</v>
      </c>
      <c r="L20" s="574"/>
    </row>
    <row r="21" spans="1:12" ht="9.75" customHeight="1">
      <c r="A21" s="204"/>
      <c r="B21" s="453" t="s">
        <v>1540</v>
      </c>
      <c r="C21" s="454" t="s">
        <v>9</v>
      </c>
      <c r="D21" s="580">
        <v>1</v>
      </c>
      <c r="E21" s="580"/>
      <c r="F21" s="455"/>
      <c r="G21" s="456"/>
      <c r="H21" s="457"/>
      <c r="I21" s="453" t="s">
        <v>1531</v>
      </c>
      <c r="J21" s="454" t="s">
        <v>9</v>
      </c>
      <c r="K21" s="580">
        <v>1</v>
      </c>
      <c r="L21" s="580"/>
    </row>
    <row r="22" spans="1:12" ht="6.75" customHeight="1">
      <c r="B22" s="443"/>
      <c r="C22" s="440"/>
      <c r="D22" s="451"/>
      <c r="E22" s="451"/>
      <c r="F22" s="207"/>
      <c r="G22" s="430"/>
      <c r="J22" s="440"/>
      <c r="K22" s="451"/>
      <c r="L22" s="451"/>
    </row>
    <row r="23" spans="1:12" ht="15.75" thickBot="1"/>
    <row r="24" spans="1:12" ht="200.25" customHeight="1" thickBot="1">
      <c r="B24" s="577"/>
      <c r="C24" s="578"/>
      <c r="D24" s="578"/>
      <c r="E24" s="579"/>
      <c r="I24" s="577"/>
      <c r="J24" s="578"/>
      <c r="K24" s="578"/>
      <c r="L24" s="579"/>
    </row>
    <row r="26" spans="1:12">
      <c r="D26" s="448"/>
    </row>
    <row r="27" spans="1:12">
      <c r="D27" s="44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Q4 O4">
    <cfRule type="cellIs" dxfId="29" priority="5" stopIfTrue="1" operator="greaterThan">
      <formula>0.89</formula>
    </cfRule>
    <cfRule type="cellIs" dxfId="28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abSelected="1" topLeftCell="A5" zoomScaleNormal="100" workbookViewId="0">
      <selection activeCell="D16" sqref="D16"/>
    </sheetView>
  </sheetViews>
  <sheetFormatPr defaultRowHeight="15"/>
  <cols>
    <col min="1" max="1" width="1.28515625" style="284" customWidth="1"/>
    <col min="2" max="2" width="25.28515625" style="284" customWidth="1"/>
    <col min="3" max="3" width="3.28515625" style="284" customWidth="1"/>
    <col min="4" max="4" width="26.28515625" style="298" customWidth="1"/>
    <col min="5" max="5" width="6.42578125" style="284" customWidth="1"/>
    <col min="6" max="6" width="12" style="284" bestFit="1" customWidth="1"/>
    <col min="7" max="8" width="9.140625" style="284" hidden="1" customWidth="1"/>
    <col min="9" max="9" width="9.140625" style="284"/>
    <col min="10" max="10" width="3.85546875" style="284" customWidth="1"/>
    <col min="11" max="11" width="2.7109375" style="284" customWidth="1"/>
    <col min="12" max="16384" width="9.140625" style="284"/>
  </cols>
  <sheetData>
    <row r="1" spans="2:11" ht="12.75" customHeight="1">
      <c r="B1" s="595"/>
      <c r="C1" s="595"/>
      <c r="D1" s="595"/>
    </row>
    <row r="2" spans="2:11" ht="15.75" customHeight="1">
      <c r="B2" s="285" t="s">
        <v>1443</v>
      </c>
      <c r="C2" s="286"/>
      <c r="D2" s="287"/>
    </row>
    <row r="3" spans="2:11" ht="20.100000000000001" customHeight="1">
      <c r="B3" s="288" t="s">
        <v>1349</v>
      </c>
      <c r="C3" s="289" t="s">
        <v>9</v>
      </c>
      <c r="D3" s="290">
        <v>2022</v>
      </c>
    </row>
    <row r="4" spans="2:11" ht="20.100000000000001" customHeight="1">
      <c r="B4" s="288" t="s">
        <v>1030</v>
      </c>
      <c r="C4" s="289" t="s">
        <v>9</v>
      </c>
      <c r="D4" s="291">
        <v>0.12</v>
      </c>
    </row>
    <row r="5" spans="2:11" ht="20.100000000000001" customHeight="1">
      <c r="B5" s="288" t="s">
        <v>1350</v>
      </c>
      <c r="C5" s="289" t="s">
        <v>9</v>
      </c>
      <c r="D5" s="476">
        <v>1084.1250458865841</v>
      </c>
      <c r="F5" s="472" t="s">
        <v>1605</v>
      </c>
      <c r="K5" s="471"/>
    </row>
    <row r="6" spans="2:11" ht="20.100000000000001" customHeight="1">
      <c r="B6" s="288" t="s">
        <v>1351</v>
      </c>
      <c r="C6" s="289" t="s">
        <v>9</v>
      </c>
      <c r="D6" s="293">
        <v>25</v>
      </c>
      <c r="F6" s="472"/>
    </row>
    <row r="7" spans="2:11" ht="20.100000000000001" customHeight="1">
      <c r="B7" s="288" t="s">
        <v>1352</v>
      </c>
      <c r="C7" s="289" t="s">
        <v>9</v>
      </c>
      <c r="D7" s="294">
        <v>2.2499999999999999E-2</v>
      </c>
    </row>
    <row r="8" spans="2:11" ht="20.100000000000001" customHeight="1">
      <c r="B8" s="288" t="s">
        <v>1444</v>
      </c>
      <c r="C8" s="289" t="s">
        <v>9</v>
      </c>
      <c r="D8" s="295">
        <f>D20-D17</f>
        <v>33</v>
      </c>
    </row>
    <row r="9" spans="2:11" ht="20.100000000000001" customHeight="1">
      <c r="B9" s="288" t="s">
        <v>1445</v>
      </c>
      <c r="C9" s="289" t="s">
        <v>9</v>
      </c>
      <c r="D9" s="295">
        <f>(D8*D25)*1000</f>
        <v>31977000</v>
      </c>
    </row>
    <row r="10" spans="2:11" ht="20.100000000000001" customHeight="1">
      <c r="B10" s="288" t="s">
        <v>1446</v>
      </c>
      <c r="C10" s="289" t="s">
        <v>9</v>
      </c>
      <c r="D10" s="295">
        <f ca="1">RAB!K108</f>
        <v>85672461.498060003</v>
      </c>
    </row>
    <row r="11" spans="2:11" ht="20.100000000000001" customHeight="1">
      <c r="B11" s="288" t="s">
        <v>1356</v>
      </c>
      <c r="C11" s="289" t="s">
        <v>9</v>
      </c>
      <c r="D11" s="292">
        <f ca="1">2%*D10</f>
        <v>1713449.2299612002</v>
      </c>
    </row>
    <row r="12" spans="2:11" ht="9" customHeight="1">
      <c r="B12" s="596"/>
      <c r="C12" s="596"/>
      <c r="D12" s="596"/>
    </row>
    <row r="13" spans="2:11" ht="15.75" customHeight="1">
      <c r="B13" s="296"/>
      <c r="C13" s="296"/>
      <c r="D13" s="296"/>
    </row>
    <row r="14" spans="2:11" ht="33.75" customHeight="1">
      <c r="B14" s="405" t="s">
        <v>1379</v>
      </c>
      <c r="C14" s="406" t="s">
        <v>9</v>
      </c>
      <c r="D14" s="411" t="s">
        <v>1617</v>
      </c>
      <c r="E14" s="297" t="s">
        <v>1453</v>
      </c>
    </row>
    <row r="15" spans="2:11" ht="20.100000000000001" customHeight="1">
      <c r="B15" s="407" t="s">
        <v>1447</v>
      </c>
      <c r="C15" s="408" t="s">
        <v>9</v>
      </c>
      <c r="D15" s="412" t="s">
        <v>1631</v>
      </c>
      <c r="E15" s="297" t="s">
        <v>1453</v>
      </c>
    </row>
    <row r="16" spans="2:11" ht="20.100000000000001" customHeight="1">
      <c r="B16" s="407" t="s">
        <v>1448</v>
      </c>
      <c r="C16" s="408" t="s">
        <v>9</v>
      </c>
      <c r="D16" s="412" t="s">
        <v>1451</v>
      </c>
      <c r="E16" s="297" t="s">
        <v>1453</v>
      </c>
    </row>
    <row r="17" spans="2:5" ht="20.100000000000001" customHeight="1">
      <c r="B17" s="407" t="s">
        <v>1449</v>
      </c>
      <c r="C17" s="408" t="s">
        <v>9</v>
      </c>
      <c r="D17" s="413">
        <v>0</v>
      </c>
      <c r="E17" s="297" t="s">
        <v>1453</v>
      </c>
    </row>
    <row r="18" spans="2:5" ht="20.100000000000001" hidden="1" customHeight="1">
      <c r="B18" s="407" t="s">
        <v>1543</v>
      </c>
      <c r="C18" s="408"/>
      <c r="D18" s="413">
        <f>IF((D17&lt;=11),1,3)</f>
        <v>1</v>
      </c>
      <c r="E18" s="297"/>
    </row>
    <row r="19" spans="2:5" ht="20.100000000000001" hidden="1" customHeight="1">
      <c r="B19" s="407" t="s">
        <v>1544</v>
      </c>
      <c r="C19" s="408"/>
      <c r="D19" s="413">
        <f>IF((D17&lt;=11),220,380)</f>
        <v>220</v>
      </c>
      <c r="E19" s="297"/>
    </row>
    <row r="20" spans="2:5" ht="20.100000000000001" customHeight="1">
      <c r="B20" s="407" t="s">
        <v>1450</v>
      </c>
      <c r="C20" s="408" t="s">
        <v>9</v>
      </c>
      <c r="D20" s="413">
        <v>33</v>
      </c>
      <c r="E20" s="297" t="s">
        <v>1453</v>
      </c>
    </row>
    <row r="21" spans="2:5" ht="20.100000000000001" hidden="1" customHeight="1">
      <c r="B21" s="407" t="s">
        <v>1543</v>
      </c>
      <c r="C21" s="408"/>
      <c r="D21" s="413">
        <f>IF((D20&lt;=11),1,3)</f>
        <v>3</v>
      </c>
      <c r="E21" s="297"/>
    </row>
    <row r="22" spans="2:5" ht="20.100000000000001" hidden="1" customHeight="1">
      <c r="B22" s="407" t="s">
        <v>1544</v>
      </c>
      <c r="C22" s="408"/>
      <c r="D22" s="413">
        <f>IF((D20&lt;=11),220,380)</f>
        <v>380</v>
      </c>
      <c r="E22" s="297"/>
    </row>
    <row r="23" spans="2:5" ht="20.100000000000001" customHeight="1">
      <c r="B23" s="407" t="s">
        <v>1353</v>
      </c>
      <c r="C23" s="408" t="s">
        <v>9</v>
      </c>
      <c r="D23" s="412">
        <v>1444.7</v>
      </c>
      <c r="E23" s="297" t="s">
        <v>1453</v>
      </c>
    </row>
    <row r="24" spans="2:5" ht="20.100000000000001" customHeight="1">
      <c r="B24" s="407" t="s">
        <v>1354</v>
      </c>
      <c r="C24" s="408" t="s">
        <v>9</v>
      </c>
      <c r="D24" s="412">
        <v>1444.7</v>
      </c>
      <c r="E24" s="297" t="s">
        <v>1453</v>
      </c>
    </row>
    <row r="25" spans="2:5" ht="20.100000000000001" customHeight="1">
      <c r="B25" s="407" t="s">
        <v>1452</v>
      </c>
      <c r="C25" s="408" t="s">
        <v>9</v>
      </c>
      <c r="D25" s="413">
        <v>969</v>
      </c>
      <c r="E25" s="297" t="s">
        <v>1453</v>
      </c>
    </row>
    <row r="26" spans="2:5" ht="20.100000000000001" customHeight="1">
      <c r="B26" s="409" t="s">
        <v>1355</v>
      </c>
      <c r="C26" s="410" t="s">
        <v>9</v>
      </c>
      <c r="D26" s="414">
        <v>40</v>
      </c>
      <c r="E26" s="297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22" activePane="bottomLeft" state="frozen"/>
      <selection activeCell="H1093" sqref="H1093"/>
      <selection pane="bottomLeft" activeCell="I43" sqref="I43"/>
    </sheetView>
  </sheetViews>
  <sheetFormatPr defaultRowHeight="15"/>
  <cols>
    <col min="1" max="1" width="5" style="299" customWidth="1"/>
    <col min="2" max="2" width="6.28515625" style="299" customWidth="1"/>
    <col min="3" max="3" width="15.140625" style="299" customWidth="1"/>
    <col min="4" max="4" width="15" style="299" customWidth="1"/>
    <col min="5" max="5" width="15.140625" style="299" bestFit="1" customWidth="1"/>
    <col min="6" max="6" width="12.140625" style="299" bestFit="1" customWidth="1"/>
    <col min="7" max="7" width="10" style="299" bestFit="1" customWidth="1"/>
    <col min="8" max="8" width="15.7109375" style="299" bestFit="1" customWidth="1"/>
    <col min="9" max="9" width="14.140625" style="299" bestFit="1" customWidth="1"/>
    <col min="10" max="10" width="13.85546875" style="299" bestFit="1" customWidth="1"/>
    <col min="11" max="11" width="15.7109375" style="299" customWidth="1"/>
    <col min="12" max="12" width="11.140625" style="299" bestFit="1" customWidth="1"/>
    <col min="13" max="13" width="13.85546875" style="299" bestFit="1" customWidth="1"/>
    <col min="14" max="14" width="12.85546875" style="299" bestFit="1" customWidth="1"/>
    <col min="15" max="15" width="7" style="299" customWidth="1"/>
    <col min="16" max="17" width="12.85546875" style="299" bestFit="1" customWidth="1"/>
    <col min="18" max="18" width="1.28515625" style="299" hidden="1" customWidth="1"/>
    <col min="19" max="19" width="3" style="301" hidden="1" customWidth="1"/>
    <col min="20" max="16384" width="9.140625" style="299"/>
  </cols>
  <sheetData>
    <row r="1" spans="1:21">
      <c r="G1" s="300"/>
    </row>
    <row r="2" spans="1:21">
      <c r="G2" s="300"/>
      <c r="K2" s="300"/>
    </row>
    <row r="3" spans="1:21">
      <c r="B3" s="603" t="s">
        <v>1357</v>
      </c>
      <c r="C3" s="603"/>
      <c r="D3" s="603"/>
      <c r="E3" s="603"/>
      <c r="F3" s="302" t="str">
        <f>DATA!D14</f>
        <v>PB MUHLISIN</v>
      </c>
      <c r="G3" s="300"/>
    </row>
    <row r="4" spans="1:21" ht="7.5" customHeight="1">
      <c r="B4" s="303"/>
      <c r="C4" s="303"/>
      <c r="D4" s="303"/>
      <c r="E4" s="303"/>
      <c r="F4" s="302"/>
      <c r="G4" s="300"/>
    </row>
    <row r="5" spans="1:21" ht="20.100000000000001" customHeight="1">
      <c r="B5" s="597" t="s">
        <v>1349</v>
      </c>
      <c r="C5" s="597" t="s">
        <v>1358</v>
      </c>
      <c r="D5" s="602" t="s">
        <v>1359</v>
      </c>
      <c r="E5" s="602" t="s">
        <v>1360</v>
      </c>
      <c r="F5" s="597" t="s">
        <v>1361</v>
      </c>
      <c r="G5" s="597"/>
      <c r="H5" s="597"/>
      <c r="I5" s="597"/>
      <c r="J5" s="597"/>
      <c r="K5" s="597" t="s">
        <v>1362</v>
      </c>
      <c r="L5" s="597"/>
      <c r="M5" s="304"/>
      <c r="N5" s="600" t="s">
        <v>1363</v>
      </c>
      <c r="O5" s="602" t="s">
        <v>1364</v>
      </c>
      <c r="P5" s="602" t="s">
        <v>1365</v>
      </c>
      <c r="Q5" s="602" t="s">
        <v>1366</v>
      </c>
      <c r="R5" s="305"/>
      <c r="S5" s="306"/>
      <c r="T5" s="598" t="s">
        <v>1367</v>
      </c>
      <c r="U5" s="307"/>
    </row>
    <row r="6" spans="1:21" ht="20.100000000000001" customHeight="1">
      <c r="B6" s="597"/>
      <c r="C6" s="597"/>
      <c r="D6" s="597"/>
      <c r="E6" s="597"/>
      <c r="F6" s="308" t="s">
        <v>1368</v>
      </c>
      <c r="G6" s="308" t="s">
        <v>1369</v>
      </c>
      <c r="H6" s="308" t="s">
        <v>1370</v>
      </c>
      <c r="I6" s="308" t="s">
        <v>1371</v>
      </c>
      <c r="J6" s="308" t="s">
        <v>1032</v>
      </c>
      <c r="K6" s="308" t="s">
        <v>1372</v>
      </c>
      <c r="L6" s="308" t="s">
        <v>1373</v>
      </c>
      <c r="M6" s="308" t="s">
        <v>1032</v>
      </c>
      <c r="N6" s="601"/>
      <c r="O6" s="597"/>
      <c r="P6" s="597"/>
      <c r="Q6" s="597"/>
      <c r="R6" s="305"/>
      <c r="S6" s="306"/>
      <c r="T6" s="597"/>
      <c r="U6" s="309"/>
    </row>
    <row r="7" spans="1:21" ht="20.100000000000001" customHeight="1">
      <c r="A7" s="310">
        <v>0</v>
      </c>
      <c r="B7" s="311">
        <v>2023</v>
      </c>
      <c r="C7" s="469">
        <f>DATA!D8*DATA!D26*4</f>
        <v>5280</v>
      </c>
      <c r="D7" s="313">
        <f>C7*4/24</f>
        <v>880</v>
      </c>
      <c r="E7" s="313">
        <f>C7-D7</f>
        <v>4400</v>
      </c>
      <c r="F7" s="314">
        <f ca="1">DATA!D10/1000000</f>
        <v>85.672461498060002</v>
      </c>
      <c r="G7" s="315">
        <f ca="1">DATA!$D$11/1000000</f>
        <v>1.7134492299612001</v>
      </c>
      <c r="H7" s="315">
        <f>C7*DATA!$D$5/1000000</f>
        <v>5.7241802422811636</v>
      </c>
      <c r="I7" s="315">
        <f>(C7*DATA!$D$5*DATA!$D$7)/1000000</f>
        <v>0.12879405545132619</v>
      </c>
      <c r="J7" s="313">
        <f ca="1">SUM(F7:I7)</f>
        <v>93.238885025753689</v>
      </c>
      <c r="K7" s="316">
        <f>DATA!D9/1000000</f>
        <v>31.977</v>
      </c>
      <c r="L7" s="313">
        <f>((D7*DATA!$D$23)/1000000)+((E7*DATA!$D$24)/1000000)</f>
        <v>7.6280159999999997</v>
      </c>
      <c r="M7" s="313">
        <f>K7+L7</f>
        <v>39.605015999999999</v>
      </c>
      <c r="N7" s="313">
        <f ca="1">M7-J7</f>
        <v>-53.63386902575369</v>
      </c>
      <c r="O7" s="311">
        <v>1</v>
      </c>
      <c r="P7" s="313">
        <f ca="1">O7*N7</f>
        <v>-53.63386902575369</v>
      </c>
      <c r="Q7" s="313">
        <f ca="1">P7</f>
        <v>-53.63386902575369</v>
      </c>
      <c r="S7" s="301" t="str">
        <f ca="1">IF(Q7&lt;0,"a","")</f>
        <v>a</v>
      </c>
      <c r="T7" s="317" t="str">
        <f>IF(Q5&gt;=0,"",IF(Q7&lt;0,"",IF(Q7=0,A7,(A7-(Q7/N7)))))</f>
        <v/>
      </c>
      <c r="U7" s="301"/>
    </row>
    <row r="8" spans="1:21" ht="20.100000000000001" customHeight="1">
      <c r="A8" s="310">
        <f>A7+1</f>
        <v>1</v>
      </c>
      <c r="B8" s="311">
        <f>B7+1</f>
        <v>2024</v>
      </c>
      <c r="C8" s="312">
        <f>DATA!D8*DATA!D26*12</f>
        <v>15840</v>
      </c>
      <c r="D8" s="313">
        <f>C8*4/24</f>
        <v>2640</v>
      </c>
      <c r="E8" s="313">
        <f t="shared" ref="E8:E32" si="0">C8-D8</f>
        <v>13200</v>
      </c>
      <c r="F8" s="311"/>
      <c r="G8" s="315">
        <f ca="1">DATA!$D$11/1000000</f>
        <v>1.7134492299612001</v>
      </c>
      <c r="H8" s="315">
        <f>C8*DATA!$D$5/1000000</f>
        <v>17.17254072684349</v>
      </c>
      <c r="I8" s="315">
        <f>(C8*DATA!$D$5*DATA!$D$7)/1000000</f>
        <v>0.38638216635397854</v>
      </c>
      <c r="J8" s="313">
        <f t="shared" ref="J8:J32" ca="1" si="1">SUM(F8:I8)</f>
        <v>19.272372123158668</v>
      </c>
      <c r="K8" s="318"/>
      <c r="L8" s="313">
        <f>((D8*DATA!$D$23)/1000000)+((E8*DATA!$D$24)/1000000)</f>
        <v>22.884048</v>
      </c>
      <c r="M8" s="313">
        <f t="shared" ref="M8:M32" si="2">K8+L8</f>
        <v>22.884048</v>
      </c>
      <c r="N8" s="313">
        <f ca="1">M8-J8</f>
        <v>3.611675876841332</v>
      </c>
      <c r="O8" s="312">
        <f>1/(1+'[93]Asumsi I'!$C$3)^(KKF!A8)</f>
        <v>0.89285714285714279</v>
      </c>
      <c r="P8" s="313">
        <f ca="1">O8*N8</f>
        <v>3.2247106043226177</v>
      </c>
      <c r="Q8" s="313">
        <f ca="1">Q7+P8</f>
        <v>-50.409158421431073</v>
      </c>
      <c r="S8" s="301" t="str">
        <f t="shared" ref="S8:S32" ca="1" si="3">IF(Q8&lt;0,"a","")</f>
        <v>a</v>
      </c>
      <c r="T8" s="317" t="str">
        <f>IF(Q6&gt;=0,"",IF(Q8&lt;0,"",IF(Q8=0,A8,(A8-(Q8/N8)))))</f>
        <v/>
      </c>
      <c r="U8" s="301"/>
    </row>
    <row r="9" spans="1:21" ht="20.100000000000001" customHeight="1">
      <c r="A9" s="310">
        <f t="shared" ref="A9:B24" si="4">A8+1</f>
        <v>2</v>
      </c>
      <c r="B9" s="311">
        <f t="shared" si="4"/>
        <v>2025</v>
      </c>
      <c r="C9" s="319">
        <f>+C8</f>
        <v>15840</v>
      </c>
      <c r="D9" s="313">
        <f t="shared" ref="D9:D32" si="5">C9*4/24</f>
        <v>2640</v>
      </c>
      <c r="E9" s="313">
        <f t="shared" si="0"/>
        <v>13200</v>
      </c>
      <c r="F9" s="311"/>
      <c r="G9" s="315">
        <f ca="1">DATA!$D$11/1000000</f>
        <v>1.7134492299612001</v>
      </c>
      <c r="H9" s="315">
        <f>C9*DATA!$D$5/1000000</f>
        <v>17.17254072684349</v>
      </c>
      <c r="I9" s="315">
        <f>(C9*DATA!$D$5*DATA!$D$7)/1000000</f>
        <v>0.38638216635397854</v>
      </c>
      <c r="J9" s="313">
        <f t="shared" ca="1" si="1"/>
        <v>19.272372123158668</v>
      </c>
      <c r="K9" s="313"/>
      <c r="L9" s="313">
        <f>((D9*DATA!$D$23)/1000000)+((E9*DATA!$D$24)/1000000)</f>
        <v>22.884048</v>
      </c>
      <c r="M9" s="313">
        <f t="shared" si="2"/>
        <v>22.884048</v>
      </c>
      <c r="N9" s="313">
        <f t="shared" ref="N9:N32" ca="1" si="6">M9-J9</f>
        <v>3.611675876841332</v>
      </c>
      <c r="O9" s="319">
        <f>1/(1+'[93]Asumsi I'!$C$3)^(KKF!A9)</f>
        <v>0.79719387755102034</v>
      </c>
      <c r="P9" s="313">
        <f t="shared" ref="P9:P32" ca="1" si="7">O9*N9</f>
        <v>2.879205896716623</v>
      </c>
      <c r="Q9" s="313">
        <f ca="1">Q8+P9</f>
        <v>-47.529952524714453</v>
      </c>
      <c r="S9" s="301" t="str">
        <f t="shared" ca="1" si="3"/>
        <v>a</v>
      </c>
      <c r="T9" s="317" t="str">
        <f ca="1">IF(Q7&gt;=0,"",IF(Q9&lt;0,"",IF(Q9=0,A9,(A9-(Q9/N9)))))</f>
        <v/>
      </c>
      <c r="U9" s="301"/>
    </row>
    <row r="10" spans="1:21" ht="20.100000000000001" customHeight="1">
      <c r="A10" s="310">
        <f t="shared" si="4"/>
        <v>3</v>
      </c>
      <c r="B10" s="311">
        <f t="shared" si="4"/>
        <v>2026</v>
      </c>
      <c r="C10" s="312">
        <f t="shared" ref="C10:C32" si="8">+C9</f>
        <v>15840</v>
      </c>
      <c r="D10" s="313">
        <f t="shared" si="5"/>
        <v>2640</v>
      </c>
      <c r="E10" s="313">
        <f t="shared" si="0"/>
        <v>13200</v>
      </c>
      <c r="F10" s="311"/>
      <c r="G10" s="315">
        <f ca="1">DATA!$D$11/1000000</f>
        <v>1.7134492299612001</v>
      </c>
      <c r="H10" s="315">
        <f>C10*DATA!$D$5/1000000</f>
        <v>17.17254072684349</v>
      </c>
      <c r="I10" s="315">
        <f>(C10*DATA!$D$5*DATA!$D$7)/1000000</f>
        <v>0.38638216635397854</v>
      </c>
      <c r="J10" s="313">
        <f t="shared" ca="1" si="1"/>
        <v>19.272372123158668</v>
      </c>
      <c r="K10" s="311"/>
      <c r="L10" s="313">
        <f>((D10*DATA!$D$23)/1000000)+((E10*DATA!$D$24)/1000000)</f>
        <v>22.884048</v>
      </c>
      <c r="M10" s="313">
        <f t="shared" si="2"/>
        <v>22.884048</v>
      </c>
      <c r="N10" s="313">
        <f t="shared" ca="1" si="6"/>
        <v>3.611675876841332</v>
      </c>
      <c r="O10" s="312">
        <f>1/(1+'[93]Asumsi I'!$C$3)^(KKF!A10)</f>
        <v>0.71178024781341087</v>
      </c>
      <c r="P10" s="313">
        <f t="shared" ca="1" si="7"/>
        <v>2.5707195506398413</v>
      </c>
      <c r="Q10" s="313">
        <f t="shared" ref="Q10:Q30" ca="1" si="9">Q9+P10</f>
        <v>-44.95923297407461</v>
      </c>
      <c r="S10" s="301" t="str">
        <f t="shared" ca="1" si="3"/>
        <v>a</v>
      </c>
      <c r="T10" s="317" t="str">
        <f t="shared" ref="T10:T32" ca="1" si="10">IF(Q8&gt;=0,"",IF(Q10&lt;0,"",IF(Q10=0,A10,(A10-(Q10/N10)))))</f>
        <v/>
      </c>
      <c r="U10" s="301"/>
    </row>
    <row r="11" spans="1:21" ht="20.100000000000001" customHeight="1">
      <c r="A11" s="310">
        <f t="shared" si="4"/>
        <v>4</v>
      </c>
      <c r="B11" s="311">
        <f t="shared" si="4"/>
        <v>2027</v>
      </c>
      <c r="C11" s="312">
        <f>+C10</f>
        <v>15840</v>
      </c>
      <c r="D11" s="313">
        <f t="shared" si="5"/>
        <v>2640</v>
      </c>
      <c r="E11" s="313">
        <f t="shared" si="0"/>
        <v>13200</v>
      </c>
      <c r="F11" s="311"/>
      <c r="G11" s="315">
        <f ca="1">DATA!$D$11/1000000</f>
        <v>1.7134492299612001</v>
      </c>
      <c r="H11" s="315">
        <f>C11*DATA!$D$5/1000000</f>
        <v>17.17254072684349</v>
      </c>
      <c r="I11" s="315">
        <f>(C11*DATA!$D$5*DATA!$D$7)/1000000</f>
        <v>0.38638216635397854</v>
      </c>
      <c r="J11" s="313">
        <f t="shared" ca="1" si="1"/>
        <v>19.272372123158668</v>
      </c>
      <c r="K11" s="311"/>
      <c r="L11" s="313">
        <f>((D11*DATA!$D$23)/1000000)+((E11*DATA!$D$24)/1000000)</f>
        <v>22.884048</v>
      </c>
      <c r="M11" s="313">
        <f t="shared" si="2"/>
        <v>22.884048</v>
      </c>
      <c r="N11" s="313">
        <f t="shared" ca="1" si="6"/>
        <v>3.611675876841332</v>
      </c>
      <c r="O11" s="312">
        <f>1/(1+'[93]Asumsi I'!$C$3)^(KKF!A11)</f>
        <v>0.63551807840483121</v>
      </c>
      <c r="P11" s="313">
        <f t="shared" ca="1" si="7"/>
        <v>2.2952853130712869</v>
      </c>
      <c r="Q11" s="313">
        <f t="shared" ca="1" si="9"/>
        <v>-42.66394766100332</v>
      </c>
      <c r="S11" s="301" t="str">
        <f t="shared" ca="1" si="3"/>
        <v>a</v>
      </c>
      <c r="T11" s="317" t="str">
        <f t="shared" ca="1" si="10"/>
        <v/>
      </c>
      <c r="U11" s="301"/>
    </row>
    <row r="12" spans="1:21" ht="20.100000000000001" customHeight="1">
      <c r="A12" s="310">
        <f t="shared" si="4"/>
        <v>5</v>
      </c>
      <c r="B12" s="311">
        <f t="shared" si="4"/>
        <v>2028</v>
      </c>
      <c r="C12" s="312">
        <f t="shared" si="8"/>
        <v>15840</v>
      </c>
      <c r="D12" s="313">
        <f t="shared" si="5"/>
        <v>2640</v>
      </c>
      <c r="E12" s="313">
        <f t="shared" si="0"/>
        <v>13200</v>
      </c>
      <c r="F12" s="311"/>
      <c r="G12" s="315">
        <f ca="1">DATA!$D$11/1000000</f>
        <v>1.7134492299612001</v>
      </c>
      <c r="H12" s="315">
        <f>C12*DATA!$D$5/1000000</f>
        <v>17.17254072684349</v>
      </c>
      <c r="I12" s="315">
        <f>(C12*DATA!$D$5*DATA!$D$7)/1000000</f>
        <v>0.38638216635397854</v>
      </c>
      <c r="J12" s="313">
        <f t="shared" ca="1" si="1"/>
        <v>19.272372123158668</v>
      </c>
      <c r="K12" s="311"/>
      <c r="L12" s="313">
        <f>((D12*DATA!$D$23)/1000000)+((E12*DATA!$D$24)/1000000)</f>
        <v>22.884048</v>
      </c>
      <c r="M12" s="313">
        <f t="shared" si="2"/>
        <v>22.884048</v>
      </c>
      <c r="N12" s="313">
        <f t="shared" ca="1" si="6"/>
        <v>3.611675876841332</v>
      </c>
      <c r="O12" s="312">
        <f>1/(1+'[93]Asumsi I'!$C$3)^(KKF!A12)</f>
        <v>0.56742685571859919</v>
      </c>
      <c r="P12" s="313">
        <f t="shared" ca="1" si="7"/>
        <v>2.0493618866707917</v>
      </c>
      <c r="Q12" s="313">
        <f t="shared" ca="1" si="9"/>
        <v>-40.614585774332525</v>
      </c>
      <c r="S12" s="301" t="str">
        <f t="shared" ca="1" si="3"/>
        <v>a</v>
      </c>
      <c r="T12" s="317" t="str">
        <f t="shared" ca="1" si="10"/>
        <v/>
      </c>
      <c r="U12" s="301"/>
    </row>
    <row r="13" spans="1:21" ht="20.100000000000001" customHeight="1">
      <c r="A13" s="310">
        <f t="shared" si="4"/>
        <v>6</v>
      </c>
      <c r="B13" s="311">
        <f t="shared" si="4"/>
        <v>2029</v>
      </c>
      <c r="C13" s="312">
        <f t="shared" si="8"/>
        <v>15840</v>
      </c>
      <c r="D13" s="313">
        <f t="shared" si="5"/>
        <v>2640</v>
      </c>
      <c r="E13" s="313">
        <f t="shared" si="0"/>
        <v>13200</v>
      </c>
      <c r="F13" s="311"/>
      <c r="G13" s="315">
        <f ca="1">DATA!$D$11/1000000</f>
        <v>1.7134492299612001</v>
      </c>
      <c r="H13" s="315">
        <f>C13*DATA!$D$5/1000000</f>
        <v>17.17254072684349</v>
      </c>
      <c r="I13" s="315">
        <f>(C13*DATA!$D$5*DATA!$D$7)/1000000</f>
        <v>0.38638216635397854</v>
      </c>
      <c r="J13" s="313">
        <f t="shared" ca="1" si="1"/>
        <v>19.272372123158668</v>
      </c>
      <c r="K13" s="311"/>
      <c r="L13" s="313">
        <f>((D13*DATA!$D$23)/1000000)+((E13*DATA!$D$24)/1000000)</f>
        <v>22.884048</v>
      </c>
      <c r="M13" s="313">
        <f t="shared" si="2"/>
        <v>22.884048</v>
      </c>
      <c r="N13" s="313">
        <f t="shared" ca="1" si="6"/>
        <v>3.611675876841332</v>
      </c>
      <c r="O13" s="312">
        <f>1/(1+'[93]Asumsi I'!$C$3)^(KKF!A13)</f>
        <v>0.50663112117732068</v>
      </c>
      <c r="P13" s="313">
        <f t="shared" ca="1" si="7"/>
        <v>1.8297873988132067</v>
      </c>
      <c r="Q13" s="313">
        <f t="shared" ca="1" si="9"/>
        <v>-38.784798375519316</v>
      </c>
      <c r="S13" s="301" t="str">
        <f t="shared" ca="1" si="3"/>
        <v>a</v>
      </c>
      <c r="T13" s="317" t="str">
        <f t="shared" ca="1" si="10"/>
        <v/>
      </c>
      <c r="U13" s="301"/>
    </row>
    <row r="14" spans="1:21" ht="20.100000000000001" customHeight="1">
      <c r="A14" s="310">
        <f t="shared" si="4"/>
        <v>7</v>
      </c>
      <c r="B14" s="311">
        <f t="shared" si="4"/>
        <v>2030</v>
      </c>
      <c r="C14" s="312">
        <f t="shared" si="8"/>
        <v>15840</v>
      </c>
      <c r="D14" s="313">
        <f t="shared" si="5"/>
        <v>2640</v>
      </c>
      <c r="E14" s="313">
        <f t="shared" si="0"/>
        <v>13200</v>
      </c>
      <c r="F14" s="311"/>
      <c r="G14" s="315">
        <f ca="1">DATA!$D$11/1000000</f>
        <v>1.7134492299612001</v>
      </c>
      <c r="H14" s="315">
        <f>C14*DATA!$D$5/1000000</f>
        <v>17.17254072684349</v>
      </c>
      <c r="I14" s="315">
        <f>(C14*DATA!$D$5*DATA!$D$7)/1000000</f>
        <v>0.38638216635397854</v>
      </c>
      <c r="J14" s="313">
        <f t="shared" ca="1" si="1"/>
        <v>19.272372123158668</v>
      </c>
      <c r="K14" s="311"/>
      <c r="L14" s="313">
        <f>((D14*DATA!$D$23)/1000000)+((E14*DATA!$D$24)/1000000)</f>
        <v>22.884048</v>
      </c>
      <c r="M14" s="313">
        <f t="shared" si="2"/>
        <v>22.884048</v>
      </c>
      <c r="N14" s="313">
        <f t="shared" ca="1" si="6"/>
        <v>3.611675876841332</v>
      </c>
      <c r="O14" s="312">
        <f>1/(1+'[93]Asumsi I'!$C$3)^(KKF!A14)</f>
        <v>0.45234921533689343</v>
      </c>
      <c r="P14" s="313">
        <f t="shared" ca="1" si="7"/>
        <v>1.633738748940363</v>
      </c>
      <c r="Q14" s="313">
        <f t="shared" ca="1" si="9"/>
        <v>-37.151059626578956</v>
      </c>
      <c r="S14" s="301" t="str">
        <f t="shared" ca="1" si="3"/>
        <v>a</v>
      </c>
      <c r="T14" s="317" t="str">
        <f t="shared" ca="1" si="10"/>
        <v/>
      </c>
      <c r="U14" s="301"/>
    </row>
    <row r="15" spans="1:21" ht="20.100000000000001" customHeight="1">
      <c r="A15" s="310">
        <f t="shared" si="4"/>
        <v>8</v>
      </c>
      <c r="B15" s="311">
        <f t="shared" si="4"/>
        <v>2031</v>
      </c>
      <c r="C15" s="312">
        <f t="shared" si="8"/>
        <v>15840</v>
      </c>
      <c r="D15" s="313">
        <f t="shared" si="5"/>
        <v>2640</v>
      </c>
      <c r="E15" s="313">
        <f t="shared" si="0"/>
        <v>13200</v>
      </c>
      <c r="F15" s="311"/>
      <c r="G15" s="315">
        <f ca="1">DATA!$D$11/1000000</f>
        <v>1.7134492299612001</v>
      </c>
      <c r="H15" s="315">
        <f>C15*DATA!$D$5/1000000</f>
        <v>17.17254072684349</v>
      </c>
      <c r="I15" s="315">
        <f>(C15*DATA!$D$5*DATA!$D$7)/1000000</f>
        <v>0.38638216635397854</v>
      </c>
      <c r="J15" s="313">
        <f t="shared" ca="1" si="1"/>
        <v>19.272372123158668</v>
      </c>
      <c r="K15" s="311"/>
      <c r="L15" s="313">
        <f>((D15*DATA!$D$23)/1000000)+((E15*DATA!$D$24)/1000000)</f>
        <v>22.884048</v>
      </c>
      <c r="M15" s="313">
        <f t="shared" si="2"/>
        <v>22.884048</v>
      </c>
      <c r="N15" s="313">
        <f t="shared" ca="1" si="6"/>
        <v>3.611675876841332</v>
      </c>
      <c r="O15" s="312">
        <f>1/(1+'[93]Asumsi I'!$C$3)^(KKF!A15)</f>
        <v>0.4038832279793691</v>
      </c>
      <c r="P15" s="313">
        <f t="shared" ca="1" si="7"/>
        <v>1.4586953115538954</v>
      </c>
      <c r="Q15" s="313">
        <f t="shared" ca="1" si="9"/>
        <v>-35.69236431502506</v>
      </c>
      <c r="S15" s="301" t="str">
        <f t="shared" ca="1" si="3"/>
        <v>a</v>
      </c>
      <c r="T15" s="317" t="str">
        <f t="shared" ca="1" si="10"/>
        <v/>
      </c>
      <c r="U15" s="301"/>
    </row>
    <row r="16" spans="1:21" ht="20.100000000000001" customHeight="1">
      <c r="A16" s="310">
        <f t="shared" si="4"/>
        <v>9</v>
      </c>
      <c r="B16" s="311">
        <f t="shared" si="4"/>
        <v>2032</v>
      </c>
      <c r="C16" s="312">
        <f t="shared" si="8"/>
        <v>15840</v>
      </c>
      <c r="D16" s="313">
        <f t="shared" si="5"/>
        <v>2640</v>
      </c>
      <c r="E16" s="313">
        <f t="shared" si="0"/>
        <v>13200</v>
      </c>
      <c r="F16" s="311"/>
      <c r="G16" s="315">
        <f ca="1">DATA!$D$11/1000000</f>
        <v>1.7134492299612001</v>
      </c>
      <c r="H16" s="315">
        <f>C16*DATA!$D$5/1000000</f>
        <v>17.17254072684349</v>
      </c>
      <c r="I16" s="315">
        <f>(C16*DATA!$D$5*DATA!$D$7)/1000000</f>
        <v>0.38638216635397854</v>
      </c>
      <c r="J16" s="313">
        <f t="shared" ca="1" si="1"/>
        <v>19.272372123158668</v>
      </c>
      <c r="K16" s="311"/>
      <c r="L16" s="313">
        <f>((D16*DATA!$D$23)/1000000)+((E16*DATA!$D$24)/1000000)</f>
        <v>22.884048</v>
      </c>
      <c r="M16" s="313">
        <f t="shared" si="2"/>
        <v>22.884048</v>
      </c>
      <c r="N16" s="313">
        <f t="shared" ca="1" si="6"/>
        <v>3.611675876841332</v>
      </c>
      <c r="O16" s="312">
        <f>1/(1+'[93]Asumsi I'!$C$3)^(KKF!A16)</f>
        <v>0.36061002498157957</v>
      </c>
      <c r="P16" s="313">
        <f t="shared" ca="1" si="7"/>
        <v>1.302406528173121</v>
      </c>
      <c r="Q16" s="313">
        <f t="shared" ca="1" si="9"/>
        <v>-34.389957786851937</v>
      </c>
      <c r="S16" s="301" t="str">
        <f t="shared" ca="1" si="3"/>
        <v>a</v>
      </c>
      <c r="T16" s="317" t="str">
        <f t="shared" ca="1" si="10"/>
        <v/>
      </c>
      <c r="U16" s="301"/>
    </row>
    <row r="17" spans="1:21" ht="20.100000000000001" customHeight="1">
      <c r="A17" s="310">
        <f t="shared" si="4"/>
        <v>10</v>
      </c>
      <c r="B17" s="311">
        <f t="shared" si="4"/>
        <v>2033</v>
      </c>
      <c r="C17" s="312">
        <f t="shared" si="8"/>
        <v>15840</v>
      </c>
      <c r="D17" s="313">
        <f t="shared" si="5"/>
        <v>2640</v>
      </c>
      <c r="E17" s="313">
        <f t="shared" si="0"/>
        <v>13200</v>
      </c>
      <c r="F17" s="311"/>
      <c r="G17" s="315">
        <f ca="1">DATA!$D$11/1000000</f>
        <v>1.7134492299612001</v>
      </c>
      <c r="H17" s="315">
        <f>C17*DATA!$D$5/1000000</f>
        <v>17.17254072684349</v>
      </c>
      <c r="I17" s="315">
        <f>(C17*DATA!$D$5*DATA!$D$7)/1000000</f>
        <v>0.38638216635397854</v>
      </c>
      <c r="J17" s="313">
        <f t="shared" ca="1" si="1"/>
        <v>19.272372123158668</v>
      </c>
      <c r="K17" s="311"/>
      <c r="L17" s="313">
        <f>((D17*DATA!$D$23)/1000000)+((E17*DATA!$D$24)/1000000)</f>
        <v>22.884048</v>
      </c>
      <c r="M17" s="313">
        <f t="shared" si="2"/>
        <v>22.884048</v>
      </c>
      <c r="N17" s="313">
        <f t="shared" ca="1" si="6"/>
        <v>3.611675876841332</v>
      </c>
      <c r="O17" s="312">
        <f>1/(1+'[93]Asumsi I'!$C$3)^(KKF!A17)</f>
        <v>0.32197323659069599</v>
      </c>
      <c r="P17" s="313">
        <f t="shared" ca="1" si="7"/>
        <v>1.1628629715831436</v>
      </c>
      <c r="Q17" s="313">
        <f t="shared" ca="1" si="9"/>
        <v>-33.227094815268792</v>
      </c>
      <c r="S17" s="301" t="str">
        <f t="shared" ca="1" si="3"/>
        <v>a</v>
      </c>
      <c r="T17" s="317" t="str">
        <f t="shared" ca="1" si="10"/>
        <v/>
      </c>
      <c r="U17" s="301"/>
    </row>
    <row r="18" spans="1:21" ht="20.100000000000001" customHeight="1">
      <c r="A18" s="310">
        <f t="shared" si="4"/>
        <v>11</v>
      </c>
      <c r="B18" s="311">
        <f t="shared" si="4"/>
        <v>2034</v>
      </c>
      <c r="C18" s="312">
        <f t="shared" si="8"/>
        <v>15840</v>
      </c>
      <c r="D18" s="313">
        <f t="shared" si="5"/>
        <v>2640</v>
      </c>
      <c r="E18" s="313">
        <f t="shared" si="0"/>
        <v>13200</v>
      </c>
      <c r="F18" s="311"/>
      <c r="G18" s="315">
        <f ca="1">DATA!$D$11/1000000</f>
        <v>1.7134492299612001</v>
      </c>
      <c r="H18" s="315">
        <f>C18*DATA!$D$5/1000000</f>
        <v>17.17254072684349</v>
      </c>
      <c r="I18" s="315">
        <f>(C18*DATA!$D$5*DATA!$D$7)/1000000</f>
        <v>0.38638216635397854</v>
      </c>
      <c r="J18" s="313">
        <f t="shared" ca="1" si="1"/>
        <v>19.272372123158668</v>
      </c>
      <c r="K18" s="311"/>
      <c r="L18" s="313">
        <f>((D18*DATA!$D$23)/1000000)+((E18*DATA!$D$24)/1000000)</f>
        <v>22.884048</v>
      </c>
      <c r="M18" s="313">
        <f t="shared" si="2"/>
        <v>22.884048</v>
      </c>
      <c r="N18" s="313">
        <f t="shared" ca="1" si="6"/>
        <v>3.611675876841332</v>
      </c>
      <c r="O18" s="312">
        <f>1/(1+'[93]Asumsi I'!$C$3)^(KKF!A18)</f>
        <v>0.28747610409883567</v>
      </c>
      <c r="P18" s="313">
        <f t="shared" ca="1" si="7"/>
        <v>1.0382705103420924</v>
      </c>
      <c r="Q18" s="313">
        <f t="shared" ca="1" si="9"/>
        <v>-32.188824304926698</v>
      </c>
      <c r="S18" s="301" t="str">
        <f t="shared" ca="1" si="3"/>
        <v>a</v>
      </c>
      <c r="T18" s="317" t="str">
        <f t="shared" ca="1" si="10"/>
        <v/>
      </c>
      <c r="U18" s="301"/>
    </row>
    <row r="19" spans="1:21" ht="20.100000000000001" customHeight="1">
      <c r="A19" s="310">
        <f t="shared" si="4"/>
        <v>12</v>
      </c>
      <c r="B19" s="311">
        <f t="shared" si="4"/>
        <v>2035</v>
      </c>
      <c r="C19" s="312">
        <f t="shared" si="8"/>
        <v>15840</v>
      </c>
      <c r="D19" s="313">
        <f t="shared" si="5"/>
        <v>2640</v>
      </c>
      <c r="E19" s="313">
        <f t="shared" si="0"/>
        <v>13200</v>
      </c>
      <c r="F19" s="311"/>
      <c r="G19" s="315">
        <f ca="1">DATA!$D$11/1000000</f>
        <v>1.7134492299612001</v>
      </c>
      <c r="H19" s="315">
        <f>C19*DATA!$D$5/1000000</f>
        <v>17.17254072684349</v>
      </c>
      <c r="I19" s="315">
        <f>(C19*DATA!$D$5*DATA!$D$7)/1000000</f>
        <v>0.38638216635397854</v>
      </c>
      <c r="J19" s="313">
        <f t="shared" ca="1" si="1"/>
        <v>19.272372123158668</v>
      </c>
      <c r="K19" s="311"/>
      <c r="L19" s="313">
        <f>((D19*DATA!$D$23)/1000000)+((E19*DATA!$D$24)/1000000)</f>
        <v>22.884048</v>
      </c>
      <c r="M19" s="313">
        <f t="shared" si="2"/>
        <v>22.884048</v>
      </c>
      <c r="N19" s="313">
        <f t="shared" ca="1" si="6"/>
        <v>3.611675876841332</v>
      </c>
      <c r="O19" s="312">
        <f>1/(1+'[93]Asumsi I'!$C$3)^(KKF!A19)</f>
        <v>0.25667509294538904</v>
      </c>
      <c r="P19" s="313">
        <f t="shared" ca="1" si="7"/>
        <v>0.92702724137686832</v>
      </c>
      <c r="Q19" s="313">
        <f t="shared" ca="1" si="9"/>
        <v>-31.261797063549828</v>
      </c>
      <c r="S19" s="301" t="str">
        <f t="shared" ca="1" si="3"/>
        <v>a</v>
      </c>
      <c r="T19" s="317" t="str">
        <f t="shared" ca="1" si="10"/>
        <v/>
      </c>
      <c r="U19" s="301"/>
    </row>
    <row r="20" spans="1:21" ht="20.100000000000001" customHeight="1">
      <c r="A20" s="310">
        <f t="shared" si="4"/>
        <v>13</v>
      </c>
      <c r="B20" s="311">
        <f t="shared" si="4"/>
        <v>2036</v>
      </c>
      <c r="C20" s="312">
        <f t="shared" si="8"/>
        <v>15840</v>
      </c>
      <c r="D20" s="313">
        <f t="shared" si="5"/>
        <v>2640</v>
      </c>
      <c r="E20" s="313">
        <f t="shared" si="0"/>
        <v>13200</v>
      </c>
      <c r="F20" s="311"/>
      <c r="G20" s="315">
        <f ca="1">DATA!$D$11/1000000</f>
        <v>1.7134492299612001</v>
      </c>
      <c r="H20" s="315">
        <f>C20*DATA!$D$5/1000000</f>
        <v>17.17254072684349</v>
      </c>
      <c r="I20" s="315">
        <f>(C20*DATA!$D$5*DATA!$D$7)/1000000</f>
        <v>0.38638216635397854</v>
      </c>
      <c r="J20" s="313">
        <f t="shared" ca="1" si="1"/>
        <v>19.272372123158668</v>
      </c>
      <c r="K20" s="311"/>
      <c r="L20" s="313">
        <f>((D20*DATA!$D$23)/1000000)+((E20*DATA!$D$24)/1000000)</f>
        <v>22.884048</v>
      </c>
      <c r="M20" s="313">
        <f t="shared" si="2"/>
        <v>22.884048</v>
      </c>
      <c r="N20" s="313">
        <f t="shared" ca="1" si="6"/>
        <v>3.611675876841332</v>
      </c>
      <c r="O20" s="312">
        <f>1/(1+'[93]Asumsi I'!$C$3)^(KKF!A20)</f>
        <v>0.22917419012981158</v>
      </c>
      <c r="P20" s="313">
        <f t="shared" ca="1" si="7"/>
        <v>0.82770289408648934</v>
      </c>
      <c r="Q20" s="313">
        <f t="shared" ca="1" si="9"/>
        <v>-30.434094169463339</v>
      </c>
      <c r="S20" s="301" t="str">
        <f t="shared" ca="1" si="3"/>
        <v>a</v>
      </c>
      <c r="T20" s="317" t="str">
        <f t="shared" ca="1" si="10"/>
        <v/>
      </c>
      <c r="U20" s="301"/>
    </row>
    <row r="21" spans="1:21" ht="20.100000000000001" customHeight="1">
      <c r="A21" s="310">
        <f t="shared" si="4"/>
        <v>14</v>
      </c>
      <c r="B21" s="311">
        <f t="shared" si="4"/>
        <v>2037</v>
      </c>
      <c r="C21" s="312">
        <f t="shared" si="8"/>
        <v>15840</v>
      </c>
      <c r="D21" s="313">
        <f t="shared" si="5"/>
        <v>2640</v>
      </c>
      <c r="E21" s="313">
        <f t="shared" si="0"/>
        <v>13200</v>
      </c>
      <c r="F21" s="311"/>
      <c r="G21" s="315">
        <f ca="1">DATA!$D$11/1000000</f>
        <v>1.7134492299612001</v>
      </c>
      <c r="H21" s="315">
        <f>C21*DATA!$D$5/1000000</f>
        <v>17.17254072684349</v>
      </c>
      <c r="I21" s="315">
        <f>(C21*DATA!$D$5*DATA!$D$7)/1000000</f>
        <v>0.38638216635397854</v>
      </c>
      <c r="J21" s="313">
        <f t="shared" ca="1" si="1"/>
        <v>19.272372123158668</v>
      </c>
      <c r="K21" s="311"/>
      <c r="L21" s="313">
        <f>((D21*DATA!$D$23)/1000000)+((E21*DATA!$D$24)/1000000)</f>
        <v>22.884048</v>
      </c>
      <c r="M21" s="313">
        <f t="shared" si="2"/>
        <v>22.884048</v>
      </c>
      <c r="N21" s="313">
        <f t="shared" ca="1" si="6"/>
        <v>3.611675876841332</v>
      </c>
      <c r="O21" s="312">
        <f>1/(1+'[93]Asumsi I'!$C$3)^(KKF!A21)</f>
        <v>0.20461981261590317</v>
      </c>
      <c r="P21" s="313">
        <f t="shared" ca="1" si="7"/>
        <v>0.73902044114865117</v>
      </c>
      <c r="Q21" s="313">
        <f t="shared" ca="1" si="9"/>
        <v>-29.695073728314689</v>
      </c>
      <c r="S21" s="301" t="str">
        <f t="shared" ca="1" si="3"/>
        <v>a</v>
      </c>
      <c r="T21" s="317" t="str">
        <f t="shared" ca="1" si="10"/>
        <v/>
      </c>
      <c r="U21" s="301"/>
    </row>
    <row r="22" spans="1:21" ht="20.100000000000001" customHeight="1">
      <c r="A22" s="310">
        <f t="shared" si="4"/>
        <v>15</v>
      </c>
      <c r="B22" s="311">
        <f t="shared" si="4"/>
        <v>2038</v>
      </c>
      <c r="C22" s="312">
        <f t="shared" si="8"/>
        <v>15840</v>
      </c>
      <c r="D22" s="313">
        <f t="shared" si="5"/>
        <v>2640</v>
      </c>
      <c r="E22" s="313">
        <f t="shared" si="0"/>
        <v>13200</v>
      </c>
      <c r="F22" s="311"/>
      <c r="G22" s="315">
        <f ca="1">DATA!$D$11/1000000</f>
        <v>1.7134492299612001</v>
      </c>
      <c r="H22" s="315">
        <f>C22*DATA!$D$5/1000000</f>
        <v>17.17254072684349</v>
      </c>
      <c r="I22" s="315">
        <f>(C22*DATA!$D$5*DATA!$D$7)/1000000</f>
        <v>0.38638216635397854</v>
      </c>
      <c r="J22" s="313">
        <f t="shared" ca="1" si="1"/>
        <v>19.272372123158668</v>
      </c>
      <c r="K22" s="311"/>
      <c r="L22" s="313">
        <f>((D22*DATA!$D$23)/1000000)+((E22*DATA!$D$24)/1000000)</f>
        <v>22.884048</v>
      </c>
      <c r="M22" s="313">
        <f t="shared" si="2"/>
        <v>22.884048</v>
      </c>
      <c r="N22" s="313">
        <f t="shared" ca="1" si="6"/>
        <v>3.611675876841332</v>
      </c>
      <c r="O22" s="312">
        <f>1/(1+'[93]Asumsi I'!$C$3)^(KKF!A22)</f>
        <v>0.18269626126419927</v>
      </c>
      <c r="P22" s="313">
        <f t="shared" ca="1" si="7"/>
        <v>0.65983967959700995</v>
      </c>
      <c r="Q22" s="313">
        <f t="shared" ca="1" si="9"/>
        <v>-29.03523404871768</v>
      </c>
      <c r="S22" s="301" t="str">
        <f t="shared" ca="1" si="3"/>
        <v>a</v>
      </c>
      <c r="T22" s="317" t="str">
        <f t="shared" ca="1" si="10"/>
        <v/>
      </c>
      <c r="U22" s="301"/>
    </row>
    <row r="23" spans="1:21" ht="20.100000000000001" customHeight="1">
      <c r="A23" s="310">
        <f t="shared" si="4"/>
        <v>16</v>
      </c>
      <c r="B23" s="311">
        <f t="shared" si="4"/>
        <v>2039</v>
      </c>
      <c r="C23" s="312">
        <f t="shared" si="8"/>
        <v>15840</v>
      </c>
      <c r="D23" s="313">
        <f t="shared" si="5"/>
        <v>2640</v>
      </c>
      <c r="E23" s="313">
        <f t="shared" si="0"/>
        <v>13200</v>
      </c>
      <c r="F23" s="311"/>
      <c r="G23" s="315">
        <f ca="1">DATA!$D$11/1000000</f>
        <v>1.7134492299612001</v>
      </c>
      <c r="H23" s="315">
        <f>C23*DATA!$D$5/1000000</f>
        <v>17.17254072684349</v>
      </c>
      <c r="I23" s="315">
        <f>(C23*DATA!$D$5*DATA!$D$7)/1000000</f>
        <v>0.38638216635397854</v>
      </c>
      <c r="J23" s="313">
        <f t="shared" ca="1" si="1"/>
        <v>19.272372123158668</v>
      </c>
      <c r="K23" s="311"/>
      <c r="L23" s="313">
        <f>((D23*DATA!$D$23)/1000000)+((E23*DATA!$D$24)/1000000)</f>
        <v>22.884048</v>
      </c>
      <c r="M23" s="313">
        <f t="shared" si="2"/>
        <v>22.884048</v>
      </c>
      <c r="N23" s="313">
        <f t="shared" ca="1" si="6"/>
        <v>3.611675876841332</v>
      </c>
      <c r="O23" s="312">
        <f>1/(1+'[93]Asumsi I'!$C$3)^(KKF!A23)</f>
        <v>0.16312166184303503</v>
      </c>
      <c r="P23" s="313">
        <f t="shared" ca="1" si="7"/>
        <v>0.58914257106875878</v>
      </c>
      <c r="Q23" s="313">
        <f t="shared" ca="1" si="9"/>
        <v>-28.44609147764892</v>
      </c>
      <c r="S23" s="301" t="str">
        <f t="shared" ca="1" si="3"/>
        <v>a</v>
      </c>
      <c r="T23" s="317" t="str">
        <f t="shared" ca="1" si="10"/>
        <v/>
      </c>
      <c r="U23" s="301"/>
    </row>
    <row r="24" spans="1:21" ht="20.100000000000001" customHeight="1">
      <c r="A24" s="310">
        <f t="shared" si="4"/>
        <v>17</v>
      </c>
      <c r="B24" s="311">
        <f t="shared" si="4"/>
        <v>2040</v>
      </c>
      <c r="C24" s="312">
        <f t="shared" si="8"/>
        <v>15840</v>
      </c>
      <c r="D24" s="313">
        <f t="shared" si="5"/>
        <v>2640</v>
      </c>
      <c r="E24" s="313">
        <f t="shared" si="0"/>
        <v>13200</v>
      </c>
      <c r="F24" s="311"/>
      <c r="G24" s="315">
        <f ca="1">DATA!$D$11/1000000</f>
        <v>1.7134492299612001</v>
      </c>
      <c r="H24" s="315">
        <f>C24*DATA!$D$5/1000000</f>
        <v>17.17254072684349</v>
      </c>
      <c r="I24" s="315">
        <f>(C24*DATA!$D$5*DATA!$D$7)/1000000</f>
        <v>0.38638216635397854</v>
      </c>
      <c r="J24" s="313">
        <f t="shared" ca="1" si="1"/>
        <v>19.272372123158668</v>
      </c>
      <c r="K24" s="311"/>
      <c r="L24" s="313">
        <f>((D24*DATA!$D$23)/1000000)+((E24*DATA!$D$24)/1000000)</f>
        <v>22.884048</v>
      </c>
      <c r="M24" s="313">
        <f t="shared" si="2"/>
        <v>22.884048</v>
      </c>
      <c r="N24" s="313">
        <f t="shared" ca="1" si="6"/>
        <v>3.611675876841332</v>
      </c>
      <c r="O24" s="312">
        <f>1/(1+'[93]Asumsi I'!$C$3)^(KKF!A24)</f>
        <v>0.14564434093128129</v>
      </c>
      <c r="P24" s="313">
        <f t="shared" ca="1" si="7"/>
        <v>0.52602015273996328</v>
      </c>
      <c r="Q24" s="313">
        <f t="shared" ca="1" si="9"/>
        <v>-27.920071324908957</v>
      </c>
      <c r="S24" s="301" t="str">
        <f t="shared" ca="1" si="3"/>
        <v>a</v>
      </c>
      <c r="T24" s="317" t="str">
        <f t="shared" ca="1" si="10"/>
        <v/>
      </c>
      <c r="U24" s="301"/>
    </row>
    <row r="25" spans="1:21" ht="20.100000000000001" customHeight="1">
      <c r="A25" s="310">
        <f t="shared" ref="A25:B32" si="11">A24+1</f>
        <v>18</v>
      </c>
      <c r="B25" s="311">
        <f t="shared" si="11"/>
        <v>2041</v>
      </c>
      <c r="C25" s="312">
        <f t="shared" si="8"/>
        <v>15840</v>
      </c>
      <c r="D25" s="313">
        <f t="shared" si="5"/>
        <v>2640</v>
      </c>
      <c r="E25" s="313">
        <f t="shared" si="0"/>
        <v>13200</v>
      </c>
      <c r="F25" s="311"/>
      <c r="G25" s="315">
        <f ca="1">DATA!$D$11/1000000</f>
        <v>1.7134492299612001</v>
      </c>
      <c r="H25" s="315">
        <f>C25*DATA!$D$5/1000000</f>
        <v>17.17254072684349</v>
      </c>
      <c r="I25" s="315">
        <f>(C25*DATA!$D$5*DATA!$D$7)/1000000</f>
        <v>0.38638216635397854</v>
      </c>
      <c r="J25" s="313">
        <f t="shared" ca="1" si="1"/>
        <v>19.272372123158668</v>
      </c>
      <c r="K25" s="311"/>
      <c r="L25" s="313">
        <f>((D25*DATA!$D$23)/1000000)+((E25*DATA!$D$24)/1000000)</f>
        <v>22.884048</v>
      </c>
      <c r="M25" s="313">
        <f t="shared" si="2"/>
        <v>22.884048</v>
      </c>
      <c r="N25" s="313">
        <f t="shared" ca="1" si="6"/>
        <v>3.611675876841332</v>
      </c>
      <c r="O25" s="312">
        <f>1/(1+'[93]Asumsi I'!$C$3)^(KKF!A25)</f>
        <v>0.13003959011721541</v>
      </c>
      <c r="P25" s="313">
        <f t="shared" ca="1" si="7"/>
        <v>0.46966085066068136</v>
      </c>
      <c r="Q25" s="313">
        <f t="shared" ca="1" si="9"/>
        <v>-27.450410474248276</v>
      </c>
      <c r="S25" s="301" t="str">
        <f t="shared" ca="1" si="3"/>
        <v>a</v>
      </c>
      <c r="T25" s="317" t="str">
        <f t="shared" ca="1" si="10"/>
        <v/>
      </c>
      <c r="U25" s="301"/>
    </row>
    <row r="26" spans="1:21" ht="20.100000000000001" customHeight="1">
      <c r="A26" s="310">
        <f t="shared" si="11"/>
        <v>19</v>
      </c>
      <c r="B26" s="311">
        <f t="shared" si="11"/>
        <v>2042</v>
      </c>
      <c r="C26" s="312">
        <f t="shared" si="8"/>
        <v>15840</v>
      </c>
      <c r="D26" s="313">
        <f t="shared" si="5"/>
        <v>2640</v>
      </c>
      <c r="E26" s="313">
        <f t="shared" si="0"/>
        <v>13200</v>
      </c>
      <c r="F26" s="311"/>
      <c r="G26" s="315">
        <f ca="1">DATA!$D$11/1000000</f>
        <v>1.7134492299612001</v>
      </c>
      <c r="H26" s="315">
        <f>C26*DATA!$D$5/1000000</f>
        <v>17.17254072684349</v>
      </c>
      <c r="I26" s="315">
        <f>(C26*DATA!$D$5*DATA!$D$7)/1000000</f>
        <v>0.38638216635397854</v>
      </c>
      <c r="J26" s="313">
        <f t="shared" ca="1" si="1"/>
        <v>19.272372123158668</v>
      </c>
      <c r="K26" s="311"/>
      <c r="L26" s="313">
        <f>((D26*DATA!$D$23)/1000000)+((E26*DATA!$D$24)/1000000)</f>
        <v>22.884048</v>
      </c>
      <c r="M26" s="313">
        <f t="shared" si="2"/>
        <v>22.884048</v>
      </c>
      <c r="N26" s="313">
        <f t="shared" ca="1" si="6"/>
        <v>3.611675876841332</v>
      </c>
      <c r="O26" s="312">
        <f>1/(1+'[93]Asumsi I'!$C$3)^(KKF!A26)</f>
        <v>0.1161067768903709</v>
      </c>
      <c r="P26" s="313">
        <f t="shared" ca="1" si="7"/>
        <v>0.4193400452327512</v>
      </c>
      <c r="Q26" s="313">
        <f t="shared" ca="1" si="9"/>
        <v>-27.031070429015525</v>
      </c>
      <c r="S26" s="301" t="str">
        <f t="shared" ca="1" si="3"/>
        <v>a</v>
      </c>
      <c r="T26" s="317" t="str">
        <f t="shared" ca="1" si="10"/>
        <v/>
      </c>
      <c r="U26" s="301"/>
    </row>
    <row r="27" spans="1:21" ht="20.100000000000001" customHeight="1">
      <c r="A27" s="310">
        <f t="shared" si="11"/>
        <v>20</v>
      </c>
      <c r="B27" s="311">
        <f t="shared" si="11"/>
        <v>2043</v>
      </c>
      <c r="C27" s="312">
        <f t="shared" si="8"/>
        <v>15840</v>
      </c>
      <c r="D27" s="313">
        <f t="shared" si="5"/>
        <v>2640</v>
      </c>
      <c r="E27" s="313">
        <f t="shared" si="0"/>
        <v>13200</v>
      </c>
      <c r="F27" s="311"/>
      <c r="G27" s="315">
        <f ca="1">DATA!$D$11/1000000</f>
        <v>1.7134492299612001</v>
      </c>
      <c r="H27" s="315">
        <f>C27*DATA!$D$5/1000000</f>
        <v>17.17254072684349</v>
      </c>
      <c r="I27" s="315">
        <f>(C27*DATA!$D$5*DATA!$D$7)/1000000</f>
        <v>0.38638216635397854</v>
      </c>
      <c r="J27" s="313">
        <f t="shared" ca="1" si="1"/>
        <v>19.272372123158668</v>
      </c>
      <c r="K27" s="311"/>
      <c r="L27" s="313">
        <f>((D27*DATA!$D$23)/1000000)+((E27*DATA!$D$24)/1000000)</f>
        <v>22.884048</v>
      </c>
      <c r="M27" s="313">
        <f t="shared" si="2"/>
        <v>22.884048</v>
      </c>
      <c r="N27" s="313">
        <f t="shared" ca="1" si="6"/>
        <v>3.611675876841332</v>
      </c>
      <c r="O27" s="312">
        <f>1/(1+'[93]Asumsi I'!$C$3)^(KKF!A27)</f>
        <v>0.1036667650806883</v>
      </c>
      <c r="P27" s="313">
        <f t="shared" ca="1" si="7"/>
        <v>0.37441075467209928</v>
      </c>
      <c r="Q27" s="313">
        <f t="shared" ca="1" si="9"/>
        <v>-26.656659674343427</v>
      </c>
      <c r="S27" s="301" t="str">
        <f t="shared" ca="1" si="3"/>
        <v>a</v>
      </c>
      <c r="T27" s="317" t="str">
        <f t="shared" ca="1" si="10"/>
        <v/>
      </c>
      <c r="U27" s="301"/>
    </row>
    <row r="28" spans="1:21" ht="20.100000000000001" customHeight="1">
      <c r="A28" s="310">
        <f t="shared" si="11"/>
        <v>21</v>
      </c>
      <c r="B28" s="311">
        <f t="shared" si="11"/>
        <v>2044</v>
      </c>
      <c r="C28" s="312">
        <f t="shared" si="8"/>
        <v>15840</v>
      </c>
      <c r="D28" s="313">
        <f t="shared" si="5"/>
        <v>2640</v>
      </c>
      <c r="E28" s="313">
        <f t="shared" si="0"/>
        <v>13200</v>
      </c>
      <c r="F28" s="311"/>
      <c r="G28" s="315">
        <f ca="1">DATA!$D$11/1000000</f>
        <v>1.7134492299612001</v>
      </c>
      <c r="H28" s="315">
        <f>C28*DATA!$D$5/1000000</f>
        <v>17.17254072684349</v>
      </c>
      <c r="I28" s="315">
        <f>(C28*DATA!$D$5*DATA!$D$7)/1000000</f>
        <v>0.38638216635397854</v>
      </c>
      <c r="J28" s="313">
        <f t="shared" ca="1" si="1"/>
        <v>19.272372123158668</v>
      </c>
      <c r="K28" s="311"/>
      <c r="L28" s="313">
        <f>((D28*DATA!$D$23)/1000000)+((E28*DATA!$D$24)/1000000)</f>
        <v>22.884048</v>
      </c>
      <c r="M28" s="313">
        <f t="shared" si="2"/>
        <v>22.884048</v>
      </c>
      <c r="N28" s="313">
        <f t="shared" ca="1" si="6"/>
        <v>3.611675876841332</v>
      </c>
      <c r="O28" s="312">
        <f>1/(1+'[93]Asumsi I'!$C$3)^(KKF!A28)</f>
        <v>9.2559611679185971E-2</v>
      </c>
      <c r="P28" s="313">
        <f t="shared" ca="1" si="7"/>
        <v>0.33429531667151718</v>
      </c>
      <c r="Q28" s="313">
        <f t="shared" ca="1" si="9"/>
        <v>-26.322364357671908</v>
      </c>
      <c r="S28" s="301" t="str">
        <f t="shared" ca="1" si="3"/>
        <v>a</v>
      </c>
      <c r="T28" s="317" t="str">
        <f t="shared" ca="1" si="10"/>
        <v/>
      </c>
      <c r="U28" s="301"/>
    </row>
    <row r="29" spans="1:21" ht="20.100000000000001" customHeight="1">
      <c r="A29" s="310">
        <f t="shared" si="11"/>
        <v>22</v>
      </c>
      <c r="B29" s="311">
        <f t="shared" si="11"/>
        <v>2045</v>
      </c>
      <c r="C29" s="312">
        <f t="shared" si="8"/>
        <v>15840</v>
      </c>
      <c r="D29" s="313">
        <f t="shared" si="5"/>
        <v>2640</v>
      </c>
      <c r="E29" s="313">
        <f t="shared" si="0"/>
        <v>13200</v>
      </c>
      <c r="F29" s="311"/>
      <c r="G29" s="315">
        <f ca="1">DATA!$D$11/1000000</f>
        <v>1.7134492299612001</v>
      </c>
      <c r="H29" s="315">
        <f>C29*DATA!$D$5/1000000</f>
        <v>17.17254072684349</v>
      </c>
      <c r="I29" s="315">
        <f>(C29*DATA!$D$5*DATA!$D$7)/1000000</f>
        <v>0.38638216635397854</v>
      </c>
      <c r="J29" s="313">
        <f t="shared" ca="1" si="1"/>
        <v>19.272372123158668</v>
      </c>
      <c r="K29" s="311"/>
      <c r="L29" s="313">
        <f>((D29*DATA!$D$23)/1000000)+((E29*DATA!$D$24)/1000000)</f>
        <v>22.884048</v>
      </c>
      <c r="M29" s="313">
        <f t="shared" si="2"/>
        <v>22.884048</v>
      </c>
      <c r="N29" s="313">
        <f t="shared" ca="1" si="6"/>
        <v>3.611675876841332</v>
      </c>
      <c r="O29" s="312">
        <f>1/(1+'[93]Asumsi I'!$C$3)^(KKF!A29)</f>
        <v>8.2642510427844609E-2</v>
      </c>
      <c r="P29" s="313">
        <f t="shared" ca="1" si="7"/>
        <v>0.29847796131385462</v>
      </c>
      <c r="Q29" s="313">
        <f t="shared" ca="1" si="9"/>
        <v>-26.023886396358055</v>
      </c>
      <c r="S29" s="301" t="str">
        <f t="shared" ca="1" si="3"/>
        <v>a</v>
      </c>
      <c r="T29" s="317" t="str">
        <f t="shared" ca="1" si="10"/>
        <v/>
      </c>
      <c r="U29" s="301"/>
    </row>
    <row r="30" spans="1:21" ht="20.100000000000001" customHeight="1">
      <c r="A30" s="310">
        <f t="shared" si="11"/>
        <v>23</v>
      </c>
      <c r="B30" s="311">
        <f t="shared" si="11"/>
        <v>2046</v>
      </c>
      <c r="C30" s="312">
        <f t="shared" si="8"/>
        <v>15840</v>
      </c>
      <c r="D30" s="313">
        <f t="shared" si="5"/>
        <v>2640</v>
      </c>
      <c r="E30" s="313">
        <f t="shared" si="0"/>
        <v>13200</v>
      </c>
      <c r="F30" s="311"/>
      <c r="G30" s="315">
        <f ca="1">DATA!$D$11/1000000</f>
        <v>1.7134492299612001</v>
      </c>
      <c r="H30" s="315">
        <f>C30*DATA!$D$5/1000000</f>
        <v>17.17254072684349</v>
      </c>
      <c r="I30" s="315">
        <f>(C30*DATA!$D$5*DATA!$D$7)/1000000</f>
        <v>0.38638216635397854</v>
      </c>
      <c r="J30" s="313">
        <f t="shared" ca="1" si="1"/>
        <v>19.272372123158668</v>
      </c>
      <c r="K30" s="311"/>
      <c r="L30" s="313">
        <f>((D30*DATA!$D$23)/1000000)+((E30*DATA!$D$24)/1000000)</f>
        <v>22.884048</v>
      </c>
      <c r="M30" s="313">
        <f t="shared" si="2"/>
        <v>22.884048</v>
      </c>
      <c r="N30" s="313">
        <f t="shared" ca="1" si="6"/>
        <v>3.611675876841332</v>
      </c>
      <c r="O30" s="312">
        <f>1/(1+'[93]Asumsi I'!$C$3)^(KKF!A30)</f>
        <v>7.3787955739146982E-2</v>
      </c>
      <c r="P30" s="313">
        <f t="shared" ca="1" si="7"/>
        <v>0.26649817974451306</v>
      </c>
      <c r="Q30" s="313">
        <f t="shared" ca="1" si="9"/>
        <v>-25.757388216613542</v>
      </c>
      <c r="S30" s="301" t="str">
        <f t="shared" ca="1" si="3"/>
        <v>a</v>
      </c>
      <c r="T30" s="317" t="str">
        <f t="shared" ca="1" si="10"/>
        <v/>
      </c>
      <c r="U30" s="301"/>
    </row>
    <row r="31" spans="1:21" ht="20.100000000000001" customHeight="1">
      <c r="A31" s="310">
        <f t="shared" si="11"/>
        <v>24</v>
      </c>
      <c r="B31" s="311">
        <f t="shared" si="11"/>
        <v>2047</v>
      </c>
      <c r="C31" s="312">
        <f t="shared" si="8"/>
        <v>15840</v>
      </c>
      <c r="D31" s="313">
        <f t="shared" si="5"/>
        <v>2640</v>
      </c>
      <c r="E31" s="313">
        <f t="shared" si="0"/>
        <v>13200</v>
      </c>
      <c r="F31" s="311"/>
      <c r="G31" s="315">
        <f ca="1">DATA!$D$11/1000000</f>
        <v>1.7134492299612001</v>
      </c>
      <c r="H31" s="315">
        <f>C31*DATA!$D$5/1000000</f>
        <v>17.17254072684349</v>
      </c>
      <c r="I31" s="315">
        <f>(C31*DATA!$D$5*DATA!$D$7)/1000000</f>
        <v>0.38638216635397854</v>
      </c>
      <c r="J31" s="313">
        <f t="shared" ca="1" si="1"/>
        <v>19.272372123158668</v>
      </c>
      <c r="K31" s="311"/>
      <c r="L31" s="313">
        <f>((D31*DATA!$D$23)/1000000)+((E31*DATA!$D$24)/1000000)</f>
        <v>22.884048</v>
      </c>
      <c r="M31" s="313">
        <f t="shared" si="2"/>
        <v>22.884048</v>
      </c>
      <c r="N31" s="313">
        <f t="shared" ca="1" si="6"/>
        <v>3.611675876841332</v>
      </c>
      <c r="O31" s="312">
        <f>1/(1+'[93]Asumsi I'!$C$3)^(KKF!A31)</f>
        <v>6.5882103338524081E-2</v>
      </c>
      <c r="P31" s="313">
        <f t="shared" ca="1" si="7"/>
        <v>0.23794480334331519</v>
      </c>
      <c r="Q31" s="313">
        <f ca="1">Q30+P31</f>
        <v>-25.519443413270228</v>
      </c>
      <c r="S31" s="301" t="str">
        <f t="shared" ca="1" si="3"/>
        <v>a</v>
      </c>
      <c r="T31" s="317" t="str">
        <f t="shared" ca="1" si="10"/>
        <v/>
      </c>
      <c r="U31" s="301"/>
    </row>
    <row r="32" spans="1:21" ht="20.100000000000001" customHeight="1">
      <c r="A32" s="310">
        <f t="shared" si="11"/>
        <v>25</v>
      </c>
      <c r="B32" s="311">
        <f>B30+1</f>
        <v>2047</v>
      </c>
      <c r="C32" s="312">
        <f t="shared" si="8"/>
        <v>15840</v>
      </c>
      <c r="D32" s="313">
        <f t="shared" si="5"/>
        <v>2640</v>
      </c>
      <c r="E32" s="313">
        <f t="shared" si="0"/>
        <v>13200</v>
      </c>
      <c r="F32" s="311"/>
      <c r="G32" s="315">
        <f ca="1">DATA!$D$11/1000000</f>
        <v>1.7134492299612001</v>
      </c>
      <c r="H32" s="315">
        <f>C32*DATA!$D$5/1000000</f>
        <v>17.17254072684349</v>
      </c>
      <c r="I32" s="315">
        <f>(C32*DATA!$D$5*DATA!$D$7)/1000000</f>
        <v>0.38638216635397854</v>
      </c>
      <c r="J32" s="313">
        <f t="shared" ca="1" si="1"/>
        <v>19.272372123158668</v>
      </c>
      <c r="K32" s="311"/>
      <c r="L32" s="313">
        <f>((D32*DATA!$D$23)/1000000)+((E32*DATA!$D$24)/1000000)</f>
        <v>22.884048</v>
      </c>
      <c r="M32" s="313">
        <f t="shared" si="2"/>
        <v>22.884048</v>
      </c>
      <c r="N32" s="313">
        <f t="shared" ca="1" si="6"/>
        <v>3.611675876841332</v>
      </c>
      <c r="O32" s="312">
        <f>1/(1+'[93]Asumsi I'!$C$3)^(KKF!A32)</f>
        <v>5.8823306552253637E-2</v>
      </c>
      <c r="P32" s="313">
        <f t="shared" ca="1" si="7"/>
        <v>0.21245071727081713</v>
      </c>
      <c r="Q32" s="313">
        <f ca="1">Q31+P32</f>
        <v>-25.306992695999412</v>
      </c>
      <c r="S32" s="301" t="str">
        <f t="shared" ca="1" si="3"/>
        <v>a</v>
      </c>
      <c r="T32" s="317" t="str">
        <f t="shared" ca="1" si="10"/>
        <v/>
      </c>
      <c r="U32" s="301"/>
    </row>
    <row r="33" spans="2:22" ht="20.100000000000001" customHeight="1">
      <c r="B33" s="320"/>
      <c r="C33" s="320"/>
      <c r="D33" s="320"/>
      <c r="E33" s="320"/>
      <c r="F33" s="599" t="s">
        <v>1374</v>
      </c>
      <c r="G33" s="599"/>
      <c r="H33" s="599"/>
      <c r="I33" s="321"/>
      <c r="J33" s="322">
        <f ca="1">SUM(J7:J32)</f>
        <v>575.04818810472057</v>
      </c>
      <c r="K33" s="599" t="s">
        <v>1375</v>
      </c>
      <c r="L33" s="599"/>
      <c r="M33" s="322">
        <f>SUM(M7:M32)</f>
        <v>611.70621600000015</v>
      </c>
      <c r="N33" s="320"/>
      <c r="O33" s="320"/>
      <c r="P33" s="323"/>
      <c r="Q33" s="323"/>
      <c r="S33" s="301">
        <f ca="1">COUNTIF(S7:S32,"a")</f>
        <v>26</v>
      </c>
    </row>
    <row r="34" spans="2:22" ht="20.100000000000001" customHeight="1">
      <c r="B34" s="320"/>
      <c r="C34" s="320"/>
      <c r="D34" s="320"/>
      <c r="E34" s="320"/>
      <c r="F34" s="324"/>
      <c r="G34" s="324"/>
      <c r="H34" s="324"/>
      <c r="I34" s="324"/>
      <c r="J34" s="325"/>
      <c r="K34" s="324"/>
      <c r="L34" s="324"/>
      <c r="M34" s="325"/>
      <c r="N34" s="320"/>
      <c r="O34" s="320"/>
      <c r="P34" s="326" t="s">
        <v>1376</v>
      </c>
      <c r="Q34" s="327">
        <f ca="1">+J7/N32</f>
        <v>25.815961399974171</v>
      </c>
      <c r="V34" s="328"/>
    </row>
    <row r="35" spans="2:22" ht="20.100000000000001" customHeight="1">
      <c r="B35" s="320"/>
      <c r="C35" s="320"/>
      <c r="D35" s="320"/>
      <c r="E35" s="320"/>
      <c r="F35" s="324"/>
      <c r="G35" s="324"/>
      <c r="H35" s="324"/>
      <c r="I35" s="324"/>
      <c r="J35" s="325"/>
      <c r="K35" s="324"/>
      <c r="L35" s="324"/>
      <c r="M35" s="325"/>
      <c r="N35" s="320"/>
      <c r="O35" s="320"/>
      <c r="P35" s="326" t="s">
        <v>1377</v>
      </c>
      <c r="Q35" s="329" t="e">
        <f ca="1">AVERAGE(T7:T32)</f>
        <v>#DIV/0!</v>
      </c>
    </row>
    <row r="36" spans="2:22" ht="20.100000000000001" customHeight="1">
      <c r="B36" s="320"/>
      <c r="C36" s="320"/>
      <c r="D36" s="320"/>
      <c r="E36" s="320"/>
      <c r="F36" s="324"/>
      <c r="G36" s="324"/>
      <c r="H36" s="324"/>
      <c r="I36" s="324"/>
      <c r="J36" s="325"/>
      <c r="K36" s="324"/>
      <c r="L36" s="324"/>
      <c r="M36" s="325"/>
      <c r="N36" s="320"/>
      <c r="O36" s="320"/>
      <c r="P36" s="326" t="s">
        <v>1378</v>
      </c>
      <c r="Q36" s="330">
        <f ca="1">M33/J33</f>
        <v>1.0637477495861685</v>
      </c>
    </row>
    <row r="37" spans="2:22" ht="20.100000000000001" customHeight="1">
      <c r="B37" s="320"/>
      <c r="C37" s="320"/>
      <c r="D37" s="320"/>
      <c r="E37" s="320"/>
      <c r="F37" s="324"/>
      <c r="G37" s="324"/>
      <c r="H37" s="324"/>
      <c r="I37" s="324"/>
      <c r="J37" s="325"/>
      <c r="K37" s="324"/>
      <c r="L37" s="324"/>
      <c r="M37" s="325"/>
      <c r="N37" s="320"/>
      <c r="O37" s="320"/>
      <c r="P37" s="326" t="s">
        <v>1028</v>
      </c>
      <c r="Q37" s="331">
        <f ca="1">+NPV(0.12,N7:N32)</f>
        <v>-22.595529192856617</v>
      </c>
    </row>
    <row r="38" spans="2:22" ht="20.100000000000001" customHeight="1">
      <c r="B38" s="320"/>
      <c r="C38" s="320"/>
      <c r="D38" s="320"/>
      <c r="E38" s="320"/>
      <c r="F38" s="324"/>
      <c r="G38" s="324"/>
      <c r="H38" s="324"/>
      <c r="I38" s="324"/>
      <c r="J38" s="325"/>
      <c r="K38" s="324"/>
      <c r="L38" s="324"/>
      <c r="M38" s="325"/>
      <c r="N38" s="320"/>
      <c r="O38" s="320"/>
      <c r="P38" s="326" t="s">
        <v>1029</v>
      </c>
      <c r="Q38" s="332">
        <f ca="1">IRR(N7:N32,DATA!D4)</f>
        <v>4.4856511398154941E-2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Q7:Q32">
    <cfRule type="cellIs" dxfId="27" priority="3" operator="lessThan">
      <formula>0</formula>
    </cfRule>
    <cfRule type="cellIs" dxfId="26" priority="4" operator="lessThan">
      <formula>0</formula>
    </cfRule>
    <cfRule type="cellIs" dxfId="25" priority="5" operator="lessThan">
      <formula>-6395.81</formula>
    </cfRule>
    <cfRule type="cellIs" dxfId="24" priority="6" operator="lessThan">
      <formula>0</formula>
    </cfRule>
  </conditionalFormatting>
  <conditionalFormatting sqref="K7">
    <cfRule type="cellIs" dxfId="23" priority="1" stopIfTrue="1" operator="greaterThanOrEqual">
      <formula>$F$7</formula>
    </cfRule>
    <cfRule type="cellIs" dxfId="22" priority="2" stopIfTrue="1" operator="lessThan">
      <formula>$F$7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23"/>
  <sheetViews>
    <sheetView showGridLines="0" zoomScale="85" zoomScaleNormal="85" zoomScaleSheetLayoutView="70" workbookViewId="0">
      <pane ySplit="13" topLeftCell="A15" activePane="bottomLeft" state="frozen"/>
      <selection activeCell="H1093" sqref="H1093"/>
      <selection pane="bottomLeft" activeCell="C23" sqref="C23"/>
    </sheetView>
  </sheetViews>
  <sheetFormatPr defaultRowHeight="15"/>
  <cols>
    <col min="1" max="1" width="8.28515625" style="333" customWidth="1"/>
    <col min="2" max="2" width="5.140625" style="334" customWidth="1"/>
    <col min="3" max="3" width="53.42578125" style="399" customWidth="1"/>
    <col min="4" max="4" width="13.7109375" style="399" customWidth="1"/>
    <col min="5" max="5" width="12.5703125" style="337" customWidth="1"/>
    <col min="6" max="6" width="7.7109375" style="337" customWidth="1"/>
    <col min="7" max="7" width="12.7109375" style="337" customWidth="1"/>
    <col min="8" max="8" width="18.140625" style="338" customWidth="1"/>
    <col min="9" max="9" width="16.7109375" style="338" customWidth="1"/>
    <col min="10" max="11" width="16.7109375" style="339" customWidth="1"/>
    <col min="12" max="12" width="3.7109375" style="339" customWidth="1"/>
    <col min="13" max="13" width="14" style="339" customWidth="1"/>
    <col min="14" max="14" width="15" style="339" customWidth="1"/>
    <col min="15" max="15" width="9.140625" style="340" customWidth="1"/>
    <col min="16" max="16" width="12.7109375" style="341" customWidth="1"/>
    <col min="17" max="17" width="12.7109375" style="340" customWidth="1"/>
    <col min="18" max="18" width="2.42578125" style="340" customWidth="1"/>
    <col min="19" max="22" width="10.85546875" style="340" customWidth="1"/>
    <col min="23" max="24" width="9.140625" style="340" customWidth="1"/>
    <col min="25" max="16384" width="9.140625" style="340"/>
  </cols>
  <sheetData>
    <row r="1" spans="1:22">
      <c r="C1" s="335" t="s">
        <v>1009</v>
      </c>
      <c r="D1" s="336"/>
      <c r="U1" s="333"/>
    </row>
    <row r="2" spans="1:22">
      <c r="C2" s="335" t="s">
        <v>1348</v>
      </c>
      <c r="D2" s="336"/>
      <c r="T2" s="341"/>
      <c r="U2" s="342" t="s">
        <v>1036</v>
      </c>
      <c r="V2" s="341"/>
    </row>
    <row r="3" spans="1:22">
      <c r="C3" s="335" t="s">
        <v>1440</v>
      </c>
      <c r="D3" s="336"/>
      <c r="O3" s="622" t="s">
        <v>1036</v>
      </c>
      <c r="P3" s="622"/>
      <c r="Q3" s="343"/>
      <c r="T3" s="341"/>
      <c r="U3" s="342" t="s">
        <v>1041</v>
      </c>
      <c r="V3" s="341"/>
    </row>
    <row r="4" spans="1:22" ht="15.75" customHeight="1">
      <c r="B4" s="623" t="s">
        <v>1023</v>
      </c>
      <c r="C4" s="623"/>
      <c r="D4" s="623"/>
      <c r="E4" s="623"/>
      <c r="F4" s="623"/>
      <c r="G4" s="623"/>
      <c r="H4" s="623"/>
      <c r="I4" s="623"/>
      <c r="J4" s="623"/>
      <c r="K4" s="623"/>
      <c r="O4" s="622"/>
      <c r="P4" s="622"/>
      <c r="T4" s="341"/>
      <c r="U4" s="341"/>
      <c r="V4" s="341"/>
    </row>
    <row r="5" spans="1:22">
      <c r="C5" s="344"/>
      <c r="D5" s="336"/>
      <c r="T5" s="341"/>
      <c r="U5" s="342"/>
      <c r="V5" s="341"/>
    </row>
    <row r="6" spans="1:22">
      <c r="C6" s="344"/>
      <c r="D6" s="336"/>
      <c r="E6" s="345" t="s">
        <v>1037</v>
      </c>
      <c r="F6" s="346" t="s">
        <v>9</v>
      </c>
      <c r="G6" s="606" t="str">
        <f>DATA!D14</f>
        <v>PB MUHLISIN</v>
      </c>
      <c r="H6" s="606"/>
      <c r="I6" s="606"/>
      <c r="J6" s="606"/>
      <c r="K6" s="606"/>
      <c r="T6" s="341"/>
      <c r="U6" s="342"/>
      <c r="V6" s="341"/>
    </row>
    <row r="7" spans="1:22">
      <c r="C7" s="344"/>
      <c r="D7" s="336"/>
      <c r="E7" s="345" t="s">
        <v>1038</v>
      </c>
      <c r="F7" s="346" t="s">
        <v>9</v>
      </c>
      <c r="G7" s="345" t="s">
        <v>1621</v>
      </c>
      <c r="J7" s="347"/>
      <c r="T7" s="341"/>
      <c r="U7" s="342"/>
      <c r="V7" s="341"/>
    </row>
    <row r="8" spans="1:22">
      <c r="C8" s="344"/>
      <c r="D8" s="336"/>
      <c r="E8" s="345" t="s">
        <v>1039</v>
      </c>
      <c r="F8" s="346" t="s">
        <v>9</v>
      </c>
      <c r="G8" s="345" t="s">
        <v>1440</v>
      </c>
      <c r="J8" s="347"/>
      <c r="T8" s="341"/>
      <c r="U8" s="342"/>
      <c r="V8" s="341"/>
    </row>
    <row r="9" spans="1:22">
      <c r="C9" s="344"/>
      <c r="D9" s="336"/>
      <c r="E9" s="345" t="s">
        <v>1040</v>
      </c>
      <c r="F9" s="346" t="s">
        <v>9</v>
      </c>
      <c r="G9" s="345" t="s">
        <v>1546</v>
      </c>
      <c r="J9" s="347"/>
      <c r="T9" s="341"/>
      <c r="U9" s="342"/>
      <c r="V9" s="341"/>
    </row>
    <row r="10" spans="1:22" ht="15.75" thickBot="1">
      <c r="C10" s="336"/>
      <c r="D10" s="336"/>
      <c r="T10" s="341"/>
      <c r="U10" s="341"/>
      <c r="V10" s="341"/>
    </row>
    <row r="11" spans="1:22" ht="21" customHeight="1">
      <c r="B11" s="625" t="s">
        <v>0</v>
      </c>
      <c r="C11" s="627" t="s">
        <v>1</v>
      </c>
      <c r="D11" s="616" t="s">
        <v>42</v>
      </c>
      <c r="E11" s="616" t="s">
        <v>43</v>
      </c>
      <c r="F11" s="616" t="s">
        <v>2</v>
      </c>
      <c r="G11" s="630" t="s">
        <v>41</v>
      </c>
      <c r="H11" s="616" t="s">
        <v>3</v>
      </c>
      <c r="I11" s="616"/>
      <c r="J11" s="616"/>
      <c r="K11" s="617"/>
      <c r="O11" s="348"/>
      <c r="P11" s="349"/>
      <c r="Q11" s="348"/>
      <c r="S11" s="350"/>
      <c r="T11" s="351"/>
      <c r="U11" s="351"/>
      <c r="V11" s="351"/>
    </row>
    <row r="12" spans="1:22" ht="15" customHeight="1">
      <c r="B12" s="626"/>
      <c r="C12" s="628"/>
      <c r="D12" s="620"/>
      <c r="E12" s="620"/>
      <c r="F12" s="620"/>
      <c r="G12" s="631"/>
      <c r="H12" s="618" t="s">
        <v>46</v>
      </c>
      <c r="I12" s="618" t="s">
        <v>5</v>
      </c>
      <c r="J12" s="620" t="s">
        <v>47</v>
      </c>
      <c r="K12" s="621" t="s">
        <v>4</v>
      </c>
      <c r="O12" s="349"/>
      <c r="P12" s="349"/>
      <c r="Q12" s="349"/>
      <c r="S12" s="350"/>
      <c r="T12" s="350"/>
      <c r="U12" s="350"/>
      <c r="V12" s="350"/>
    </row>
    <row r="13" spans="1:22" ht="15" customHeight="1">
      <c r="B13" s="626"/>
      <c r="C13" s="629"/>
      <c r="D13" s="620"/>
      <c r="E13" s="620"/>
      <c r="F13" s="620"/>
      <c r="G13" s="632"/>
      <c r="H13" s="619"/>
      <c r="I13" s="619"/>
      <c r="J13" s="620"/>
      <c r="K13" s="621"/>
      <c r="O13" s="352"/>
      <c r="P13" s="352"/>
      <c r="Q13" s="352"/>
      <c r="S13" s="350"/>
      <c r="T13" s="350"/>
      <c r="U13" s="350"/>
      <c r="V13" s="350"/>
    </row>
    <row r="14" spans="1:22" s="360" customFormat="1" ht="15.75" customHeight="1">
      <c r="A14" s="333"/>
      <c r="B14" s="482" t="s">
        <v>480</v>
      </c>
      <c r="C14" s="483" t="s">
        <v>1606</v>
      </c>
      <c r="D14" s="353" t="str">
        <f ca="1">IF(ISERROR(OFFSET('HARGA SATUAN'!$D$6,MATCH(RAB!C14,'HARGA SATUAN'!$C$7:$C$1492,0),0)),"",OFFSET('HARGA SATUAN'!$D$6,MATCH(RAB!C14,'HARGA SATUAN'!$C$7:$C$1492,0),0))</f>
        <v/>
      </c>
      <c r="E14" s="354" t="str">
        <f ca="1">IF(B14="+","Unit",IF(ISERROR(OFFSET('HARGA SATUAN'!$E$6,MATCH(RAB!C14,'HARGA SATUAN'!$C$7:$C$1492,0),0)),"",OFFSET('HARGA SATUAN'!$E$6,MATCH(RAB!C14,'HARGA SATUAN'!$C$7:$C$1492,0),0)))</f>
        <v/>
      </c>
      <c r="F14" s="361"/>
      <c r="G14" s="355">
        <f ca="1">IF(ISERROR(OFFSET('HARGA SATUAN'!$I$6,MATCH(RAB!C14,'HARGA SATUAN'!$C$7:$C$1492,0),0)),0,OFFSET('HARGA SATUAN'!$I$6,MATCH(RAB!C14,'HARGA SATUAN'!$C$7:$C$1492,0),0))</f>
        <v>0</v>
      </c>
      <c r="H14" s="356">
        <f t="shared" ref="H14" ca="1" si="0">IF(OR(D14="MDU",D14="MDU-KD"),(IF($O$3="RAB NON MDU","PLN KD",G14*F14)),0)</f>
        <v>0</v>
      </c>
      <c r="I14" s="356">
        <f t="shared" ref="I14" ca="1" si="1">IF(D14="HDW",G14*F14,0)</f>
        <v>0</v>
      </c>
      <c r="J14" s="356">
        <f t="shared" ref="J14" ca="1" si="2">IF(D14="JASA",G14*F14,0)</f>
        <v>0</v>
      </c>
      <c r="K14" s="357">
        <f t="shared" ref="K14" ca="1" si="3">SUM(H14:J14)</f>
        <v>0</v>
      </c>
      <c r="L14" s="339"/>
      <c r="M14" s="339"/>
      <c r="N14" s="339"/>
      <c r="O14" s="358"/>
      <c r="P14" s="358"/>
      <c r="Q14" s="341"/>
      <c r="R14" s="333"/>
      <c r="S14" s="359"/>
      <c r="T14" s="338"/>
      <c r="U14" s="338"/>
      <c r="V14" s="338"/>
    </row>
    <row r="15" spans="1:22" s="363" customFormat="1">
      <c r="A15" s="333" t="e">
        <f>IF(AND(C15=0,#REF!=0,#REF!=0),"BLANKS",1)</f>
        <v>#REF!</v>
      </c>
      <c r="B15" s="484"/>
      <c r="C15" s="109"/>
      <c r="D15" s="353" t="str">
        <f ca="1">IF(ISERROR(OFFSET('HARGA SATUAN'!$D$6,MATCH(RAB!C15,'HARGA SATUAN'!$C$7:$C$1492,0),0)),"",OFFSET('HARGA SATUAN'!$D$6,MATCH(RAB!C15,'HARGA SATUAN'!$C$7:$C$1492,0),0))</f>
        <v/>
      </c>
      <c r="E15" s="354" t="str">
        <f ca="1">IF(B15="+","Unit",IF(ISERROR(OFFSET('HARGA SATUAN'!$E$6,MATCH(RAB!C15,'HARGA SATUAN'!$C$7:$C$1492,0),0)),"",OFFSET('HARGA SATUAN'!$E$6,MATCH(RAB!C15,'HARGA SATUAN'!$C$7:$C$1492,0),0)))</f>
        <v/>
      </c>
      <c r="F15" s="361"/>
      <c r="G15" s="355">
        <f ca="1">IF(ISERROR(OFFSET('HARGA SATUAN'!$I$6,MATCH(RAB!C15,'HARGA SATUAN'!$C$7:$C$1492,0),0)),0,OFFSET('HARGA SATUAN'!$I$6,MATCH(RAB!C15,'HARGA SATUAN'!$C$7:$C$1492,0),0))</f>
        <v>0</v>
      </c>
      <c r="H15" s="356">
        <f t="shared" ref="H15:H52" ca="1" si="4">IF(OR(D15="MDU",D15="MDU-KD"),(IF($O$3="RAB NON MDU","PLN KD",G15*F15)),0)</f>
        <v>0</v>
      </c>
      <c r="I15" s="356">
        <f t="shared" ref="I15:I52" ca="1" si="5">IF(D15="HDW",G15*F15,0)</f>
        <v>0</v>
      </c>
      <c r="J15" s="356">
        <f t="shared" ref="J15:J52" ca="1" si="6">IF(D15="JASA",G15*F15,0)</f>
        <v>0</v>
      </c>
      <c r="K15" s="357">
        <f t="shared" ref="K15:K52" ca="1" si="7">SUM(H15:J15)</f>
        <v>0</v>
      </c>
      <c r="L15" s="362"/>
      <c r="M15" s="362"/>
      <c r="N15" s="362"/>
      <c r="O15" s="358"/>
      <c r="P15" s="358"/>
      <c r="Q15" s="341"/>
      <c r="R15" s="333"/>
      <c r="S15" s="359"/>
      <c r="T15" s="338"/>
      <c r="U15" s="338"/>
      <c r="V15" s="338"/>
    </row>
    <row r="16" spans="1:22" s="363" customFormat="1">
      <c r="A16" s="333" t="e">
        <f>IF(AND(C16=0,#REF!=0,#REF!=0),"BLANKS",1)</f>
        <v>#REF!</v>
      </c>
      <c r="B16" s="482" t="s">
        <v>505</v>
      </c>
      <c r="C16" s="483" t="s">
        <v>1607</v>
      </c>
      <c r="D16" s="353" t="str">
        <f ca="1">IF(ISERROR(OFFSET('HARGA SATUAN'!$D$6,MATCH(RAB!C16,'HARGA SATUAN'!$C$7:$C$1492,0),0)),"",OFFSET('HARGA SATUAN'!$D$6,MATCH(RAB!C16,'HARGA SATUAN'!$C$7:$C$1492,0),0))</f>
        <v/>
      </c>
      <c r="E16" s="354" t="str">
        <f ca="1">IF(B16="+","Unit",IF(ISERROR(OFFSET('HARGA SATUAN'!$E$6,MATCH(RAB!C16,'HARGA SATUAN'!$C$7:$C$1492,0),0)),"",OFFSET('HARGA SATUAN'!$E$6,MATCH(RAB!C16,'HARGA SATUAN'!$C$7:$C$1492,0),0)))</f>
        <v/>
      </c>
      <c r="F16" s="361"/>
      <c r="G16" s="355">
        <f ca="1">IF(ISERROR(OFFSET('HARGA SATUAN'!$I$6,MATCH(RAB!C16,'HARGA SATUAN'!$C$7:$C$1492,0),0)),0,OFFSET('HARGA SATUAN'!$I$6,MATCH(RAB!C16,'HARGA SATUAN'!$C$7:$C$1492,0),0))</f>
        <v>0</v>
      </c>
      <c r="H16" s="356">
        <f t="shared" ca="1" si="4"/>
        <v>0</v>
      </c>
      <c r="I16" s="356">
        <f t="shared" ca="1" si="5"/>
        <v>0</v>
      </c>
      <c r="J16" s="356">
        <f t="shared" ca="1" si="6"/>
        <v>0</v>
      </c>
      <c r="K16" s="357">
        <f t="shared" ca="1" si="7"/>
        <v>0</v>
      </c>
      <c r="L16" s="362"/>
      <c r="M16" s="362"/>
      <c r="N16" s="362"/>
      <c r="O16" s="358"/>
      <c r="P16" s="358"/>
      <c r="Q16" s="341"/>
      <c r="R16" s="333"/>
      <c r="S16" s="359"/>
      <c r="T16" s="338"/>
      <c r="U16" s="338"/>
      <c r="V16" s="338"/>
    </row>
    <row r="17" spans="1:22" s="363" customFormat="1">
      <c r="A17" s="333"/>
      <c r="B17" s="489"/>
      <c r="C17" s="490"/>
      <c r="D17" s="353" t="str">
        <f ca="1">IF(ISERROR(OFFSET('HARGA SATUAN'!$D$6,MATCH(RAB!C17,'HARGA SATUAN'!$C$7:$C$1492,0),0)),"",OFFSET('HARGA SATUAN'!$D$6,MATCH(RAB!C17,'HARGA SATUAN'!$C$7:$C$1492,0),0))</f>
        <v/>
      </c>
      <c r="E17" s="354" t="str">
        <f ca="1">IF(B17="+","Unit",IF(ISERROR(OFFSET('HARGA SATUAN'!$E$6,MATCH(RAB!C17,'HARGA SATUAN'!$C$7:$C$1492,0),0)),"",OFFSET('HARGA SATUAN'!$E$6,MATCH(RAB!C17,'HARGA SATUAN'!$C$7:$C$1492,0),0)))</f>
        <v/>
      </c>
      <c r="F17" s="361"/>
      <c r="G17" s="355">
        <f ca="1">IF(ISERROR(OFFSET('HARGA SATUAN'!$I$6,MATCH(RAB!C17,'HARGA SATUAN'!$C$7:$C$1492,0),0)),0,OFFSET('HARGA SATUAN'!$I$6,MATCH(RAB!C17,'HARGA SATUAN'!$C$7:$C$1492,0),0))</f>
        <v>0</v>
      </c>
      <c r="H17" s="356">
        <f t="shared" ca="1" si="4"/>
        <v>0</v>
      </c>
      <c r="I17" s="356">
        <f t="shared" ca="1" si="5"/>
        <v>0</v>
      </c>
      <c r="J17" s="356">
        <f t="shared" ca="1" si="6"/>
        <v>0</v>
      </c>
      <c r="K17" s="357">
        <f t="shared" ca="1" si="7"/>
        <v>0</v>
      </c>
      <c r="L17" s="362"/>
      <c r="M17" s="362"/>
      <c r="N17" s="362"/>
      <c r="O17" s="358"/>
      <c r="P17" s="358"/>
      <c r="Q17" s="341"/>
      <c r="R17" s="333"/>
      <c r="S17" s="359"/>
      <c r="T17" s="338"/>
      <c r="U17" s="338"/>
      <c r="V17" s="338"/>
    </row>
    <row r="18" spans="1:22" s="363" customFormat="1">
      <c r="A18" s="333"/>
      <c r="B18" s="485" t="s">
        <v>524</v>
      </c>
      <c r="C18" s="486" t="s">
        <v>1608</v>
      </c>
      <c r="D18" s="353" t="str">
        <f ca="1">IF(ISERROR(OFFSET('HARGA SATUAN'!$D$6,MATCH(RAB!C18,'HARGA SATUAN'!$C$7:$C$1492,0),0)),"",OFFSET('HARGA SATUAN'!$D$6,MATCH(RAB!C18,'HARGA SATUAN'!$C$7:$C$1492,0),0))</f>
        <v/>
      </c>
      <c r="E18" s="354" t="str">
        <f ca="1">IF(B18="+","Unit",IF(ISERROR(OFFSET('HARGA SATUAN'!$E$6,MATCH(RAB!C18,'HARGA SATUAN'!$C$7:$C$1492,0),0)),"",OFFSET('HARGA SATUAN'!$E$6,MATCH(RAB!C18,'HARGA SATUAN'!$C$7:$C$1492,0),0)))</f>
        <v/>
      </c>
      <c r="F18" s="361"/>
      <c r="G18" s="355">
        <f ca="1">IF(ISERROR(OFFSET('HARGA SATUAN'!$I$6,MATCH(RAB!C18,'HARGA SATUAN'!$C$7:$C$1492,0),0)),0,OFFSET('HARGA SATUAN'!$I$6,MATCH(RAB!C18,'HARGA SATUAN'!$C$7:$C$1492,0),0))</f>
        <v>0</v>
      </c>
      <c r="H18" s="356">
        <f t="shared" ca="1" si="4"/>
        <v>0</v>
      </c>
      <c r="I18" s="356">
        <f t="shared" ca="1" si="5"/>
        <v>0</v>
      </c>
      <c r="J18" s="356">
        <f t="shared" ca="1" si="6"/>
        <v>0</v>
      </c>
      <c r="K18" s="357">
        <f t="shared" ca="1" si="7"/>
        <v>0</v>
      </c>
      <c r="L18" s="362"/>
      <c r="M18" s="362"/>
      <c r="N18" s="362"/>
      <c r="O18" s="358"/>
      <c r="P18" s="358"/>
      <c r="Q18" s="341"/>
      <c r="R18" s="333"/>
      <c r="S18" s="359"/>
      <c r="T18" s="338"/>
      <c r="U18" s="338"/>
      <c r="V18" s="338"/>
    </row>
    <row r="19" spans="1:22" s="363" customFormat="1">
      <c r="A19" s="333"/>
      <c r="B19" s="485"/>
      <c r="C19" s="486"/>
      <c r="D19" s="353" t="str">
        <f ca="1">IF(ISERROR(OFFSET('HARGA SATUAN'!$D$6,MATCH(RAB!C19,'HARGA SATUAN'!$C$7:$C$1492,0),0)),"",OFFSET('HARGA SATUAN'!$D$6,MATCH(RAB!C19,'HARGA SATUAN'!$C$7:$C$1492,0),0))</f>
        <v/>
      </c>
      <c r="E19" s="354" t="str">
        <f ca="1">IF(B19="+","Unit",IF(ISERROR(OFFSET('HARGA SATUAN'!$E$6,MATCH(RAB!C19,'HARGA SATUAN'!$C$7:$C$1492,0),0)),"",OFFSET('HARGA SATUAN'!$E$6,MATCH(RAB!C19,'HARGA SATUAN'!$C$7:$C$1492,0),0)))</f>
        <v/>
      </c>
      <c r="F19" s="361"/>
      <c r="G19" s="355">
        <f ca="1">IF(ISERROR(OFFSET('HARGA SATUAN'!$I$6,MATCH(RAB!C19,'HARGA SATUAN'!$C$7:$C$1492,0),0)),0,OFFSET('HARGA SATUAN'!$I$6,MATCH(RAB!C19,'HARGA SATUAN'!$C$7:$C$1492,0),0))</f>
        <v>0</v>
      </c>
      <c r="H19" s="356">
        <f t="shared" ca="1" si="4"/>
        <v>0</v>
      </c>
      <c r="I19" s="356">
        <f t="shared" ca="1" si="5"/>
        <v>0</v>
      </c>
      <c r="J19" s="356">
        <f t="shared" ca="1" si="6"/>
        <v>0</v>
      </c>
      <c r="K19" s="357">
        <f t="shared" ca="1" si="7"/>
        <v>0</v>
      </c>
      <c r="L19" s="362"/>
      <c r="M19" s="362"/>
      <c r="N19" s="362"/>
      <c r="O19" s="358"/>
      <c r="P19" s="358"/>
      <c r="Q19" s="341"/>
      <c r="R19" s="333"/>
      <c r="S19" s="359"/>
      <c r="T19" s="338"/>
      <c r="U19" s="338"/>
      <c r="V19" s="338"/>
    </row>
    <row r="20" spans="1:22" s="363" customFormat="1">
      <c r="A20" s="333"/>
      <c r="B20" s="496" t="s">
        <v>1035</v>
      </c>
      <c r="C20" s="497" t="s">
        <v>1613</v>
      </c>
      <c r="D20" s="353" t="str">
        <f ca="1">IF(ISERROR(OFFSET('HARGA SATUAN'!$D$6,MATCH(RAB!C20,'HARGA SATUAN'!$C$7:$C$1492,0),0)),"",OFFSET('HARGA SATUAN'!$D$6,MATCH(RAB!C20,'HARGA SATUAN'!$C$7:$C$1492,0),0))</f>
        <v/>
      </c>
      <c r="E20" s="354" t="str">
        <f ca="1">IF(B20="+","Unit",IF(ISERROR(OFFSET('HARGA SATUAN'!$E$6,MATCH(RAB!C20,'HARGA SATUAN'!$C$7:$C$1492,0),0)),"",OFFSET('HARGA SATUAN'!$E$6,MATCH(RAB!C20,'HARGA SATUAN'!$C$7:$C$1492,0),0)))</f>
        <v>Unit</v>
      </c>
      <c r="F20" s="493">
        <v>1</v>
      </c>
      <c r="G20" s="355">
        <f ca="1">IF(ISERROR(OFFSET('HARGA SATUAN'!$I$6,MATCH(RAB!C20,'HARGA SATUAN'!$C$7:$C$1492,0),0)),0,OFFSET('HARGA SATUAN'!$I$6,MATCH(RAB!C20,'HARGA SATUAN'!$C$7:$C$1492,0),0))</f>
        <v>0</v>
      </c>
      <c r="H20" s="356">
        <f t="shared" ca="1" si="4"/>
        <v>0</v>
      </c>
      <c r="I20" s="356">
        <f t="shared" ca="1" si="5"/>
        <v>0</v>
      </c>
      <c r="J20" s="356">
        <f t="shared" ca="1" si="6"/>
        <v>0</v>
      </c>
      <c r="K20" s="357">
        <f t="shared" ca="1" si="7"/>
        <v>0</v>
      </c>
      <c r="L20" s="362"/>
      <c r="M20" s="362"/>
      <c r="N20" s="362"/>
      <c r="O20" s="358"/>
      <c r="P20" s="358"/>
      <c r="Q20" s="341"/>
      <c r="R20" s="333"/>
      <c r="S20" s="359"/>
      <c r="T20" s="338"/>
      <c r="U20" s="338"/>
      <c r="V20" s="338"/>
    </row>
    <row r="21" spans="1:22" s="363" customFormat="1">
      <c r="A21" s="333"/>
      <c r="B21" s="496">
        <v>1</v>
      </c>
      <c r="C21" s="109" t="s">
        <v>1146</v>
      </c>
      <c r="D21" s="353" t="str">
        <f ca="1">IF(ISERROR(OFFSET('HARGA SATUAN'!$D$6,MATCH(RAB!C21,'HARGA SATUAN'!$C$7:$C$1492,0),0)),"",OFFSET('HARGA SATUAN'!$D$6,MATCH(RAB!C21,'HARGA SATUAN'!$C$7:$C$1492,0),0))</f>
        <v>MDU-KD</v>
      </c>
      <c r="E21" s="354" t="str">
        <f ca="1">IF(B21="+","Unit",IF(ISERROR(OFFSET('HARGA SATUAN'!$E$6,MATCH(RAB!C21,'HARGA SATUAN'!$C$7:$C$1492,0),0)),"",OFFSET('HARGA SATUAN'!$E$6,MATCH(RAB!C21,'HARGA SATUAN'!$C$7:$C$1492,0),0)))</f>
        <v>Bh</v>
      </c>
      <c r="F21" s="493">
        <f>F20*1</f>
        <v>1</v>
      </c>
      <c r="G21" s="355">
        <f ca="1">IF(ISERROR(OFFSET('HARGA SATUAN'!$I$6,MATCH(RAB!C21,'HARGA SATUAN'!$C$7:$C$1492,0),0)),0,OFFSET('HARGA SATUAN'!$I$6,MATCH(RAB!C21,'HARGA SATUAN'!$C$7:$C$1492,0),0))</f>
        <v>42757200</v>
      </c>
      <c r="H21" s="356">
        <f t="shared" ca="1" si="4"/>
        <v>42757200</v>
      </c>
      <c r="I21" s="356">
        <f t="shared" ca="1" si="5"/>
        <v>0</v>
      </c>
      <c r="J21" s="356">
        <f t="shared" ca="1" si="6"/>
        <v>0</v>
      </c>
      <c r="K21" s="357">
        <f t="shared" ca="1" si="7"/>
        <v>42757200</v>
      </c>
      <c r="L21" s="362"/>
      <c r="M21" s="362"/>
      <c r="N21" s="362"/>
      <c r="O21" s="358"/>
      <c r="P21" s="358"/>
      <c r="Q21" s="341"/>
      <c r="R21" s="333"/>
      <c r="S21" s="359"/>
      <c r="T21" s="338"/>
      <c r="U21" s="338"/>
      <c r="V21" s="338"/>
    </row>
    <row r="22" spans="1:22" s="363" customFormat="1">
      <c r="A22" s="333"/>
      <c r="B22" s="498">
        <v>2</v>
      </c>
      <c r="C22" s="499" t="s">
        <v>1614</v>
      </c>
      <c r="D22" s="353" t="str">
        <f ca="1">IF(ISERROR(OFFSET('HARGA SATUAN'!$D$6,MATCH(RAB!C22,'HARGA SATUAN'!$C$7:$C$1492,0),0)),"",OFFSET('HARGA SATUAN'!$D$6,MATCH(RAB!C22,'HARGA SATUAN'!$C$7:$C$1492,0),0))</f>
        <v/>
      </c>
      <c r="E22" s="354" t="str">
        <f ca="1">IF(B22="+","Unit",IF(ISERROR(OFFSET('HARGA SATUAN'!$E$6,MATCH(RAB!C22,'HARGA SATUAN'!$C$7:$C$1492,0),0)),"",OFFSET('HARGA SATUAN'!$E$6,MATCH(RAB!C22,'HARGA SATUAN'!$C$7:$C$1492,0),0)))</f>
        <v/>
      </c>
      <c r="F22" s="500"/>
      <c r="G22" s="355">
        <f ca="1">IF(ISERROR(OFFSET('HARGA SATUAN'!$I$6,MATCH(RAB!C22,'HARGA SATUAN'!$C$7:$C$1492,0),0)),0,OFFSET('HARGA SATUAN'!$I$6,MATCH(RAB!C22,'HARGA SATUAN'!$C$7:$C$1492,0),0))</f>
        <v>0</v>
      </c>
      <c r="H22" s="356">
        <f t="shared" ca="1" si="4"/>
        <v>0</v>
      </c>
      <c r="I22" s="356">
        <f t="shared" ca="1" si="5"/>
        <v>0</v>
      </c>
      <c r="J22" s="356">
        <f t="shared" ca="1" si="6"/>
        <v>0</v>
      </c>
      <c r="K22" s="357">
        <f t="shared" ca="1" si="7"/>
        <v>0</v>
      </c>
      <c r="L22" s="362"/>
      <c r="M22" s="362"/>
      <c r="N22" s="362"/>
      <c r="O22" s="358"/>
      <c r="P22" s="358"/>
      <c r="Q22" s="341"/>
      <c r="R22" s="333"/>
      <c r="S22" s="359"/>
      <c r="T22" s="338"/>
      <c r="U22" s="338"/>
      <c r="V22" s="338"/>
    </row>
    <row r="23" spans="1:22" s="363" customFormat="1">
      <c r="A23" s="333"/>
      <c r="B23" s="496"/>
      <c r="C23" s="499" t="s">
        <v>65</v>
      </c>
      <c r="D23" s="353" t="str">
        <f ca="1">IF(ISERROR(OFFSET('HARGA SATUAN'!$D$6,MATCH(RAB!C23,'HARGA SATUAN'!$C$7:$C$1492,0),0)),"",OFFSET('HARGA SATUAN'!$D$6,MATCH(RAB!C23,'HARGA SATUAN'!$C$7:$C$1492,0),0))</f>
        <v>MDU-KD</v>
      </c>
      <c r="E23" s="354" t="str">
        <f ca="1">IF(B23="+","Unit",IF(ISERROR(OFFSET('HARGA SATUAN'!$E$6,MATCH(RAB!C23,'HARGA SATUAN'!$C$7:$C$1492,0),0)),"",OFFSET('HARGA SATUAN'!$E$6,MATCH(RAB!C23,'HARGA SATUAN'!$C$7:$C$1492,0),0)))</f>
        <v>Mtr</v>
      </c>
      <c r="F23" s="493">
        <f>F20*(3*3)</f>
        <v>9</v>
      </c>
      <c r="G23" s="355">
        <f ca="1">IF(ISERROR(OFFSET('HARGA SATUAN'!$I$6,MATCH(RAB!C23,'HARGA SATUAN'!$C$7:$C$1492,0),0)),0,OFFSET('HARGA SATUAN'!$I$6,MATCH(RAB!C23,'HARGA SATUAN'!$C$7:$C$1492,0),0))</f>
        <v>14200</v>
      </c>
      <c r="H23" s="356">
        <f t="shared" ca="1" si="4"/>
        <v>127800</v>
      </c>
      <c r="I23" s="356">
        <f t="shared" ca="1" si="5"/>
        <v>0</v>
      </c>
      <c r="J23" s="356">
        <f t="shared" ca="1" si="6"/>
        <v>0</v>
      </c>
      <c r="K23" s="357">
        <f t="shared" ca="1" si="7"/>
        <v>127800</v>
      </c>
      <c r="L23" s="362"/>
      <c r="M23" s="362"/>
      <c r="N23" s="362"/>
      <c r="O23" s="358"/>
      <c r="P23" s="358"/>
      <c r="Q23" s="341"/>
      <c r="R23" s="333"/>
      <c r="S23" s="359"/>
      <c r="T23" s="338"/>
      <c r="U23" s="338"/>
      <c r="V23" s="338"/>
    </row>
    <row r="24" spans="1:22" s="363" customFormat="1">
      <c r="A24" s="333"/>
      <c r="B24" s="496"/>
      <c r="C24" s="109" t="s">
        <v>1459</v>
      </c>
      <c r="D24" s="353" t="str">
        <f ca="1">IF(ISERROR(OFFSET('HARGA SATUAN'!$D$6,MATCH(RAB!C24,'HARGA SATUAN'!$C$7:$C$1492,0),0)),"",OFFSET('HARGA SATUAN'!$D$6,MATCH(RAB!C24,'HARGA SATUAN'!$C$7:$C$1492,0),0))</f>
        <v>MDU-KD</v>
      </c>
      <c r="E24" s="354" t="str">
        <f ca="1">IF(B24="+","Unit",IF(ISERROR(OFFSET('HARGA SATUAN'!$E$6,MATCH(RAB!C24,'HARGA SATUAN'!$C$7:$C$1492,0),0)),"",OFFSET('HARGA SATUAN'!$E$6,MATCH(RAB!C24,'HARGA SATUAN'!$C$7:$C$1492,0),0)))</f>
        <v>Mtr</v>
      </c>
      <c r="F24" s="493">
        <f>F20*3</f>
        <v>3</v>
      </c>
      <c r="G24" s="355">
        <f ca="1">IF(ISERROR(OFFSET('HARGA SATUAN'!$I$6,MATCH(RAB!C24,'HARGA SATUAN'!$C$7:$C$1492,0),0)),0,OFFSET('HARGA SATUAN'!$I$6,MATCH(RAB!C24,'HARGA SATUAN'!$C$7:$C$1492,0),0))</f>
        <v>54500</v>
      </c>
      <c r="H24" s="356">
        <f t="shared" ca="1" si="4"/>
        <v>163500</v>
      </c>
      <c r="I24" s="356">
        <f t="shared" ca="1" si="5"/>
        <v>0</v>
      </c>
      <c r="J24" s="356">
        <f t="shared" ca="1" si="6"/>
        <v>0</v>
      </c>
      <c r="K24" s="357">
        <f t="shared" ca="1" si="7"/>
        <v>163500</v>
      </c>
      <c r="L24" s="362"/>
      <c r="M24" s="362"/>
      <c r="N24" s="362"/>
      <c r="O24" s="358"/>
      <c r="P24" s="358"/>
      <c r="Q24" s="341"/>
      <c r="R24" s="333"/>
      <c r="S24" s="359"/>
      <c r="T24" s="338"/>
      <c r="U24" s="338"/>
      <c r="V24" s="338"/>
    </row>
    <row r="25" spans="1:22" s="363" customFormat="1">
      <c r="A25" s="333"/>
      <c r="B25" s="496">
        <v>3</v>
      </c>
      <c r="C25" s="109" t="s">
        <v>559</v>
      </c>
      <c r="D25" s="353" t="str">
        <f ca="1">IF(ISERROR(OFFSET('HARGA SATUAN'!$D$6,MATCH(RAB!C25,'HARGA SATUAN'!$C$7:$C$1492,0),0)),"",OFFSET('HARGA SATUAN'!$D$6,MATCH(RAB!C25,'HARGA SATUAN'!$C$7:$C$1492,0),0))</f>
        <v>MDU-KD</v>
      </c>
      <c r="E25" s="354" t="str">
        <f ca="1">IF(B25="+","Unit",IF(ISERROR(OFFSET('HARGA SATUAN'!$E$6,MATCH(RAB!C25,'HARGA SATUAN'!$C$7:$C$1492,0),0)),"",OFFSET('HARGA SATUAN'!$E$6,MATCH(RAB!C25,'HARGA SATUAN'!$C$7:$C$1492,0),0)))</f>
        <v>Bh</v>
      </c>
      <c r="F25" s="493">
        <f>F20*3</f>
        <v>3</v>
      </c>
      <c r="G25" s="355">
        <f ca="1">IF(ISERROR(OFFSET('HARGA SATUAN'!$I$6,MATCH(RAB!C25,'HARGA SATUAN'!$C$7:$C$1492,0),0)),0,OFFSET('HARGA SATUAN'!$I$6,MATCH(RAB!C25,'HARGA SATUAN'!$C$7:$C$1492,0),0))</f>
        <v>725900</v>
      </c>
      <c r="H25" s="356">
        <f t="shared" ca="1" si="4"/>
        <v>2177700</v>
      </c>
      <c r="I25" s="356">
        <f t="shared" ca="1" si="5"/>
        <v>0</v>
      </c>
      <c r="J25" s="356">
        <f t="shared" ca="1" si="6"/>
        <v>0</v>
      </c>
      <c r="K25" s="357">
        <f t="shared" ca="1" si="7"/>
        <v>2177700</v>
      </c>
      <c r="L25" s="362"/>
      <c r="M25" s="362"/>
      <c r="N25" s="362"/>
      <c r="O25" s="358"/>
      <c r="P25" s="358"/>
      <c r="Q25" s="341"/>
      <c r="R25" s="333"/>
      <c r="S25" s="359"/>
      <c r="T25" s="338"/>
      <c r="U25" s="338"/>
      <c r="V25" s="338"/>
    </row>
    <row r="26" spans="1:22" s="363" customFormat="1">
      <c r="A26" s="333"/>
      <c r="B26" s="496">
        <v>4</v>
      </c>
      <c r="C26" s="497" t="s">
        <v>535</v>
      </c>
      <c r="D26" s="353" t="str">
        <f ca="1">IF(ISERROR(OFFSET('HARGA SATUAN'!$D$6,MATCH(RAB!C26,'HARGA SATUAN'!$C$7:$C$1492,0),0)),"",OFFSET('HARGA SATUAN'!$D$6,MATCH(RAB!C26,'HARGA SATUAN'!$C$7:$C$1492,0),0))</f>
        <v>MDU-KD</v>
      </c>
      <c r="E26" s="354" t="str">
        <f ca="1">IF(B26="+","Unit",IF(ISERROR(OFFSET('HARGA SATUAN'!$E$6,MATCH(RAB!C26,'HARGA SATUAN'!$C$7:$C$1492,0),0)),"",OFFSET('HARGA SATUAN'!$E$6,MATCH(RAB!C26,'HARGA SATUAN'!$C$7:$C$1492,0),0)))</f>
        <v>Bh</v>
      </c>
      <c r="F26" s="493">
        <f>F20*3</f>
        <v>3</v>
      </c>
      <c r="G26" s="355">
        <f ca="1">IF(ISERROR(OFFSET('HARGA SATUAN'!$I$6,MATCH(RAB!C26,'HARGA SATUAN'!$C$7:$C$1492,0),0)),0,OFFSET('HARGA SATUAN'!$I$6,MATCH(RAB!C26,'HARGA SATUAN'!$C$7:$C$1492,0),0))</f>
        <v>848250</v>
      </c>
      <c r="H26" s="356">
        <f t="shared" ca="1" si="4"/>
        <v>2544750</v>
      </c>
      <c r="I26" s="356">
        <f t="shared" ca="1" si="5"/>
        <v>0</v>
      </c>
      <c r="J26" s="356">
        <f t="shared" ca="1" si="6"/>
        <v>0</v>
      </c>
      <c r="K26" s="357">
        <f t="shared" ca="1" si="7"/>
        <v>2544750</v>
      </c>
      <c r="L26" s="362"/>
      <c r="M26" s="362"/>
      <c r="N26" s="362"/>
      <c r="O26" s="358"/>
      <c r="P26" s="358"/>
      <c r="Q26" s="341"/>
      <c r="R26" s="333"/>
      <c r="S26" s="359"/>
      <c r="T26" s="338"/>
      <c r="U26" s="338"/>
      <c r="V26" s="338"/>
    </row>
    <row r="27" spans="1:22" s="363" customFormat="1">
      <c r="A27" s="333"/>
      <c r="B27" s="496">
        <v>5</v>
      </c>
      <c r="C27" s="497" t="s">
        <v>537</v>
      </c>
      <c r="D27" s="353" t="str">
        <f ca="1">IF(ISERROR(OFFSET('HARGA SATUAN'!$D$6,MATCH(RAB!C27,'HARGA SATUAN'!$C$7:$C$1492,0),0)),"",OFFSET('HARGA SATUAN'!$D$6,MATCH(RAB!C27,'HARGA SATUAN'!$C$7:$C$1492,0),0))</f>
        <v>HDW</v>
      </c>
      <c r="E27" s="354" t="str">
        <f ca="1">IF(B27="+","Unit",IF(ISERROR(OFFSET('HARGA SATUAN'!$E$6,MATCH(RAB!C27,'HARGA SATUAN'!$C$7:$C$1492,0),0)),"",OFFSET('HARGA SATUAN'!$E$6,MATCH(RAB!C27,'HARGA SATUAN'!$C$7:$C$1492,0),0)))</f>
        <v>Bh</v>
      </c>
      <c r="F27" s="493">
        <f>F20*3</f>
        <v>3</v>
      </c>
      <c r="G27" s="355">
        <f ca="1">IF(ISERROR(OFFSET('HARGA SATUAN'!$I$6,MATCH(RAB!C27,'HARGA SATUAN'!$C$7:$C$1492,0),0)),0,OFFSET('HARGA SATUAN'!$I$6,MATCH(RAB!C27,'HARGA SATUAN'!$C$7:$C$1492,0),0))</f>
        <v>17500</v>
      </c>
      <c r="H27" s="356">
        <f t="shared" ca="1" si="4"/>
        <v>0</v>
      </c>
      <c r="I27" s="356">
        <f t="shared" ca="1" si="5"/>
        <v>52500</v>
      </c>
      <c r="J27" s="356">
        <f t="shared" ca="1" si="6"/>
        <v>0</v>
      </c>
      <c r="K27" s="357">
        <f t="shared" ca="1" si="7"/>
        <v>52500</v>
      </c>
      <c r="L27" s="362"/>
      <c r="M27" s="362"/>
      <c r="N27" s="362"/>
      <c r="O27" s="358"/>
      <c r="P27" s="358"/>
      <c r="Q27" s="341"/>
      <c r="R27" s="333"/>
      <c r="S27" s="359"/>
      <c r="T27" s="338"/>
      <c r="U27" s="338"/>
      <c r="V27" s="338"/>
    </row>
    <row r="28" spans="1:22" s="363" customFormat="1">
      <c r="A28" s="333"/>
      <c r="B28" s="496">
        <v>6</v>
      </c>
      <c r="C28" s="109" t="s">
        <v>1564</v>
      </c>
      <c r="D28" s="353" t="str">
        <f ca="1">IF(ISERROR(OFFSET('HARGA SATUAN'!$D$6,MATCH(RAB!C28,'HARGA SATUAN'!$C$7:$C$1492,0),0)),"",OFFSET('HARGA SATUAN'!$D$6,MATCH(RAB!C28,'HARGA SATUAN'!$C$7:$C$1492,0),0))</f>
        <v>HDW</v>
      </c>
      <c r="E28" s="354" t="str">
        <f ca="1">IF(B28="+","Unit",IF(ISERROR(OFFSET('HARGA SATUAN'!$E$6,MATCH(RAB!C28,'HARGA SATUAN'!$C$7:$C$1492,0),0)),"",OFFSET('HARGA SATUAN'!$E$6,MATCH(RAB!C28,'HARGA SATUAN'!$C$7:$C$1492,0),0)))</f>
        <v>Bh</v>
      </c>
      <c r="F28" s="493">
        <f>F20*13</f>
        <v>13</v>
      </c>
      <c r="G28" s="355">
        <f ca="1">IF(ISERROR(OFFSET('HARGA SATUAN'!$I$6,MATCH(RAB!C28,'HARGA SATUAN'!$C$7:$C$1492,0),0)),0,OFFSET('HARGA SATUAN'!$I$6,MATCH(RAB!C28,'HARGA SATUAN'!$C$7:$C$1492,0),0))</f>
        <v>49000</v>
      </c>
      <c r="H28" s="356">
        <f t="shared" ca="1" si="4"/>
        <v>0</v>
      </c>
      <c r="I28" s="356">
        <f t="shared" ca="1" si="5"/>
        <v>637000</v>
      </c>
      <c r="J28" s="356">
        <f t="shared" ca="1" si="6"/>
        <v>0</v>
      </c>
      <c r="K28" s="357">
        <f t="shared" ca="1" si="7"/>
        <v>637000</v>
      </c>
      <c r="L28" s="362"/>
      <c r="M28" s="362"/>
      <c r="N28" s="362"/>
      <c r="O28" s="358"/>
      <c r="P28" s="358"/>
      <c r="Q28" s="341"/>
      <c r="R28" s="333"/>
      <c r="S28" s="359"/>
      <c r="T28" s="338"/>
      <c r="U28" s="338"/>
      <c r="V28" s="338"/>
    </row>
    <row r="29" spans="1:22" s="363" customFormat="1">
      <c r="A29" s="333"/>
      <c r="B29" s="496">
        <v>7</v>
      </c>
      <c r="C29" s="497" t="s">
        <v>163</v>
      </c>
      <c r="D29" s="353" t="str">
        <f ca="1">IF(ISERROR(OFFSET('HARGA SATUAN'!$D$6,MATCH(RAB!C29,'HARGA SATUAN'!$C$7:$C$1492,0),0)),"",OFFSET('HARGA SATUAN'!$D$6,MATCH(RAB!C29,'HARGA SATUAN'!$C$7:$C$1492,0),0))</f>
        <v>HDW</v>
      </c>
      <c r="E29" s="354" t="str">
        <f ca="1">IF(B29="+","Unit",IF(ISERROR(OFFSET('HARGA SATUAN'!$E$6,MATCH(RAB!C29,'HARGA SATUAN'!$C$7:$C$1492,0),0)),"",OFFSET('HARGA SATUAN'!$E$6,MATCH(RAB!C29,'HARGA SATUAN'!$C$7:$C$1492,0),0)))</f>
        <v>Bh</v>
      </c>
      <c r="F29" s="493">
        <f>F20*22</f>
        <v>22</v>
      </c>
      <c r="G29" s="355">
        <f ca="1">IF(ISERROR(OFFSET('HARGA SATUAN'!$I$6,MATCH(RAB!C29,'HARGA SATUAN'!$C$7:$C$1492,0),0)),0,OFFSET('HARGA SATUAN'!$I$6,MATCH(RAB!C29,'HARGA SATUAN'!$C$7:$C$1492,0),0))</f>
        <v>7938</v>
      </c>
      <c r="H29" s="356">
        <f t="shared" ca="1" si="4"/>
        <v>0</v>
      </c>
      <c r="I29" s="356">
        <f t="shared" ca="1" si="5"/>
        <v>174636</v>
      </c>
      <c r="J29" s="356">
        <f t="shared" ca="1" si="6"/>
        <v>0</v>
      </c>
      <c r="K29" s="357">
        <f t="shared" ca="1" si="7"/>
        <v>174636</v>
      </c>
      <c r="L29" s="362"/>
      <c r="M29" s="362"/>
      <c r="N29" s="362"/>
      <c r="O29" s="358"/>
      <c r="P29" s="358"/>
      <c r="Q29" s="341"/>
      <c r="R29" s="333"/>
      <c r="S29" s="359"/>
      <c r="T29" s="338"/>
      <c r="U29" s="338"/>
      <c r="V29" s="338"/>
    </row>
    <row r="30" spans="1:22" s="363" customFormat="1">
      <c r="A30" s="333"/>
      <c r="B30" s="496">
        <v>8</v>
      </c>
      <c r="C30" s="497" t="s">
        <v>176</v>
      </c>
      <c r="D30" s="353" t="str">
        <f ca="1">IF(ISERROR(OFFSET('HARGA SATUAN'!$D$6,MATCH(RAB!C30,'HARGA SATUAN'!$C$7:$C$1492,0),0)),"",OFFSET('HARGA SATUAN'!$D$6,MATCH(RAB!C30,'HARGA SATUAN'!$C$7:$C$1492,0),0))</f>
        <v>HDW</v>
      </c>
      <c r="E30" s="354" t="str">
        <f ca="1">IF(B30="+","Unit",IF(ISERROR(OFFSET('HARGA SATUAN'!$E$6,MATCH(RAB!C30,'HARGA SATUAN'!$C$7:$C$1492,0),0)),"",OFFSET('HARGA SATUAN'!$E$6,MATCH(RAB!C30,'HARGA SATUAN'!$C$7:$C$1492,0),0)))</f>
        <v>Bh</v>
      </c>
      <c r="F30" s="493">
        <f>F20*1</f>
        <v>1</v>
      </c>
      <c r="G30" s="355">
        <f ca="1">IF(ISERROR(OFFSET('HARGA SATUAN'!$I$6,MATCH(RAB!C30,'HARGA SATUAN'!$C$7:$C$1492,0),0)),0,OFFSET('HARGA SATUAN'!$I$6,MATCH(RAB!C30,'HARGA SATUAN'!$C$7:$C$1492,0),0))</f>
        <v>404600</v>
      </c>
      <c r="H30" s="356">
        <f t="shared" ca="1" si="4"/>
        <v>0</v>
      </c>
      <c r="I30" s="356">
        <f t="shared" ca="1" si="5"/>
        <v>404600</v>
      </c>
      <c r="J30" s="356">
        <f t="shared" ca="1" si="6"/>
        <v>0</v>
      </c>
      <c r="K30" s="357">
        <f t="shared" ca="1" si="7"/>
        <v>404600</v>
      </c>
      <c r="L30" s="362"/>
      <c r="M30" s="362"/>
      <c r="N30" s="362"/>
      <c r="O30" s="358"/>
      <c r="P30" s="358"/>
      <c r="Q30" s="341"/>
      <c r="R30" s="333"/>
      <c r="S30" s="359"/>
      <c r="T30" s="338"/>
      <c r="U30" s="338"/>
      <c r="V30" s="338"/>
    </row>
    <row r="31" spans="1:22" s="363" customFormat="1">
      <c r="A31" s="333"/>
      <c r="B31" s="496">
        <v>9</v>
      </c>
      <c r="C31" s="497" t="s">
        <v>184</v>
      </c>
      <c r="D31" s="353" t="str">
        <f ca="1">IF(ISERROR(OFFSET('HARGA SATUAN'!$D$6,MATCH(RAB!C31,'HARGA SATUAN'!$C$7:$C$1492,0),0)),"",OFFSET('HARGA SATUAN'!$D$6,MATCH(RAB!C31,'HARGA SATUAN'!$C$7:$C$1492,0),0))</f>
        <v>HDW</v>
      </c>
      <c r="E31" s="354" t="str">
        <f ca="1">IF(B31="+","Unit",IF(ISERROR(OFFSET('HARGA SATUAN'!$E$6,MATCH(RAB!C31,'HARGA SATUAN'!$C$7:$C$1492,0),0)),"",OFFSET('HARGA SATUAN'!$E$6,MATCH(RAB!C31,'HARGA SATUAN'!$C$7:$C$1492,0),0)))</f>
        <v>Bh</v>
      </c>
      <c r="F31" s="493">
        <f>F20*3</f>
        <v>3</v>
      </c>
      <c r="G31" s="355">
        <f ca="1">IF(ISERROR(OFFSET('HARGA SATUAN'!$I$6,MATCH(RAB!C31,'HARGA SATUAN'!$C$7:$C$1492,0),0)),0,OFFSET('HARGA SATUAN'!$I$6,MATCH(RAB!C31,'HARGA SATUAN'!$C$7:$C$1492,0),0))</f>
        <v>15900</v>
      </c>
      <c r="H31" s="356">
        <f t="shared" ca="1" si="4"/>
        <v>0</v>
      </c>
      <c r="I31" s="356">
        <f t="shared" ca="1" si="5"/>
        <v>47700</v>
      </c>
      <c r="J31" s="356">
        <f t="shared" ca="1" si="6"/>
        <v>0</v>
      </c>
      <c r="K31" s="357">
        <f t="shared" ca="1" si="7"/>
        <v>47700</v>
      </c>
      <c r="L31" s="362"/>
      <c r="M31" s="362"/>
      <c r="N31" s="362"/>
      <c r="O31" s="358"/>
      <c r="P31" s="358"/>
      <c r="Q31" s="341"/>
      <c r="R31" s="333"/>
      <c r="S31" s="359"/>
      <c r="T31" s="338"/>
      <c r="U31" s="338"/>
      <c r="V31" s="338"/>
    </row>
    <row r="32" spans="1:22" s="363" customFormat="1">
      <c r="A32" s="333"/>
      <c r="B32" s="496">
        <v>10</v>
      </c>
      <c r="C32" s="497" t="s">
        <v>592</v>
      </c>
      <c r="D32" s="353" t="str">
        <f ca="1">IF(ISERROR(OFFSET('HARGA SATUAN'!$D$6,MATCH(RAB!C32,'HARGA SATUAN'!$C$7:$C$1492,0),0)),"",OFFSET('HARGA SATUAN'!$D$6,MATCH(RAB!C32,'HARGA SATUAN'!$C$7:$C$1492,0),0))</f>
        <v>HDW</v>
      </c>
      <c r="E32" s="354" t="str">
        <f ca="1">IF(B32="+","Unit",IF(ISERROR(OFFSET('HARGA SATUAN'!$E$6,MATCH(RAB!C32,'HARGA SATUAN'!$C$7:$C$1492,0),0)),"",OFFSET('HARGA SATUAN'!$E$6,MATCH(RAB!C32,'HARGA SATUAN'!$C$7:$C$1492,0),0)))</f>
        <v>Bh</v>
      </c>
      <c r="F32" s="493">
        <f>F20*5</f>
        <v>5</v>
      </c>
      <c r="G32" s="355">
        <f ca="1">IF(ISERROR(OFFSET('HARGA SATUAN'!$I$6,MATCH(RAB!C32,'HARGA SATUAN'!$C$7:$C$1492,0),0)),0,OFFSET('HARGA SATUAN'!$I$6,MATCH(RAB!C32,'HARGA SATUAN'!$C$7:$C$1492,0),0))</f>
        <v>283100</v>
      </c>
      <c r="H32" s="356">
        <f t="shared" ca="1" si="4"/>
        <v>0</v>
      </c>
      <c r="I32" s="356">
        <f t="shared" ca="1" si="5"/>
        <v>1415500</v>
      </c>
      <c r="J32" s="356">
        <f t="shared" ca="1" si="6"/>
        <v>0</v>
      </c>
      <c r="K32" s="357">
        <f t="shared" ca="1" si="7"/>
        <v>1415500</v>
      </c>
      <c r="L32" s="362"/>
      <c r="M32" s="362"/>
      <c r="N32" s="362"/>
      <c r="O32" s="358"/>
      <c r="P32" s="358"/>
      <c r="Q32" s="341"/>
      <c r="R32" s="333"/>
      <c r="S32" s="359"/>
      <c r="T32" s="338"/>
      <c r="U32" s="338"/>
      <c r="V32" s="338"/>
    </row>
    <row r="33" spans="1:22" s="363" customFormat="1">
      <c r="A33" s="333"/>
      <c r="B33" s="496">
        <v>11</v>
      </c>
      <c r="C33" s="497" t="s">
        <v>593</v>
      </c>
      <c r="D33" s="353" t="str">
        <f ca="1">IF(ISERROR(OFFSET('HARGA SATUAN'!$D$6,MATCH(RAB!C33,'HARGA SATUAN'!$C$7:$C$1492,0),0)),"",OFFSET('HARGA SATUAN'!$D$6,MATCH(RAB!C33,'HARGA SATUAN'!$C$7:$C$1492,0),0))</f>
        <v>HDW</v>
      </c>
      <c r="E33" s="354" t="str">
        <f ca="1">IF(B33="+","Unit",IF(ISERROR(OFFSET('HARGA SATUAN'!$E$6,MATCH(RAB!C33,'HARGA SATUAN'!$C$7:$C$1492,0),0)),"",OFFSET('HARGA SATUAN'!$E$6,MATCH(RAB!C33,'HARGA SATUAN'!$C$7:$C$1492,0),0)))</f>
        <v>Bh</v>
      </c>
      <c r="F33" s="493">
        <f>F20*4</f>
        <v>4</v>
      </c>
      <c r="G33" s="355">
        <f ca="1">IF(ISERROR(OFFSET('HARGA SATUAN'!$I$6,MATCH(RAB!C33,'HARGA SATUAN'!$C$7:$C$1492,0),0)),0,OFFSET('HARGA SATUAN'!$I$6,MATCH(RAB!C33,'HARGA SATUAN'!$C$7:$C$1492,0),0))</f>
        <v>380500</v>
      </c>
      <c r="H33" s="356">
        <f t="shared" ca="1" si="4"/>
        <v>0</v>
      </c>
      <c r="I33" s="356">
        <f t="shared" ca="1" si="5"/>
        <v>1522000</v>
      </c>
      <c r="J33" s="356">
        <f t="shared" ca="1" si="6"/>
        <v>0</v>
      </c>
      <c r="K33" s="357">
        <f t="shared" ca="1" si="7"/>
        <v>1522000</v>
      </c>
      <c r="L33" s="362"/>
      <c r="M33" s="362"/>
      <c r="N33" s="362"/>
      <c r="O33" s="358"/>
      <c r="P33" s="358"/>
      <c r="Q33" s="341"/>
      <c r="R33" s="333"/>
      <c r="S33" s="359"/>
      <c r="T33" s="338"/>
      <c r="U33" s="338"/>
      <c r="V33" s="338"/>
    </row>
    <row r="34" spans="1:22" s="363" customFormat="1">
      <c r="A34" s="333"/>
      <c r="B34" s="496">
        <v>12</v>
      </c>
      <c r="C34" s="497" t="s">
        <v>208</v>
      </c>
      <c r="D34" s="353" t="str">
        <f ca="1">IF(ISERROR(OFFSET('HARGA SATUAN'!$D$6,MATCH(RAB!C34,'HARGA SATUAN'!$C$7:$C$1492,0),0)),"",OFFSET('HARGA SATUAN'!$D$6,MATCH(RAB!C34,'HARGA SATUAN'!$C$7:$C$1492,0),0))</f>
        <v>HDW</v>
      </c>
      <c r="E34" s="354" t="str">
        <f ca="1">IF(B34="+","Unit",IF(ISERROR(OFFSET('HARGA SATUAN'!$E$6,MATCH(RAB!C34,'HARGA SATUAN'!$C$7:$C$1492,0),0)),"",OFFSET('HARGA SATUAN'!$E$6,MATCH(RAB!C34,'HARGA SATUAN'!$C$7:$C$1492,0),0)))</f>
        <v>Bh</v>
      </c>
      <c r="F34" s="493">
        <f>F20*3</f>
        <v>3</v>
      </c>
      <c r="G34" s="355">
        <f ca="1">IF(ISERROR(OFFSET('HARGA SATUAN'!$I$6,MATCH(RAB!C34,'HARGA SATUAN'!$C$7:$C$1492,0),0)),0,OFFSET('HARGA SATUAN'!$I$6,MATCH(RAB!C34,'HARGA SATUAN'!$C$7:$C$1492,0),0))</f>
        <v>173400</v>
      </c>
      <c r="H34" s="356">
        <f t="shared" ca="1" si="4"/>
        <v>0</v>
      </c>
      <c r="I34" s="356">
        <f t="shared" ca="1" si="5"/>
        <v>520200</v>
      </c>
      <c r="J34" s="356">
        <f t="shared" ca="1" si="6"/>
        <v>0</v>
      </c>
      <c r="K34" s="357">
        <f t="shared" ca="1" si="7"/>
        <v>520200</v>
      </c>
      <c r="L34" s="362"/>
      <c r="M34" s="362"/>
      <c r="N34" s="362"/>
      <c r="O34" s="358"/>
      <c r="P34" s="358"/>
      <c r="Q34" s="341"/>
      <c r="R34" s="333"/>
      <c r="S34" s="359"/>
      <c r="T34" s="338"/>
      <c r="U34" s="338"/>
      <c r="V34" s="338"/>
    </row>
    <row r="35" spans="1:22" s="363" customFormat="1">
      <c r="A35" s="333"/>
      <c r="B35" s="496">
        <v>13</v>
      </c>
      <c r="C35" s="497" t="s">
        <v>247</v>
      </c>
      <c r="D35" s="353" t="str">
        <f ca="1">IF(ISERROR(OFFSET('HARGA SATUAN'!$D$6,MATCH(RAB!C35,'HARGA SATUAN'!$C$7:$C$1492,0),0)),"",OFFSET('HARGA SATUAN'!$D$6,MATCH(RAB!C35,'HARGA SATUAN'!$C$7:$C$1492,0),0))</f>
        <v>HDW</v>
      </c>
      <c r="E35" s="354" t="str">
        <f ca="1">IF(B35="+","Unit",IF(ISERROR(OFFSET('HARGA SATUAN'!$E$6,MATCH(RAB!C35,'HARGA SATUAN'!$C$7:$C$1492,0),0)),"",OFFSET('HARGA SATUAN'!$E$6,MATCH(RAB!C35,'HARGA SATUAN'!$C$7:$C$1492,0),0)))</f>
        <v>Bh</v>
      </c>
      <c r="F35" s="493">
        <f>F20*1</f>
        <v>1</v>
      </c>
      <c r="G35" s="355">
        <f ca="1">IF(ISERROR(OFFSET('HARGA SATUAN'!$I$6,MATCH(RAB!C35,'HARGA SATUAN'!$C$7:$C$1492,0),0)),0,OFFSET('HARGA SATUAN'!$I$6,MATCH(RAB!C35,'HARGA SATUAN'!$C$7:$C$1492,0),0))</f>
        <v>57690</v>
      </c>
      <c r="H35" s="356">
        <f t="shared" ca="1" si="4"/>
        <v>0</v>
      </c>
      <c r="I35" s="356">
        <f t="shared" ca="1" si="5"/>
        <v>57690</v>
      </c>
      <c r="J35" s="356">
        <f t="shared" ca="1" si="6"/>
        <v>0</v>
      </c>
      <c r="K35" s="357">
        <f t="shared" ca="1" si="7"/>
        <v>57690</v>
      </c>
      <c r="L35" s="362"/>
      <c r="M35" s="362"/>
      <c r="N35" s="362"/>
      <c r="O35" s="358"/>
      <c r="P35" s="358"/>
      <c r="Q35" s="341"/>
      <c r="R35" s="333"/>
      <c r="S35" s="359"/>
      <c r="T35" s="338"/>
      <c r="U35" s="338"/>
      <c r="V35" s="338"/>
    </row>
    <row r="36" spans="1:22" s="363" customFormat="1">
      <c r="A36" s="333"/>
      <c r="B36" s="496">
        <v>14</v>
      </c>
      <c r="C36" s="497" t="s">
        <v>234</v>
      </c>
      <c r="D36" s="353" t="str">
        <f ca="1">IF(ISERROR(OFFSET('HARGA SATUAN'!$D$6,MATCH(RAB!C36,'HARGA SATUAN'!$C$7:$C$1492,0),0)),"",OFFSET('HARGA SATUAN'!$D$6,MATCH(RAB!C36,'HARGA SATUAN'!$C$7:$C$1492,0),0))</f>
        <v>HDW</v>
      </c>
      <c r="E36" s="354" t="str">
        <f ca="1">IF(B36="+","Unit",IF(ISERROR(OFFSET('HARGA SATUAN'!$E$6,MATCH(RAB!C36,'HARGA SATUAN'!$C$7:$C$1492,0),0)),"",OFFSET('HARGA SATUAN'!$E$6,MATCH(RAB!C36,'HARGA SATUAN'!$C$7:$C$1492,0),0)))</f>
        <v>Bh</v>
      </c>
      <c r="F36" s="493">
        <f>F20*2</f>
        <v>2</v>
      </c>
      <c r="G36" s="355">
        <f ca="1">IF(ISERROR(OFFSET('HARGA SATUAN'!$I$6,MATCH(RAB!C36,'HARGA SATUAN'!$C$7:$C$1492,0),0)),0,OFFSET('HARGA SATUAN'!$I$6,MATCH(RAB!C36,'HARGA SATUAN'!$C$7:$C$1492,0),0))</f>
        <v>67500</v>
      </c>
      <c r="H36" s="356">
        <f t="shared" ca="1" si="4"/>
        <v>0</v>
      </c>
      <c r="I36" s="356">
        <f t="shared" ca="1" si="5"/>
        <v>135000</v>
      </c>
      <c r="J36" s="356">
        <f t="shared" ca="1" si="6"/>
        <v>0</v>
      </c>
      <c r="K36" s="357">
        <f t="shared" ca="1" si="7"/>
        <v>135000</v>
      </c>
      <c r="L36" s="362"/>
      <c r="M36" s="362"/>
      <c r="N36" s="362"/>
      <c r="O36" s="358"/>
      <c r="P36" s="358"/>
      <c r="Q36" s="341"/>
      <c r="R36" s="333"/>
      <c r="S36" s="359"/>
      <c r="T36" s="338"/>
      <c r="U36" s="338"/>
      <c r="V36" s="338"/>
    </row>
    <row r="37" spans="1:22" s="363" customFormat="1">
      <c r="A37" s="333"/>
      <c r="B37" s="496">
        <v>15</v>
      </c>
      <c r="C37" s="497" t="s">
        <v>267</v>
      </c>
      <c r="D37" s="353" t="str">
        <f ca="1">IF(ISERROR(OFFSET('HARGA SATUAN'!$D$6,MATCH(RAB!C37,'HARGA SATUAN'!$C$7:$C$1492,0),0)),"",OFFSET('HARGA SATUAN'!$D$6,MATCH(RAB!C37,'HARGA SATUAN'!$C$7:$C$1492,0),0))</f>
        <v>HDW</v>
      </c>
      <c r="E37" s="354" t="str">
        <f ca="1">IF(B37="+","Unit",IF(ISERROR(OFFSET('HARGA SATUAN'!$E$6,MATCH(RAB!C37,'HARGA SATUAN'!$C$7:$C$1492,0),0)),"",OFFSET('HARGA SATUAN'!$E$6,MATCH(RAB!C37,'HARGA SATUAN'!$C$7:$C$1492,0),0)))</f>
        <v>Bh</v>
      </c>
      <c r="F37" s="493">
        <f>F20*2</f>
        <v>2</v>
      </c>
      <c r="G37" s="355">
        <f ca="1">IF(ISERROR(OFFSET('HARGA SATUAN'!$I$6,MATCH(RAB!C37,'HARGA SATUAN'!$C$7:$C$1492,0),0)),0,OFFSET('HARGA SATUAN'!$I$6,MATCH(RAB!C37,'HARGA SATUAN'!$C$7:$C$1492,0),0))</f>
        <v>129000</v>
      </c>
      <c r="H37" s="356">
        <f t="shared" ca="1" si="4"/>
        <v>0</v>
      </c>
      <c r="I37" s="356">
        <f t="shared" ca="1" si="5"/>
        <v>258000</v>
      </c>
      <c r="J37" s="356">
        <f t="shared" ca="1" si="6"/>
        <v>0</v>
      </c>
      <c r="K37" s="357">
        <f t="shared" ca="1" si="7"/>
        <v>258000</v>
      </c>
      <c r="L37" s="362"/>
      <c r="M37" s="362"/>
      <c r="N37" s="362"/>
      <c r="O37" s="358"/>
      <c r="P37" s="358"/>
      <c r="Q37" s="341"/>
      <c r="R37" s="333"/>
      <c r="S37" s="359"/>
      <c r="T37" s="338"/>
      <c r="U37" s="338"/>
      <c r="V37" s="338"/>
    </row>
    <row r="38" spans="1:22" s="363" customFormat="1">
      <c r="A38" s="333"/>
      <c r="B38" s="496">
        <v>16</v>
      </c>
      <c r="C38" s="497" t="s">
        <v>607</v>
      </c>
      <c r="D38" s="353" t="str">
        <f ca="1">IF(ISERROR(OFFSET('HARGA SATUAN'!$D$6,MATCH(RAB!C38,'HARGA SATUAN'!$C$7:$C$1492,0),0)),"",OFFSET('HARGA SATUAN'!$D$6,MATCH(RAB!C38,'HARGA SATUAN'!$C$7:$C$1492,0),0))</f>
        <v>HDW</v>
      </c>
      <c r="E38" s="354" t="str">
        <f ca="1">IF(B38="+","Unit",IF(ISERROR(OFFSET('HARGA SATUAN'!$E$6,MATCH(RAB!C38,'HARGA SATUAN'!$C$7:$C$1492,0),0)),"",OFFSET('HARGA SATUAN'!$E$6,MATCH(RAB!C38,'HARGA SATUAN'!$C$7:$C$1492,0),0)))</f>
        <v>Bh</v>
      </c>
      <c r="F38" s="493">
        <f>F20*4</f>
        <v>4</v>
      </c>
      <c r="G38" s="355">
        <f ca="1">IF(ISERROR(OFFSET('HARGA SATUAN'!$I$6,MATCH(RAB!C38,'HARGA SATUAN'!$C$7:$C$1492,0),0)),0,OFFSET('HARGA SATUAN'!$I$6,MATCH(RAB!C38,'HARGA SATUAN'!$C$7:$C$1492,0),0))</f>
        <v>250000</v>
      </c>
      <c r="H38" s="356">
        <f t="shared" ca="1" si="4"/>
        <v>0</v>
      </c>
      <c r="I38" s="356">
        <f t="shared" ca="1" si="5"/>
        <v>1000000</v>
      </c>
      <c r="J38" s="356">
        <f t="shared" ca="1" si="6"/>
        <v>0</v>
      </c>
      <c r="K38" s="357">
        <f t="shared" ca="1" si="7"/>
        <v>1000000</v>
      </c>
      <c r="L38" s="362"/>
      <c r="M38" s="362"/>
      <c r="N38" s="362"/>
      <c r="O38" s="358"/>
      <c r="P38" s="358"/>
      <c r="Q38" s="341"/>
      <c r="R38" s="333"/>
      <c r="S38" s="359"/>
      <c r="T38" s="338"/>
      <c r="U38" s="338"/>
      <c r="V38" s="338"/>
    </row>
    <row r="39" spans="1:22" s="363" customFormat="1">
      <c r="A39" s="333"/>
      <c r="B39" s="496">
        <v>17</v>
      </c>
      <c r="C39" s="497" t="s">
        <v>783</v>
      </c>
      <c r="D39" s="353" t="str">
        <f ca="1">IF(ISERROR(OFFSET('HARGA SATUAN'!$D$6,MATCH(RAB!C39,'HARGA SATUAN'!$C$7:$C$1492,0),0)),"",OFFSET('HARGA SATUAN'!$D$6,MATCH(RAB!C39,'HARGA SATUAN'!$C$7:$C$1492,0),0))</f>
        <v>JASA</v>
      </c>
      <c r="E39" s="354" t="str">
        <f ca="1">IF(B39="+","Unit",IF(ISERROR(OFFSET('HARGA SATUAN'!$E$6,MATCH(RAB!C39,'HARGA SATUAN'!$C$7:$C$1492,0),0)),"",OFFSET('HARGA SATUAN'!$E$6,MATCH(RAB!C39,'HARGA SATUAN'!$C$7:$C$1492,0),0)))</f>
        <v>Unit</v>
      </c>
      <c r="F39" s="493">
        <f>F20*1</f>
        <v>1</v>
      </c>
      <c r="G39" s="355">
        <f ca="1">IF(ISERROR(OFFSET('HARGA SATUAN'!$I$6,MATCH(RAB!C39,'HARGA SATUAN'!$C$7:$C$1492,0),0)),0,OFFSET('HARGA SATUAN'!$I$6,MATCH(RAB!C39,'HARGA SATUAN'!$C$7:$C$1492,0),0))</f>
        <v>1182800</v>
      </c>
      <c r="H39" s="356">
        <f t="shared" ca="1" si="4"/>
        <v>0</v>
      </c>
      <c r="I39" s="356">
        <f t="shared" ca="1" si="5"/>
        <v>0</v>
      </c>
      <c r="J39" s="356">
        <f t="shared" ca="1" si="6"/>
        <v>1182800</v>
      </c>
      <c r="K39" s="357">
        <f t="shared" ca="1" si="7"/>
        <v>1182800</v>
      </c>
      <c r="L39" s="362"/>
      <c r="M39" s="362"/>
      <c r="N39" s="362"/>
      <c r="O39" s="358"/>
      <c r="P39" s="358"/>
      <c r="Q39" s="341"/>
      <c r="R39" s="333"/>
      <c r="S39" s="359"/>
      <c r="T39" s="338"/>
      <c r="U39" s="338"/>
      <c r="V39" s="338"/>
    </row>
    <row r="40" spans="1:22" s="363" customFormat="1">
      <c r="A40" s="333"/>
      <c r="B40" s="485"/>
      <c r="C40" s="486"/>
      <c r="D40" s="353" t="str">
        <f ca="1">IF(ISERROR(OFFSET('HARGA SATUAN'!$D$6,MATCH(RAB!C40,'HARGA SATUAN'!$C$7:$C$1492,0),0)),"",OFFSET('HARGA SATUAN'!$D$6,MATCH(RAB!C40,'HARGA SATUAN'!$C$7:$C$1492,0),0))</f>
        <v/>
      </c>
      <c r="E40" s="354" t="str">
        <f ca="1">IF(B40="+","Unit",IF(ISERROR(OFFSET('HARGA SATUAN'!$E$6,MATCH(RAB!C40,'HARGA SATUAN'!$C$7:$C$1492,0),0)),"",OFFSET('HARGA SATUAN'!$E$6,MATCH(RAB!C40,'HARGA SATUAN'!$C$7:$C$1492,0),0)))</f>
        <v/>
      </c>
      <c r="F40" s="361"/>
      <c r="G40" s="355">
        <f ca="1">IF(ISERROR(OFFSET('HARGA SATUAN'!$I$6,MATCH(RAB!C40,'HARGA SATUAN'!$C$7:$C$1492,0),0)),0,OFFSET('HARGA SATUAN'!$I$6,MATCH(RAB!C40,'HARGA SATUAN'!$C$7:$C$1492,0),0))</f>
        <v>0</v>
      </c>
      <c r="H40" s="356">
        <f t="shared" ca="1" si="4"/>
        <v>0</v>
      </c>
      <c r="I40" s="356">
        <f t="shared" ca="1" si="5"/>
        <v>0</v>
      </c>
      <c r="J40" s="356">
        <f t="shared" ca="1" si="6"/>
        <v>0</v>
      </c>
      <c r="K40" s="357">
        <f t="shared" ca="1" si="7"/>
        <v>0</v>
      </c>
      <c r="L40" s="362"/>
      <c r="M40" s="362"/>
      <c r="N40" s="362"/>
      <c r="O40" s="358"/>
      <c r="P40" s="358"/>
      <c r="Q40" s="341"/>
      <c r="R40" s="333"/>
      <c r="S40" s="359"/>
      <c r="T40" s="338"/>
      <c r="U40" s="338"/>
      <c r="V40" s="338"/>
    </row>
    <row r="41" spans="1:22" s="363" customFormat="1">
      <c r="A41" s="333"/>
      <c r="B41" s="498" t="s">
        <v>1035</v>
      </c>
      <c r="C41" s="502" t="s">
        <v>1615</v>
      </c>
      <c r="D41" s="353" t="str">
        <f ca="1">IF(ISERROR(OFFSET('HARGA SATUAN'!$D$6,MATCH(RAB!C41,'HARGA SATUAN'!$C$7:$C$1492,0),0)),"",OFFSET('HARGA SATUAN'!$D$6,MATCH(RAB!C41,'HARGA SATUAN'!$C$7:$C$1492,0),0))</f>
        <v/>
      </c>
      <c r="E41" s="354" t="str">
        <f ca="1">IF(B41="+","Unit",IF(ISERROR(OFFSET('HARGA SATUAN'!$E$6,MATCH(RAB!C41,'HARGA SATUAN'!$C$7:$C$1492,0),0)),"",OFFSET('HARGA SATUAN'!$E$6,MATCH(RAB!C41,'HARGA SATUAN'!$C$7:$C$1492,0),0)))</f>
        <v>Unit</v>
      </c>
      <c r="F41" s="493">
        <v>2</v>
      </c>
      <c r="G41" s="355">
        <f ca="1">IF(ISERROR(OFFSET('HARGA SATUAN'!$I$6,MATCH(RAB!C41,'HARGA SATUAN'!$C$7:$C$1492,0),0)),0,OFFSET('HARGA SATUAN'!$I$6,MATCH(RAB!C41,'HARGA SATUAN'!$C$7:$C$1492,0),0))</f>
        <v>0</v>
      </c>
      <c r="H41" s="356">
        <f t="shared" ca="1" si="4"/>
        <v>0</v>
      </c>
      <c r="I41" s="356">
        <f t="shared" ca="1" si="5"/>
        <v>0</v>
      </c>
      <c r="J41" s="356">
        <f t="shared" ca="1" si="6"/>
        <v>0</v>
      </c>
      <c r="K41" s="357">
        <f t="shared" ca="1" si="7"/>
        <v>0</v>
      </c>
      <c r="L41" s="362"/>
      <c r="M41" s="362"/>
      <c r="N41" s="362"/>
      <c r="O41" s="358"/>
      <c r="P41" s="358"/>
      <c r="Q41" s="341"/>
      <c r="R41" s="333"/>
      <c r="S41" s="359"/>
      <c r="T41" s="338"/>
      <c r="U41" s="338"/>
      <c r="V41" s="338"/>
    </row>
    <row r="42" spans="1:22" s="363" customFormat="1">
      <c r="A42" s="333"/>
      <c r="B42" s="498">
        <v>1</v>
      </c>
      <c r="C42" s="501" t="s">
        <v>29</v>
      </c>
      <c r="D42" s="353" t="str">
        <f ca="1">IF(ISERROR(OFFSET('HARGA SATUAN'!$D$6,MATCH(RAB!C42,'HARGA SATUAN'!$C$7:$C$1492,0),0)),"",OFFSET('HARGA SATUAN'!$D$6,MATCH(RAB!C42,'HARGA SATUAN'!$C$7:$C$1492,0),0))</f>
        <v>HDW</v>
      </c>
      <c r="E42" s="354" t="str">
        <f ca="1">IF(B42="+","Unit",IF(ISERROR(OFFSET('HARGA SATUAN'!$E$6,MATCH(RAB!C42,'HARGA SATUAN'!$C$7:$C$1492,0),0)),"",OFFSET('HARGA SATUAN'!$E$6,MATCH(RAB!C42,'HARGA SATUAN'!$C$7:$C$1492,0),0)))</f>
        <v>Bh</v>
      </c>
      <c r="F42" s="493">
        <f>F41*1</f>
        <v>2</v>
      </c>
      <c r="G42" s="355">
        <f ca="1">IF(ISERROR(OFFSET('HARGA SATUAN'!$I$6,MATCH(RAB!C42,'HARGA SATUAN'!$C$7:$C$1492,0),0)),0,OFFSET('HARGA SATUAN'!$I$6,MATCH(RAB!C42,'HARGA SATUAN'!$C$7:$C$1492,0),0))</f>
        <v>185200</v>
      </c>
      <c r="H42" s="356">
        <f t="shared" ca="1" si="4"/>
        <v>0</v>
      </c>
      <c r="I42" s="356">
        <f t="shared" ca="1" si="5"/>
        <v>370400</v>
      </c>
      <c r="J42" s="356">
        <f t="shared" ca="1" si="6"/>
        <v>0</v>
      </c>
      <c r="K42" s="357">
        <f t="shared" ca="1" si="7"/>
        <v>370400</v>
      </c>
      <c r="L42" s="362"/>
      <c r="M42" s="362"/>
      <c r="N42" s="362"/>
      <c r="O42" s="358"/>
      <c r="P42" s="358"/>
      <c r="Q42" s="341"/>
      <c r="R42" s="333"/>
      <c r="S42" s="359"/>
      <c r="T42" s="338"/>
      <c r="U42" s="338"/>
      <c r="V42" s="338"/>
    </row>
    <row r="43" spans="1:22" s="363" customFormat="1">
      <c r="A43" s="333"/>
      <c r="B43" s="496">
        <v>2</v>
      </c>
      <c r="C43" s="497" t="s">
        <v>30</v>
      </c>
      <c r="D43" s="353" t="str">
        <f ca="1">IF(ISERROR(OFFSET('HARGA SATUAN'!$D$6,MATCH(RAB!C43,'HARGA SATUAN'!$C$7:$C$1492,0),0)),"",OFFSET('HARGA SATUAN'!$D$6,MATCH(RAB!C43,'HARGA SATUAN'!$C$7:$C$1492,0),0))</f>
        <v>HDW</v>
      </c>
      <c r="E43" s="354" t="str">
        <f ca="1">IF(B43="+","Unit",IF(ISERROR(OFFSET('HARGA SATUAN'!$E$6,MATCH(RAB!C43,'HARGA SATUAN'!$C$7:$C$1492,0),0)),"",OFFSET('HARGA SATUAN'!$E$6,MATCH(RAB!C43,'HARGA SATUAN'!$C$7:$C$1492,0),0)))</f>
        <v>Bh</v>
      </c>
      <c r="F43" s="493">
        <f>F41*1</f>
        <v>2</v>
      </c>
      <c r="G43" s="355">
        <f ca="1">IF(ISERROR(OFFSET('HARGA SATUAN'!$I$6,MATCH(RAB!C43,'HARGA SATUAN'!$C$7:$C$1492,0),0)),0,OFFSET('HARGA SATUAN'!$I$6,MATCH(RAB!C43,'HARGA SATUAN'!$C$7:$C$1492,0),0))</f>
        <v>47459</v>
      </c>
      <c r="H43" s="356">
        <f t="shared" ca="1" si="4"/>
        <v>0</v>
      </c>
      <c r="I43" s="356">
        <f t="shared" ca="1" si="5"/>
        <v>94918</v>
      </c>
      <c r="J43" s="356">
        <f t="shared" ca="1" si="6"/>
        <v>0</v>
      </c>
      <c r="K43" s="357">
        <f t="shared" ca="1" si="7"/>
        <v>94918</v>
      </c>
      <c r="L43" s="362"/>
      <c r="M43" s="362"/>
      <c r="N43" s="362"/>
      <c r="O43" s="358"/>
      <c r="P43" s="358"/>
      <c r="Q43" s="341"/>
      <c r="R43" s="333"/>
      <c r="S43" s="359"/>
      <c r="T43" s="338"/>
      <c r="U43" s="338"/>
      <c r="V43" s="338"/>
    </row>
    <row r="44" spans="1:22" s="363" customFormat="1">
      <c r="A44" s="333"/>
      <c r="B44" s="496">
        <v>3</v>
      </c>
      <c r="C44" s="497" t="s">
        <v>31</v>
      </c>
      <c r="D44" s="353" t="str">
        <f ca="1">IF(ISERROR(OFFSET('HARGA SATUAN'!$D$6,MATCH(RAB!C44,'HARGA SATUAN'!$C$7:$C$1492,0),0)),"",OFFSET('HARGA SATUAN'!$D$6,MATCH(RAB!C44,'HARGA SATUAN'!$C$7:$C$1492,0),0))</f>
        <v>HDW</v>
      </c>
      <c r="E44" s="354" t="str">
        <f ca="1">IF(B44="+","Unit",IF(ISERROR(OFFSET('HARGA SATUAN'!$E$6,MATCH(RAB!C44,'HARGA SATUAN'!$C$7:$C$1492,0),0)),"",OFFSET('HARGA SATUAN'!$E$6,MATCH(RAB!C44,'HARGA SATUAN'!$C$7:$C$1492,0),0)))</f>
        <v>Bh</v>
      </c>
      <c r="F44" s="493">
        <f>F41*1</f>
        <v>2</v>
      </c>
      <c r="G44" s="355">
        <f ca="1">IF(ISERROR(OFFSET('HARGA SATUAN'!$I$6,MATCH(RAB!C44,'HARGA SATUAN'!$C$7:$C$1492,0),0)),0,OFFSET('HARGA SATUAN'!$I$6,MATCH(RAB!C44,'HARGA SATUAN'!$C$7:$C$1492,0),0))</f>
        <v>4880</v>
      </c>
      <c r="H44" s="356">
        <f t="shared" ca="1" si="4"/>
        <v>0</v>
      </c>
      <c r="I44" s="356">
        <f t="shared" ca="1" si="5"/>
        <v>9760</v>
      </c>
      <c r="J44" s="356">
        <f t="shared" ca="1" si="6"/>
        <v>0</v>
      </c>
      <c r="K44" s="357">
        <f t="shared" ca="1" si="7"/>
        <v>9760</v>
      </c>
      <c r="L44" s="362"/>
      <c r="M44" s="362"/>
      <c r="N44" s="362"/>
      <c r="O44" s="358"/>
      <c r="P44" s="358"/>
      <c r="Q44" s="341"/>
      <c r="R44" s="333"/>
      <c r="S44" s="359"/>
      <c r="T44" s="338"/>
      <c r="U44" s="338"/>
      <c r="V44" s="338"/>
    </row>
    <row r="45" spans="1:22" s="363" customFormat="1">
      <c r="A45" s="333"/>
      <c r="B45" s="496">
        <v>4</v>
      </c>
      <c r="C45" s="497" t="s">
        <v>32</v>
      </c>
      <c r="D45" s="353" t="str">
        <f ca="1">IF(ISERROR(OFFSET('HARGA SATUAN'!$D$6,MATCH(RAB!C45,'HARGA SATUAN'!$C$7:$C$1492,0),0)),"",OFFSET('HARGA SATUAN'!$D$6,MATCH(RAB!C45,'HARGA SATUAN'!$C$7:$C$1492,0),0))</f>
        <v>HDW</v>
      </c>
      <c r="E45" s="354" t="str">
        <f ca="1">IF(B45="+","Unit",IF(ISERROR(OFFSET('HARGA SATUAN'!$E$6,MATCH(RAB!C45,'HARGA SATUAN'!$C$7:$C$1492,0),0)),"",OFFSET('HARGA SATUAN'!$E$6,MATCH(RAB!C45,'HARGA SATUAN'!$C$7:$C$1492,0),0)))</f>
        <v>Mtr</v>
      </c>
      <c r="F45" s="493">
        <f>F41*10</f>
        <v>20</v>
      </c>
      <c r="G45" s="355">
        <f ca="1">IF(ISERROR(OFFSET('HARGA SATUAN'!$I$6,MATCH(RAB!C45,'HARGA SATUAN'!$C$7:$C$1492,0),0)),0,OFFSET('HARGA SATUAN'!$I$6,MATCH(RAB!C45,'HARGA SATUAN'!$C$7:$C$1492,0),0))</f>
        <v>30000</v>
      </c>
      <c r="H45" s="356">
        <f t="shared" ca="1" si="4"/>
        <v>0</v>
      </c>
      <c r="I45" s="356">
        <f t="shared" ca="1" si="5"/>
        <v>600000</v>
      </c>
      <c r="J45" s="356">
        <f t="shared" ca="1" si="6"/>
        <v>0</v>
      </c>
      <c r="K45" s="357">
        <f t="shared" ca="1" si="7"/>
        <v>600000</v>
      </c>
      <c r="L45" s="362"/>
      <c r="M45" s="362"/>
      <c r="N45" s="362"/>
      <c r="O45" s="358"/>
      <c r="P45" s="358"/>
      <c r="Q45" s="341"/>
      <c r="R45" s="333"/>
      <c r="S45" s="359"/>
      <c r="T45" s="338"/>
      <c r="U45" s="338"/>
      <c r="V45" s="338"/>
    </row>
    <row r="46" spans="1:22" s="363" customFormat="1">
      <c r="A46" s="333"/>
      <c r="B46" s="496">
        <v>5</v>
      </c>
      <c r="C46" s="497" t="s">
        <v>33</v>
      </c>
      <c r="D46" s="353" t="str">
        <f ca="1">IF(ISERROR(OFFSET('HARGA SATUAN'!$D$6,MATCH(RAB!C46,'HARGA SATUAN'!$C$7:$C$1492,0),0)),"",OFFSET('HARGA SATUAN'!$D$6,MATCH(RAB!C46,'HARGA SATUAN'!$C$7:$C$1492,0),0))</f>
        <v>HDW</v>
      </c>
      <c r="E46" s="354" t="str">
        <f ca="1">IF(B46="+","Unit",IF(ISERROR(OFFSET('HARGA SATUAN'!$E$6,MATCH(RAB!C46,'HARGA SATUAN'!$C$7:$C$1492,0),0)),"",OFFSET('HARGA SATUAN'!$E$6,MATCH(RAB!C46,'HARGA SATUAN'!$C$7:$C$1492,0),0)))</f>
        <v>Bh</v>
      </c>
      <c r="F46" s="493">
        <f>F41*2</f>
        <v>4</v>
      </c>
      <c r="G46" s="355">
        <f ca="1">IF(ISERROR(OFFSET('HARGA SATUAN'!$I$6,MATCH(RAB!C46,'HARGA SATUAN'!$C$7:$C$1492,0),0)),0,OFFSET('HARGA SATUAN'!$I$6,MATCH(RAB!C46,'HARGA SATUAN'!$C$7:$C$1492,0),0))</f>
        <v>9500</v>
      </c>
      <c r="H46" s="356">
        <f t="shared" ca="1" si="4"/>
        <v>0</v>
      </c>
      <c r="I46" s="356">
        <f t="shared" ca="1" si="5"/>
        <v>38000</v>
      </c>
      <c r="J46" s="356">
        <f t="shared" ca="1" si="6"/>
        <v>0</v>
      </c>
      <c r="K46" s="357">
        <f t="shared" ca="1" si="7"/>
        <v>38000</v>
      </c>
      <c r="L46" s="362"/>
      <c r="M46" s="362"/>
      <c r="N46" s="362"/>
      <c r="O46" s="358"/>
      <c r="P46" s="358"/>
      <c r="Q46" s="341"/>
      <c r="R46" s="333"/>
      <c r="S46" s="359"/>
      <c r="T46" s="338"/>
      <c r="U46" s="338"/>
      <c r="V46" s="338"/>
    </row>
    <row r="47" spans="1:22" s="363" customFormat="1">
      <c r="A47" s="333"/>
      <c r="B47" s="496">
        <v>6</v>
      </c>
      <c r="C47" s="497" t="s">
        <v>34</v>
      </c>
      <c r="D47" s="353" t="str">
        <f ca="1">IF(ISERROR(OFFSET('HARGA SATUAN'!$D$6,MATCH(RAB!C47,'HARGA SATUAN'!$C$7:$C$1492,0),0)),"",OFFSET('HARGA SATUAN'!$D$6,MATCH(RAB!C47,'HARGA SATUAN'!$C$7:$C$1492,0),0))</f>
        <v>HDW</v>
      </c>
      <c r="E47" s="354" t="str">
        <f ca="1">IF(B47="+","Unit",IF(ISERROR(OFFSET('HARGA SATUAN'!$E$6,MATCH(RAB!C47,'HARGA SATUAN'!$C$7:$C$1492,0),0)),"",OFFSET('HARGA SATUAN'!$E$6,MATCH(RAB!C47,'HARGA SATUAN'!$C$7:$C$1492,0),0)))</f>
        <v>Bh</v>
      </c>
      <c r="F47" s="493">
        <f>F41*5.5</f>
        <v>11</v>
      </c>
      <c r="G47" s="355">
        <f ca="1">IF(ISERROR(OFFSET('HARGA SATUAN'!$I$6,MATCH(RAB!C47,'HARGA SATUAN'!$C$7:$C$1492,0),0)),0,OFFSET('HARGA SATUAN'!$I$6,MATCH(RAB!C47,'HARGA SATUAN'!$C$7:$C$1492,0),0))</f>
        <v>6100</v>
      </c>
      <c r="H47" s="356">
        <f t="shared" ca="1" si="4"/>
        <v>0</v>
      </c>
      <c r="I47" s="356">
        <f t="shared" ca="1" si="5"/>
        <v>67100</v>
      </c>
      <c r="J47" s="356">
        <f t="shared" ca="1" si="6"/>
        <v>0</v>
      </c>
      <c r="K47" s="357">
        <f t="shared" ca="1" si="7"/>
        <v>67100</v>
      </c>
      <c r="L47" s="362"/>
      <c r="M47" s="362"/>
      <c r="N47" s="362"/>
      <c r="O47" s="358"/>
      <c r="P47" s="358"/>
      <c r="Q47" s="341"/>
      <c r="R47" s="333"/>
      <c r="S47" s="359"/>
      <c r="T47" s="338"/>
      <c r="U47" s="338"/>
      <c r="V47" s="338"/>
    </row>
    <row r="48" spans="1:22" s="363" customFormat="1">
      <c r="A48" s="333"/>
      <c r="B48" s="496">
        <v>7</v>
      </c>
      <c r="C48" s="497" t="s">
        <v>35</v>
      </c>
      <c r="D48" s="353" t="str">
        <f ca="1">IF(ISERROR(OFFSET('HARGA SATUAN'!$D$6,MATCH(RAB!C48,'HARGA SATUAN'!$C$7:$C$1492,0),0)),"",OFFSET('HARGA SATUAN'!$D$6,MATCH(RAB!C48,'HARGA SATUAN'!$C$7:$C$1492,0),0))</f>
        <v>HDW</v>
      </c>
      <c r="E48" s="354" t="str">
        <f ca="1">IF(B48="+","Unit",IF(ISERROR(OFFSET('HARGA SATUAN'!$E$6,MATCH(RAB!C48,'HARGA SATUAN'!$C$7:$C$1492,0),0)),"",OFFSET('HARGA SATUAN'!$E$6,MATCH(RAB!C48,'HARGA SATUAN'!$C$7:$C$1492,0),0)))</f>
        <v>Bh</v>
      </c>
      <c r="F48" s="493">
        <f>F41*6</f>
        <v>12</v>
      </c>
      <c r="G48" s="355">
        <f ca="1">IF(ISERROR(OFFSET('HARGA SATUAN'!$I$6,MATCH(RAB!C48,'HARGA SATUAN'!$C$7:$C$1492,0),0)),0,OFFSET('HARGA SATUAN'!$I$6,MATCH(RAB!C48,'HARGA SATUAN'!$C$7:$C$1492,0),0))</f>
        <v>2300</v>
      </c>
      <c r="H48" s="356">
        <f t="shared" ca="1" si="4"/>
        <v>0</v>
      </c>
      <c r="I48" s="356">
        <f t="shared" ca="1" si="5"/>
        <v>27600</v>
      </c>
      <c r="J48" s="356">
        <f t="shared" ca="1" si="6"/>
        <v>0</v>
      </c>
      <c r="K48" s="357">
        <f t="shared" ca="1" si="7"/>
        <v>27600</v>
      </c>
      <c r="L48" s="362"/>
      <c r="M48" s="362"/>
      <c r="N48" s="362"/>
      <c r="O48" s="358"/>
      <c r="P48" s="358"/>
      <c r="Q48" s="341"/>
      <c r="R48" s="333"/>
      <c r="S48" s="359"/>
      <c r="T48" s="338"/>
      <c r="U48" s="338"/>
      <c r="V48" s="338"/>
    </row>
    <row r="49" spans="1:22" s="363" customFormat="1">
      <c r="A49" s="333"/>
      <c r="B49" s="496">
        <v>8</v>
      </c>
      <c r="C49" s="497" t="s">
        <v>1616</v>
      </c>
      <c r="D49" s="353" t="str">
        <f ca="1">IF(ISERROR(OFFSET('HARGA SATUAN'!$D$6,MATCH(RAB!C49,'HARGA SATUAN'!$C$7:$C$1492,0),0)),"",OFFSET('HARGA SATUAN'!$D$6,MATCH(RAB!C49,'HARGA SATUAN'!$C$7:$C$1492,0),0))</f>
        <v>HDW</v>
      </c>
      <c r="E49" s="354" t="str">
        <f ca="1">IF(B49="+","Unit",IF(ISERROR(OFFSET('HARGA SATUAN'!$E$6,MATCH(RAB!C49,'HARGA SATUAN'!$C$7:$C$1492,0),0)),"",OFFSET('HARGA SATUAN'!$E$6,MATCH(RAB!C49,'HARGA SATUAN'!$C$7:$C$1492,0),0)))</f>
        <v>Mtr</v>
      </c>
      <c r="F49" s="493">
        <f>F41*4.8</f>
        <v>9.6</v>
      </c>
      <c r="G49" s="355">
        <f ca="1">IF(ISERROR(OFFSET('HARGA SATUAN'!$I$6,MATCH(RAB!C49,'HARGA SATUAN'!$C$7:$C$1492,0),0)),0,OFFSET('HARGA SATUAN'!$I$6,MATCH(RAB!C49,'HARGA SATUAN'!$C$7:$C$1492,0),0))</f>
        <v>23310</v>
      </c>
      <c r="H49" s="356">
        <f t="shared" ca="1" si="4"/>
        <v>0</v>
      </c>
      <c r="I49" s="356">
        <f t="shared" ca="1" si="5"/>
        <v>223776</v>
      </c>
      <c r="J49" s="356">
        <f t="shared" ca="1" si="6"/>
        <v>0</v>
      </c>
      <c r="K49" s="357">
        <f t="shared" ca="1" si="7"/>
        <v>223776</v>
      </c>
      <c r="L49" s="362"/>
      <c r="M49" s="362"/>
      <c r="N49" s="362"/>
      <c r="O49" s="358"/>
      <c r="P49" s="358"/>
      <c r="Q49" s="341"/>
      <c r="R49" s="333"/>
      <c r="S49" s="359"/>
      <c r="T49" s="338"/>
      <c r="U49" s="338"/>
      <c r="V49" s="338"/>
    </row>
    <row r="50" spans="1:22" s="363" customFormat="1">
      <c r="A50" s="333"/>
      <c r="B50" s="496">
        <v>9</v>
      </c>
      <c r="C50" s="497" t="s">
        <v>736</v>
      </c>
      <c r="D50" s="353" t="str">
        <f ca="1">IF(ISERROR(OFFSET('HARGA SATUAN'!$D$6,MATCH(RAB!C50,'HARGA SATUAN'!$C$7:$C$1492,0),0)),"",OFFSET('HARGA SATUAN'!$D$6,MATCH(RAB!C50,'HARGA SATUAN'!$C$7:$C$1492,0),0))</f>
        <v>JASA</v>
      </c>
      <c r="E50" s="354" t="str">
        <f ca="1">IF(B50="+","Unit",IF(ISERROR(OFFSET('HARGA SATUAN'!$E$6,MATCH(RAB!C50,'HARGA SATUAN'!$C$7:$C$1492,0),0)),"",OFFSET('HARGA SATUAN'!$E$6,MATCH(RAB!C50,'HARGA SATUAN'!$C$7:$C$1492,0),0)))</f>
        <v>Unit</v>
      </c>
      <c r="F50" s="493">
        <f>F41*1</f>
        <v>2</v>
      </c>
      <c r="G50" s="355">
        <f ca="1">IF(ISERROR(OFFSET('HARGA SATUAN'!$I$6,MATCH(RAB!C50,'HARGA SATUAN'!$C$7:$C$1492,0),0)),0,OFFSET('HARGA SATUAN'!$I$6,MATCH(RAB!C50,'HARGA SATUAN'!$C$7:$C$1492,0),0))</f>
        <v>65400</v>
      </c>
      <c r="H50" s="356">
        <f t="shared" ca="1" si="4"/>
        <v>0</v>
      </c>
      <c r="I50" s="356">
        <f t="shared" ca="1" si="5"/>
        <v>0</v>
      </c>
      <c r="J50" s="356">
        <f t="shared" ca="1" si="6"/>
        <v>130800</v>
      </c>
      <c r="K50" s="357">
        <f t="shared" ca="1" si="7"/>
        <v>130800</v>
      </c>
      <c r="L50" s="362"/>
      <c r="M50" s="362"/>
      <c r="N50" s="362"/>
      <c r="O50" s="358"/>
      <c r="P50" s="358"/>
      <c r="Q50" s="341"/>
      <c r="R50" s="333"/>
      <c r="S50" s="359"/>
      <c r="T50" s="338"/>
      <c r="U50" s="338"/>
      <c r="V50" s="338"/>
    </row>
    <row r="51" spans="1:22" s="363" customFormat="1">
      <c r="A51" s="333"/>
      <c r="B51" s="485"/>
      <c r="C51" s="486"/>
      <c r="D51" s="353" t="str">
        <f ca="1">IF(ISERROR(OFFSET('HARGA SATUAN'!$D$6,MATCH(RAB!C51,'HARGA SATUAN'!$C$7:$C$1492,0),0)),"",OFFSET('HARGA SATUAN'!$D$6,MATCH(RAB!C51,'HARGA SATUAN'!$C$7:$C$1492,0),0))</f>
        <v/>
      </c>
      <c r="E51" s="354" t="str">
        <f ca="1">IF(B51="+","Unit",IF(ISERROR(OFFSET('HARGA SATUAN'!$E$6,MATCH(RAB!C51,'HARGA SATUAN'!$C$7:$C$1492,0),0)),"",OFFSET('HARGA SATUAN'!$E$6,MATCH(RAB!C51,'HARGA SATUAN'!$C$7:$C$1492,0),0)))</f>
        <v/>
      </c>
      <c r="F51" s="361"/>
      <c r="G51" s="355">
        <f ca="1">IF(ISERROR(OFFSET('HARGA SATUAN'!$I$6,MATCH(RAB!C51,'HARGA SATUAN'!$C$7:$C$1492,0),0)),0,OFFSET('HARGA SATUAN'!$I$6,MATCH(RAB!C51,'HARGA SATUAN'!$C$7:$C$1492,0),0))</f>
        <v>0</v>
      </c>
      <c r="H51" s="356">
        <f t="shared" ca="1" si="4"/>
        <v>0</v>
      </c>
      <c r="I51" s="356">
        <f t="shared" ca="1" si="5"/>
        <v>0</v>
      </c>
      <c r="J51" s="356">
        <f t="shared" ca="1" si="6"/>
        <v>0</v>
      </c>
      <c r="K51" s="357">
        <f t="shared" ca="1" si="7"/>
        <v>0</v>
      </c>
      <c r="L51" s="362"/>
      <c r="M51" s="362"/>
      <c r="N51" s="362"/>
      <c r="O51" s="358"/>
      <c r="P51" s="358"/>
      <c r="Q51" s="341"/>
      <c r="R51" s="333"/>
      <c r="S51" s="359"/>
      <c r="T51" s="338"/>
      <c r="U51" s="338"/>
      <c r="V51" s="338"/>
    </row>
    <row r="52" spans="1:22" s="363" customFormat="1">
      <c r="A52" s="333"/>
      <c r="B52" s="485" t="s">
        <v>526</v>
      </c>
      <c r="C52" s="486" t="s">
        <v>618</v>
      </c>
      <c r="D52" s="353" t="str">
        <f ca="1">IF(ISERROR(OFFSET('HARGA SATUAN'!$D$6,MATCH(RAB!C52,'HARGA SATUAN'!$C$7:$C$1492,0),0)),"",OFFSET('HARGA SATUAN'!$D$6,MATCH(RAB!C52,'HARGA SATUAN'!$C$7:$C$1492,0),0))</f>
        <v/>
      </c>
      <c r="E52" s="354">
        <f ca="1">IF(B52="+","Unit",IF(ISERROR(OFFSET('HARGA SATUAN'!$E$6,MATCH(RAB!C52,'HARGA SATUAN'!$C$7:$C$1492,0),0)),"",OFFSET('HARGA SATUAN'!$E$6,MATCH(RAB!C52,'HARGA SATUAN'!$C$7:$C$1492,0),0)))</f>
        <v>0</v>
      </c>
      <c r="F52" s="361"/>
      <c r="G52" s="355">
        <f ca="1">IF(ISERROR(OFFSET('HARGA SATUAN'!$I$6,MATCH(RAB!C52,'HARGA SATUAN'!$C$7:$C$1492,0),0)),0,OFFSET('HARGA SATUAN'!$I$6,MATCH(RAB!C52,'HARGA SATUAN'!$C$7:$C$1492,0),0))</f>
        <v>0</v>
      </c>
      <c r="H52" s="356">
        <f t="shared" ca="1" si="4"/>
        <v>0</v>
      </c>
      <c r="I52" s="356">
        <f t="shared" ca="1" si="5"/>
        <v>0</v>
      </c>
      <c r="J52" s="356">
        <f t="shared" ca="1" si="6"/>
        <v>0</v>
      </c>
      <c r="K52" s="357">
        <f t="shared" ca="1" si="7"/>
        <v>0</v>
      </c>
      <c r="L52" s="362"/>
      <c r="M52" s="362"/>
      <c r="N52" s="362"/>
      <c r="O52" s="358"/>
      <c r="P52" s="358"/>
      <c r="Q52" s="341"/>
      <c r="R52" s="333"/>
      <c r="S52" s="359"/>
      <c r="T52" s="338"/>
      <c r="U52" s="338"/>
      <c r="V52" s="338"/>
    </row>
    <row r="53" spans="1:22" s="363" customFormat="1">
      <c r="A53" s="333"/>
      <c r="B53" s="485"/>
      <c r="C53" s="486"/>
      <c r="D53" s="353" t="str">
        <f ca="1">IF(ISERROR(OFFSET('HARGA SATUAN'!$D$6,MATCH(RAB!C53,'HARGA SATUAN'!$C$7:$C$1492,0),0)),"",OFFSET('HARGA SATUAN'!$D$6,MATCH(RAB!C53,'HARGA SATUAN'!$C$7:$C$1492,0),0))</f>
        <v/>
      </c>
      <c r="E53" s="354" t="str">
        <f ca="1">IF(B53="+","Unit",IF(ISERROR(OFFSET('HARGA SATUAN'!$E$6,MATCH(RAB!C53,'HARGA SATUAN'!$C$7:$C$1492,0),0)),"",OFFSET('HARGA SATUAN'!$E$6,MATCH(RAB!C53,'HARGA SATUAN'!$C$7:$C$1492,0),0)))</f>
        <v/>
      </c>
      <c r="F53" s="361"/>
      <c r="G53" s="355">
        <f ca="1">IF(ISERROR(OFFSET('HARGA SATUAN'!$I$6,MATCH(RAB!C53,'HARGA SATUAN'!$C$7:$C$1492,0),0)),0,OFFSET('HARGA SATUAN'!$I$6,MATCH(RAB!C53,'HARGA SATUAN'!$C$7:$C$1492,0),0))</f>
        <v>0</v>
      </c>
      <c r="H53" s="356">
        <f t="shared" ref="H53" ca="1" si="8">IF(OR(D53="MDU",D53="MDU-KD"),(IF($O$3="RAB NON MDU","PLN KD",G53*F53)),0)</f>
        <v>0</v>
      </c>
      <c r="I53" s="356">
        <f t="shared" ref="I53" ca="1" si="9">IF(D53="HDW",G53*F53,0)</f>
        <v>0</v>
      </c>
      <c r="J53" s="356">
        <f t="shared" ref="J53" ca="1" si="10">IF(D53="JASA",G53*F53,0)</f>
        <v>0</v>
      </c>
      <c r="K53" s="357">
        <f t="shared" ref="K53" ca="1" si="11">SUM(H53:J53)</f>
        <v>0</v>
      </c>
      <c r="L53" s="362"/>
      <c r="M53" s="362"/>
      <c r="N53" s="362"/>
      <c r="O53" s="358"/>
      <c r="P53" s="358"/>
      <c r="Q53" s="341"/>
      <c r="R53" s="333"/>
      <c r="S53" s="359"/>
      <c r="T53" s="338"/>
      <c r="U53" s="338"/>
      <c r="V53" s="338"/>
    </row>
    <row r="54" spans="1:22" s="363" customFormat="1">
      <c r="A54" s="333"/>
      <c r="B54" s="503" t="s">
        <v>1035</v>
      </c>
      <c r="C54" s="504" t="s">
        <v>1618</v>
      </c>
      <c r="D54" s="353" t="str">
        <f ca="1">IF(ISERROR(OFFSET('HARGA SATUAN'!$D$6,MATCH(RAB!C54,'HARGA SATUAN'!$C$7:$C$1492,0),0)),"",OFFSET('HARGA SATUAN'!$D$6,MATCH(RAB!C54,'HARGA SATUAN'!$C$7:$C$1492,0),0))</f>
        <v/>
      </c>
      <c r="E54" s="354" t="str">
        <f ca="1">IF(B54="+","Unit",IF(ISERROR(OFFSET('HARGA SATUAN'!$E$6,MATCH(RAB!C54,'HARGA SATUAN'!$C$7:$C$1492,0),0)),"",OFFSET('HARGA SATUAN'!$E$6,MATCH(RAB!C54,'HARGA SATUAN'!$C$7:$C$1492,0),0)))</f>
        <v>Unit</v>
      </c>
      <c r="F54" s="493">
        <v>2</v>
      </c>
      <c r="G54" s="355">
        <f ca="1">IF(ISERROR(OFFSET('HARGA SATUAN'!$I$6,MATCH(RAB!C54,'HARGA SATUAN'!$C$7:$C$1492,0),0)),0,OFFSET('HARGA SATUAN'!$I$6,MATCH(RAB!C54,'HARGA SATUAN'!$C$7:$C$1492,0),0))</f>
        <v>0</v>
      </c>
      <c r="H54" s="356">
        <f t="shared" ref="H54:H83" ca="1" si="12">IF(OR(D54="MDU",D54="MDU-KD"),(IF($O$3="RAB NON MDU","PLN KD",G54*F54)),0)</f>
        <v>0</v>
      </c>
      <c r="I54" s="356">
        <f t="shared" ref="I54:I83" ca="1" si="13">IF(D54="HDW",G54*F54,0)</f>
        <v>0</v>
      </c>
      <c r="J54" s="356">
        <f t="shared" ref="J54:J83" ca="1" si="14">IF(D54="JASA",G54*F54,0)</f>
        <v>0</v>
      </c>
      <c r="K54" s="357">
        <f t="shared" ref="K54:K83" ca="1" si="15">SUM(H54:J54)</f>
        <v>0</v>
      </c>
      <c r="L54" s="362"/>
      <c r="M54" s="362"/>
      <c r="N54" s="362"/>
      <c r="O54" s="358"/>
      <c r="P54" s="358"/>
      <c r="Q54" s="341"/>
      <c r="R54" s="333"/>
      <c r="S54" s="359"/>
      <c r="T54" s="338"/>
      <c r="U54" s="338"/>
      <c r="V54" s="338"/>
    </row>
    <row r="55" spans="1:22" s="363" customFormat="1">
      <c r="A55" s="333"/>
      <c r="B55" s="503">
        <v>1</v>
      </c>
      <c r="C55" s="504" t="s">
        <v>229</v>
      </c>
      <c r="D55" s="353" t="str">
        <f ca="1">IF(ISERROR(OFFSET('HARGA SATUAN'!$D$6,MATCH(RAB!C55,'HARGA SATUAN'!$C$7:$C$1492,0),0)),"",OFFSET('HARGA SATUAN'!$D$6,MATCH(RAB!C55,'HARGA SATUAN'!$C$7:$C$1492,0),0))</f>
        <v>HDW</v>
      </c>
      <c r="E55" s="354" t="str">
        <f ca="1">IF(B55="+","Unit",IF(ISERROR(OFFSET('HARGA SATUAN'!$E$6,MATCH(RAB!C55,'HARGA SATUAN'!$C$7:$C$1492,0),0)),"",OFFSET('HARGA SATUAN'!$E$6,MATCH(RAB!C55,'HARGA SATUAN'!$C$7:$C$1492,0),0)))</f>
        <v>Bh</v>
      </c>
      <c r="F55" s="493">
        <f>F54*1</f>
        <v>2</v>
      </c>
      <c r="G55" s="355">
        <f ca="1">IF(ISERROR(OFFSET('HARGA SATUAN'!$I$6,MATCH(RAB!C55,'HARGA SATUAN'!$C$7:$C$1492,0),0)),0,OFFSET('HARGA SATUAN'!$I$6,MATCH(RAB!C55,'HARGA SATUAN'!$C$7:$C$1492,0),0))</f>
        <v>4212</v>
      </c>
      <c r="H55" s="356">
        <f t="shared" ca="1" si="12"/>
        <v>0</v>
      </c>
      <c r="I55" s="356">
        <f t="shared" ca="1" si="13"/>
        <v>8424</v>
      </c>
      <c r="J55" s="356">
        <f t="shared" ca="1" si="14"/>
        <v>0</v>
      </c>
      <c r="K55" s="357">
        <f t="shared" ca="1" si="15"/>
        <v>8424</v>
      </c>
      <c r="L55" s="362"/>
      <c r="M55" s="362"/>
      <c r="N55" s="362"/>
      <c r="O55" s="358"/>
      <c r="P55" s="358"/>
      <c r="Q55" s="341"/>
      <c r="R55" s="333"/>
      <c r="S55" s="359"/>
      <c r="T55" s="338"/>
      <c r="U55" s="338"/>
      <c r="V55" s="338"/>
    </row>
    <row r="56" spans="1:22" s="363" customFormat="1">
      <c r="A56" s="333"/>
      <c r="B56" s="503">
        <v>2</v>
      </c>
      <c r="C56" s="504" t="s">
        <v>266</v>
      </c>
      <c r="D56" s="353" t="str">
        <f ca="1">IF(ISERROR(OFFSET('HARGA SATUAN'!$D$6,MATCH(RAB!C56,'HARGA SATUAN'!$C$7:$C$1492,0),0)),"",OFFSET('HARGA SATUAN'!$D$6,MATCH(RAB!C56,'HARGA SATUAN'!$C$7:$C$1492,0),0))</f>
        <v>HDW</v>
      </c>
      <c r="E56" s="354" t="str">
        <f ca="1">IF(B56="+","Unit",IF(ISERROR(OFFSET('HARGA SATUAN'!$E$6,MATCH(RAB!C56,'HARGA SATUAN'!$C$7:$C$1492,0),0)),"",OFFSET('HARGA SATUAN'!$E$6,MATCH(RAB!C56,'HARGA SATUAN'!$C$7:$C$1492,0),0)))</f>
        <v>Mtr</v>
      </c>
      <c r="F56" s="493">
        <f>F54*1</f>
        <v>2</v>
      </c>
      <c r="G56" s="355">
        <f ca="1">IF(ISERROR(OFFSET('HARGA SATUAN'!$I$6,MATCH(RAB!C56,'HARGA SATUAN'!$C$7:$C$1492,0),0)),0,OFFSET('HARGA SATUAN'!$I$6,MATCH(RAB!C56,'HARGA SATUAN'!$C$7:$C$1492,0),0))</f>
        <v>23310</v>
      </c>
      <c r="H56" s="356">
        <f t="shared" ca="1" si="12"/>
        <v>0</v>
      </c>
      <c r="I56" s="356">
        <f t="shared" ca="1" si="13"/>
        <v>46620</v>
      </c>
      <c r="J56" s="356">
        <f t="shared" ca="1" si="14"/>
        <v>0</v>
      </c>
      <c r="K56" s="357">
        <f t="shared" ca="1" si="15"/>
        <v>46620</v>
      </c>
      <c r="L56" s="362"/>
      <c r="M56" s="362"/>
      <c r="N56" s="362"/>
      <c r="O56" s="358"/>
      <c r="P56" s="358"/>
      <c r="Q56" s="341"/>
      <c r="R56" s="333"/>
      <c r="S56" s="359"/>
      <c r="T56" s="338"/>
      <c r="U56" s="338"/>
      <c r="V56" s="338"/>
    </row>
    <row r="57" spans="1:22" s="363" customFormat="1">
      <c r="A57" s="333"/>
      <c r="B57" s="503">
        <v>3</v>
      </c>
      <c r="C57" s="504" t="s">
        <v>35</v>
      </c>
      <c r="D57" s="353" t="str">
        <f ca="1">IF(ISERROR(OFFSET('HARGA SATUAN'!$D$6,MATCH(RAB!C57,'HARGA SATUAN'!$C$7:$C$1492,0),0)),"",OFFSET('HARGA SATUAN'!$D$6,MATCH(RAB!C57,'HARGA SATUAN'!$C$7:$C$1492,0),0))</f>
        <v>HDW</v>
      </c>
      <c r="E57" s="354" t="str">
        <f ca="1">IF(B57="+","Unit",IF(ISERROR(OFFSET('HARGA SATUAN'!$E$6,MATCH(RAB!C57,'HARGA SATUAN'!$C$7:$C$1492,0),0)),"",OFFSET('HARGA SATUAN'!$E$6,MATCH(RAB!C57,'HARGA SATUAN'!$C$7:$C$1492,0),0)))</f>
        <v>Bh</v>
      </c>
      <c r="F57" s="493">
        <f>F54*1</f>
        <v>2</v>
      </c>
      <c r="G57" s="355">
        <f ca="1">IF(ISERROR(OFFSET('HARGA SATUAN'!$I$6,MATCH(RAB!C57,'HARGA SATUAN'!$C$7:$C$1492,0),0)),0,OFFSET('HARGA SATUAN'!$I$6,MATCH(RAB!C57,'HARGA SATUAN'!$C$7:$C$1492,0),0))</f>
        <v>2300</v>
      </c>
      <c r="H57" s="356">
        <f t="shared" ca="1" si="12"/>
        <v>0</v>
      </c>
      <c r="I57" s="356">
        <f t="shared" ca="1" si="13"/>
        <v>4600</v>
      </c>
      <c r="J57" s="356">
        <f t="shared" ca="1" si="14"/>
        <v>0</v>
      </c>
      <c r="K57" s="357">
        <f t="shared" ca="1" si="15"/>
        <v>4600</v>
      </c>
      <c r="L57" s="362"/>
      <c r="M57" s="362"/>
      <c r="N57" s="362"/>
      <c r="O57" s="358"/>
      <c r="P57" s="358"/>
      <c r="Q57" s="341"/>
      <c r="R57" s="333"/>
      <c r="S57" s="359"/>
      <c r="T57" s="338"/>
      <c r="U57" s="338"/>
      <c r="V57" s="338"/>
    </row>
    <row r="58" spans="1:22" s="363" customFormat="1">
      <c r="A58" s="333"/>
      <c r="B58" s="503">
        <v>4</v>
      </c>
      <c r="C58" s="504" t="s">
        <v>609</v>
      </c>
      <c r="D58" s="353" t="str">
        <f ca="1">IF(ISERROR(OFFSET('HARGA SATUAN'!$D$6,MATCH(RAB!C58,'HARGA SATUAN'!$C$7:$C$1492,0),0)),"",OFFSET('HARGA SATUAN'!$D$6,MATCH(RAB!C58,'HARGA SATUAN'!$C$7:$C$1492,0),0))</f>
        <v>HDW</v>
      </c>
      <c r="E58" s="354" t="str">
        <f ca="1">IF(B58="+","Unit",IF(ISERROR(OFFSET('HARGA SATUAN'!$E$6,MATCH(RAB!C58,'HARGA SATUAN'!$C$7:$C$1492,0),0)),"",OFFSET('HARGA SATUAN'!$E$6,MATCH(RAB!C58,'HARGA SATUAN'!$C$7:$C$1492,0),0)))</f>
        <v>Bh</v>
      </c>
      <c r="F58" s="493">
        <f>F54*1</f>
        <v>2</v>
      </c>
      <c r="G58" s="355">
        <f ca="1">IF(ISERROR(OFFSET('HARGA SATUAN'!$I$6,MATCH(RAB!C58,'HARGA SATUAN'!$C$7:$C$1492,0),0)),0,OFFSET('HARGA SATUAN'!$I$6,MATCH(RAB!C58,'HARGA SATUAN'!$C$7:$C$1492,0),0))</f>
        <v>71000</v>
      </c>
      <c r="H58" s="356">
        <f t="shared" ca="1" si="12"/>
        <v>0</v>
      </c>
      <c r="I58" s="356">
        <f t="shared" ca="1" si="13"/>
        <v>142000</v>
      </c>
      <c r="J58" s="356">
        <f t="shared" ca="1" si="14"/>
        <v>0</v>
      </c>
      <c r="K58" s="357">
        <f t="shared" ca="1" si="15"/>
        <v>142000</v>
      </c>
      <c r="L58" s="362"/>
      <c r="M58" s="362"/>
      <c r="N58" s="362"/>
      <c r="O58" s="358"/>
      <c r="P58" s="358"/>
      <c r="Q58" s="341"/>
      <c r="R58" s="333"/>
      <c r="S58" s="359"/>
      <c r="T58" s="338"/>
      <c r="U58" s="338"/>
      <c r="V58" s="338"/>
    </row>
    <row r="59" spans="1:22" s="363" customFormat="1">
      <c r="A59" s="333"/>
      <c r="B59" s="503">
        <v>5</v>
      </c>
      <c r="C59" s="504" t="s">
        <v>629</v>
      </c>
      <c r="D59" s="353" t="str">
        <f ca="1">IF(ISERROR(OFFSET('HARGA SATUAN'!$D$6,MATCH(RAB!C59,'HARGA SATUAN'!$C$7:$C$1492,0),0)),"",OFFSET('HARGA SATUAN'!$D$6,MATCH(RAB!C59,'HARGA SATUAN'!$C$7:$C$1492,0),0))</f>
        <v>JASA</v>
      </c>
      <c r="E59" s="354" t="str">
        <f ca="1">IF(B59="+","Unit",IF(ISERROR(OFFSET('HARGA SATUAN'!$E$6,MATCH(RAB!C59,'HARGA SATUAN'!$C$7:$C$1492,0),0)),"",OFFSET('HARGA SATUAN'!$E$6,MATCH(RAB!C59,'HARGA SATUAN'!$C$7:$C$1492,0),0)))</f>
        <v>Unit</v>
      </c>
      <c r="F59" s="493">
        <f>F54*1</f>
        <v>2</v>
      </c>
      <c r="G59" s="355">
        <f ca="1">IF(ISERROR(OFFSET('HARGA SATUAN'!$I$6,MATCH(RAB!C59,'HARGA SATUAN'!$C$7:$C$1492,0),0)),0,OFFSET('HARGA SATUAN'!$I$6,MATCH(RAB!C59,'HARGA SATUAN'!$C$7:$C$1492,0),0))</f>
        <v>29400</v>
      </c>
      <c r="H59" s="356">
        <f t="shared" ca="1" si="12"/>
        <v>0</v>
      </c>
      <c r="I59" s="356">
        <f t="shared" ca="1" si="13"/>
        <v>0</v>
      </c>
      <c r="J59" s="356">
        <f t="shared" ca="1" si="14"/>
        <v>58800</v>
      </c>
      <c r="K59" s="357">
        <f t="shared" ca="1" si="15"/>
        <v>58800</v>
      </c>
      <c r="L59" s="362"/>
      <c r="M59" s="362"/>
      <c r="N59" s="362"/>
      <c r="O59" s="358"/>
      <c r="P59" s="358"/>
      <c r="Q59" s="341"/>
      <c r="R59" s="333"/>
      <c r="S59" s="359"/>
      <c r="T59" s="338"/>
      <c r="U59" s="338"/>
      <c r="V59" s="338"/>
    </row>
    <row r="60" spans="1:22" s="363" customFormat="1">
      <c r="A60" s="333"/>
      <c r="B60" s="503"/>
      <c r="C60" s="504"/>
      <c r="D60" s="353" t="str">
        <f ca="1">IF(ISERROR(OFFSET('HARGA SATUAN'!$D$6,MATCH(RAB!C60,'HARGA SATUAN'!$C$7:$C$1492,0),0)),"",OFFSET('HARGA SATUAN'!$D$6,MATCH(RAB!C60,'HARGA SATUAN'!$C$7:$C$1492,0),0))</f>
        <v/>
      </c>
      <c r="E60" s="354" t="str">
        <f ca="1">IF(B60="+","Unit",IF(ISERROR(OFFSET('HARGA SATUAN'!$E$6,MATCH(RAB!C60,'HARGA SATUAN'!$C$7:$C$1492,0),0)),"",OFFSET('HARGA SATUAN'!$E$6,MATCH(RAB!C60,'HARGA SATUAN'!$C$7:$C$1492,0),0)))</f>
        <v/>
      </c>
      <c r="F60" s="493"/>
      <c r="G60" s="355">
        <f ca="1">IF(ISERROR(OFFSET('HARGA SATUAN'!$I$6,MATCH(RAB!C60,'HARGA SATUAN'!$C$7:$C$1492,0),0)),0,OFFSET('HARGA SATUAN'!$I$6,MATCH(RAB!C60,'HARGA SATUAN'!$C$7:$C$1492,0),0))</f>
        <v>0</v>
      </c>
      <c r="H60" s="356">
        <f t="shared" ca="1" si="12"/>
        <v>0</v>
      </c>
      <c r="I60" s="356">
        <f t="shared" ca="1" si="13"/>
        <v>0</v>
      </c>
      <c r="J60" s="356">
        <f t="shared" ca="1" si="14"/>
        <v>0</v>
      </c>
      <c r="K60" s="357">
        <f t="shared" ca="1" si="15"/>
        <v>0</v>
      </c>
      <c r="L60" s="362"/>
      <c r="M60" s="362"/>
      <c r="N60" s="362"/>
      <c r="O60" s="358"/>
      <c r="P60" s="358"/>
      <c r="Q60" s="341"/>
      <c r="R60" s="333"/>
      <c r="S60" s="359"/>
      <c r="T60" s="338"/>
      <c r="U60" s="338"/>
      <c r="V60" s="338"/>
    </row>
    <row r="61" spans="1:22" s="363" customFormat="1">
      <c r="A61" s="333"/>
      <c r="B61" s="503" t="s">
        <v>1035</v>
      </c>
      <c r="C61" s="504" t="s">
        <v>1610</v>
      </c>
      <c r="D61" s="353" t="str">
        <f ca="1">IF(ISERROR(OFFSET('HARGA SATUAN'!$D$6,MATCH(RAB!C61,'HARGA SATUAN'!$C$7:$C$1492,0),0)),"",OFFSET('HARGA SATUAN'!$D$6,MATCH(RAB!C61,'HARGA SATUAN'!$C$7:$C$1492,0),0))</f>
        <v/>
      </c>
      <c r="E61" s="354" t="str">
        <f ca="1">IF(B61="+","Unit",IF(ISERROR(OFFSET('HARGA SATUAN'!$E$6,MATCH(RAB!C61,'HARGA SATUAN'!$C$7:$C$1492,0),0)),"",OFFSET('HARGA SATUAN'!$E$6,MATCH(RAB!C61,'HARGA SATUAN'!$C$7:$C$1492,0),0)))</f>
        <v>Unit</v>
      </c>
      <c r="F61" s="493">
        <v>1</v>
      </c>
      <c r="G61" s="355">
        <f ca="1">IF(ISERROR(OFFSET('HARGA SATUAN'!$I$6,MATCH(RAB!C61,'HARGA SATUAN'!$C$7:$C$1492,0),0)),0,OFFSET('HARGA SATUAN'!$I$6,MATCH(RAB!C61,'HARGA SATUAN'!$C$7:$C$1492,0),0))</f>
        <v>0</v>
      </c>
      <c r="H61" s="356">
        <f t="shared" ref="H61:H76" ca="1" si="16">IF(OR(D61="MDU",D61="MDU-KD"),(IF($O$3="RAB NON MDU","PLN KD",G61*F61)),0)</f>
        <v>0</v>
      </c>
      <c r="I61" s="356">
        <f t="shared" ref="I61:I76" ca="1" si="17">IF(D61="HDW",G61*F61,0)</f>
        <v>0</v>
      </c>
      <c r="J61" s="356">
        <f t="shared" ref="J61:J76" ca="1" si="18">IF(D61="JASA",G61*F61,0)</f>
        <v>0</v>
      </c>
      <c r="K61" s="357">
        <f t="shared" ref="K61:K76" ca="1" si="19">SUM(H61:J61)</f>
        <v>0</v>
      </c>
      <c r="L61" s="362"/>
      <c r="M61" s="362"/>
      <c r="N61" s="362"/>
      <c r="O61" s="358"/>
      <c r="P61" s="358"/>
      <c r="Q61" s="341"/>
      <c r="R61" s="333"/>
      <c r="S61" s="359"/>
      <c r="T61" s="338"/>
      <c r="U61" s="338"/>
      <c r="V61" s="338"/>
    </row>
    <row r="62" spans="1:22" s="363" customFormat="1">
      <c r="A62" s="333"/>
      <c r="B62" s="503">
        <v>1</v>
      </c>
      <c r="C62" s="504" t="s">
        <v>595</v>
      </c>
      <c r="D62" s="353" t="str">
        <f ca="1">IF(ISERROR(OFFSET('HARGA SATUAN'!$D$6,MATCH(RAB!C62,'HARGA SATUAN'!$C$7:$C$1492,0),0)),"",OFFSET('HARGA SATUAN'!$D$6,MATCH(RAB!C62,'HARGA SATUAN'!$C$7:$C$1492,0),0))</f>
        <v>HDW</v>
      </c>
      <c r="E62" s="354" t="str">
        <f ca="1">IF(B62="+","Unit",IF(ISERROR(OFFSET('HARGA SATUAN'!$E$6,MATCH(RAB!C62,'HARGA SATUAN'!$C$7:$C$1492,0),0)),"",OFFSET('HARGA SATUAN'!$E$6,MATCH(RAB!C62,'HARGA SATUAN'!$C$7:$C$1492,0),0)))</f>
        <v>Bh</v>
      </c>
      <c r="F62" s="493">
        <f>F61*1</f>
        <v>1</v>
      </c>
      <c r="G62" s="355">
        <f ca="1">IF(ISERROR(OFFSET('HARGA SATUAN'!$I$6,MATCH(RAB!C62,'HARGA SATUAN'!$C$7:$C$1492,0),0)),0,OFFSET('HARGA SATUAN'!$I$6,MATCH(RAB!C62,'HARGA SATUAN'!$C$7:$C$1492,0),0))</f>
        <v>78500</v>
      </c>
      <c r="H62" s="356">
        <f t="shared" ca="1" si="16"/>
        <v>0</v>
      </c>
      <c r="I62" s="356">
        <f t="shared" ca="1" si="17"/>
        <v>78500</v>
      </c>
      <c r="J62" s="356">
        <f t="shared" ca="1" si="18"/>
        <v>0</v>
      </c>
      <c r="K62" s="357">
        <f t="shared" ca="1" si="19"/>
        <v>78500</v>
      </c>
      <c r="L62" s="362"/>
      <c r="M62" s="362"/>
      <c r="N62" s="362"/>
      <c r="O62" s="358"/>
      <c r="P62" s="358"/>
      <c r="Q62" s="341"/>
      <c r="R62" s="333"/>
      <c r="S62" s="359"/>
      <c r="T62" s="338"/>
      <c r="U62" s="338"/>
      <c r="V62" s="338"/>
    </row>
    <row r="63" spans="1:22" s="363" customFormat="1">
      <c r="A63" s="333"/>
      <c r="B63" s="503">
        <v>2</v>
      </c>
      <c r="C63" s="504" t="s">
        <v>229</v>
      </c>
      <c r="D63" s="353" t="str">
        <f ca="1">IF(ISERROR(OFFSET('HARGA SATUAN'!$D$6,MATCH(RAB!C63,'HARGA SATUAN'!$C$7:$C$1492,0),0)),"",OFFSET('HARGA SATUAN'!$D$6,MATCH(RAB!C63,'HARGA SATUAN'!$C$7:$C$1492,0),0))</f>
        <v>HDW</v>
      </c>
      <c r="E63" s="354" t="str">
        <f ca="1">IF(B63="+","Unit",IF(ISERROR(OFFSET('HARGA SATUAN'!$E$6,MATCH(RAB!C63,'HARGA SATUAN'!$C$7:$C$1492,0),0)),"",OFFSET('HARGA SATUAN'!$E$6,MATCH(RAB!C63,'HARGA SATUAN'!$C$7:$C$1492,0),0)))</f>
        <v>Bh</v>
      </c>
      <c r="F63" s="493">
        <f>F61*1</f>
        <v>1</v>
      </c>
      <c r="G63" s="355">
        <f ca="1">IF(ISERROR(OFFSET('HARGA SATUAN'!$I$6,MATCH(RAB!C63,'HARGA SATUAN'!$C$7:$C$1492,0),0)),0,OFFSET('HARGA SATUAN'!$I$6,MATCH(RAB!C63,'HARGA SATUAN'!$C$7:$C$1492,0),0))</f>
        <v>4212</v>
      </c>
      <c r="H63" s="356">
        <f t="shared" ca="1" si="16"/>
        <v>0</v>
      </c>
      <c r="I63" s="356">
        <f t="shared" ca="1" si="17"/>
        <v>4212</v>
      </c>
      <c r="J63" s="356">
        <f t="shared" ca="1" si="18"/>
        <v>0</v>
      </c>
      <c r="K63" s="357">
        <f t="shared" ca="1" si="19"/>
        <v>4212</v>
      </c>
      <c r="L63" s="362"/>
      <c r="M63" s="362"/>
      <c r="N63" s="362"/>
      <c r="O63" s="358"/>
      <c r="P63" s="358"/>
      <c r="Q63" s="341"/>
      <c r="R63" s="333"/>
      <c r="S63" s="359"/>
      <c r="T63" s="338"/>
      <c r="U63" s="338"/>
      <c r="V63" s="338"/>
    </row>
    <row r="64" spans="1:22" s="363" customFormat="1">
      <c r="A64" s="333"/>
      <c r="B64" s="503">
        <v>3</v>
      </c>
      <c r="C64" s="504" t="s">
        <v>266</v>
      </c>
      <c r="D64" s="353" t="str">
        <f ca="1">IF(ISERROR(OFFSET('HARGA SATUAN'!$D$6,MATCH(RAB!C64,'HARGA SATUAN'!$C$7:$C$1492,0),0)),"",OFFSET('HARGA SATUAN'!$D$6,MATCH(RAB!C64,'HARGA SATUAN'!$C$7:$C$1492,0),0))</f>
        <v>HDW</v>
      </c>
      <c r="E64" s="354" t="str">
        <f ca="1">IF(B64="+","Unit",IF(ISERROR(OFFSET('HARGA SATUAN'!$E$6,MATCH(RAB!C64,'HARGA SATUAN'!$C$7:$C$1492,0),0)),"",OFFSET('HARGA SATUAN'!$E$6,MATCH(RAB!C64,'HARGA SATUAN'!$C$7:$C$1492,0),0)))</f>
        <v>Mtr</v>
      </c>
      <c r="F64" s="493">
        <f>F61*1</f>
        <v>1</v>
      </c>
      <c r="G64" s="355">
        <f ca="1">IF(ISERROR(OFFSET('HARGA SATUAN'!$I$6,MATCH(RAB!C64,'HARGA SATUAN'!$C$7:$C$1492,0),0)),0,OFFSET('HARGA SATUAN'!$I$6,MATCH(RAB!C64,'HARGA SATUAN'!$C$7:$C$1492,0),0))</f>
        <v>23310</v>
      </c>
      <c r="H64" s="356">
        <f t="shared" ca="1" si="16"/>
        <v>0</v>
      </c>
      <c r="I64" s="356">
        <f t="shared" ca="1" si="17"/>
        <v>23310</v>
      </c>
      <c r="J64" s="356">
        <f t="shared" ca="1" si="18"/>
        <v>0</v>
      </c>
      <c r="K64" s="357">
        <f t="shared" ca="1" si="19"/>
        <v>23310</v>
      </c>
      <c r="L64" s="362"/>
      <c r="M64" s="362"/>
      <c r="N64" s="362"/>
      <c r="O64" s="358"/>
      <c r="P64" s="358"/>
      <c r="Q64" s="341"/>
      <c r="R64" s="333"/>
      <c r="S64" s="359"/>
      <c r="T64" s="338"/>
      <c r="U64" s="338"/>
      <c r="V64" s="338"/>
    </row>
    <row r="65" spans="1:22" s="363" customFormat="1">
      <c r="A65" s="333"/>
      <c r="B65" s="503">
        <v>4</v>
      </c>
      <c r="C65" s="504" t="s">
        <v>35</v>
      </c>
      <c r="D65" s="353" t="str">
        <f ca="1">IF(ISERROR(OFFSET('HARGA SATUAN'!$D$6,MATCH(RAB!C65,'HARGA SATUAN'!$C$7:$C$1492,0),0)),"",OFFSET('HARGA SATUAN'!$D$6,MATCH(RAB!C65,'HARGA SATUAN'!$C$7:$C$1492,0),0))</f>
        <v>HDW</v>
      </c>
      <c r="E65" s="354" t="str">
        <f ca="1">IF(B65="+","Unit",IF(ISERROR(OFFSET('HARGA SATUAN'!$E$6,MATCH(RAB!C65,'HARGA SATUAN'!$C$7:$C$1492,0),0)),"",OFFSET('HARGA SATUAN'!$E$6,MATCH(RAB!C65,'HARGA SATUAN'!$C$7:$C$1492,0),0)))</f>
        <v>Bh</v>
      </c>
      <c r="F65" s="493">
        <f>F61*1</f>
        <v>1</v>
      </c>
      <c r="G65" s="355">
        <f ca="1">IF(ISERROR(OFFSET('HARGA SATUAN'!$I$6,MATCH(RAB!C65,'HARGA SATUAN'!$C$7:$C$1492,0),0)),0,OFFSET('HARGA SATUAN'!$I$6,MATCH(RAB!C65,'HARGA SATUAN'!$C$7:$C$1492,0),0))</f>
        <v>2300</v>
      </c>
      <c r="H65" s="356">
        <f t="shared" ca="1" si="16"/>
        <v>0</v>
      </c>
      <c r="I65" s="356">
        <f t="shared" ca="1" si="17"/>
        <v>2300</v>
      </c>
      <c r="J65" s="356">
        <f t="shared" ca="1" si="18"/>
        <v>0</v>
      </c>
      <c r="K65" s="357">
        <f t="shared" ca="1" si="19"/>
        <v>2300</v>
      </c>
      <c r="L65" s="362"/>
      <c r="M65" s="362"/>
      <c r="N65" s="362"/>
      <c r="O65" s="358"/>
      <c r="P65" s="358"/>
      <c r="Q65" s="341"/>
      <c r="R65" s="333"/>
      <c r="S65" s="359"/>
      <c r="T65" s="338"/>
      <c r="U65" s="338"/>
      <c r="V65" s="338"/>
    </row>
    <row r="66" spans="1:22" s="363" customFormat="1">
      <c r="A66" s="333"/>
      <c r="B66" s="503">
        <v>5</v>
      </c>
      <c r="C66" s="504" t="s">
        <v>630</v>
      </c>
      <c r="D66" s="353" t="str">
        <f ca="1">IF(ISERROR(OFFSET('HARGA SATUAN'!$D$6,MATCH(RAB!C66,'HARGA SATUAN'!$C$7:$C$1492,0),0)),"",OFFSET('HARGA SATUAN'!$D$6,MATCH(RAB!C66,'HARGA SATUAN'!$C$7:$C$1492,0),0))</f>
        <v>JASA</v>
      </c>
      <c r="E66" s="354" t="str">
        <f ca="1">IF(B66="+","Unit",IF(ISERROR(OFFSET('HARGA SATUAN'!$E$6,MATCH(RAB!C66,'HARGA SATUAN'!$C$7:$C$1492,0),0)),"",OFFSET('HARGA SATUAN'!$E$6,MATCH(RAB!C66,'HARGA SATUAN'!$C$7:$C$1492,0),0)))</f>
        <v>Unit</v>
      </c>
      <c r="F66" s="493">
        <f>F61*1</f>
        <v>1</v>
      </c>
      <c r="G66" s="355">
        <f ca="1">IF(ISERROR(OFFSET('HARGA SATUAN'!$I$6,MATCH(RAB!C66,'HARGA SATUAN'!$C$7:$C$1492,0),0)),0,OFFSET('HARGA SATUAN'!$I$6,MATCH(RAB!C66,'HARGA SATUAN'!$C$7:$C$1492,0),0))</f>
        <v>35700</v>
      </c>
      <c r="H66" s="356">
        <f t="shared" ca="1" si="16"/>
        <v>0</v>
      </c>
      <c r="I66" s="356">
        <f t="shared" ca="1" si="17"/>
        <v>0</v>
      </c>
      <c r="J66" s="356">
        <f t="shared" ca="1" si="18"/>
        <v>35700</v>
      </c>
      <c r="K66" s="357">
        <f t="shared" ca="1" si="19"/>
        <v>35700</v>
      </c>
      <c r="L66" s="362"/>
      <c r="M66" s="362"/>
      <c r="N66" s="362"/>
      <c r="O66" s="358"/>
      <c r="P66" s="358"/>
      <c r="Q66" s="341"/>
      <c r="R66" s="333"/>
      <c r="S66" s="359"/>
      <c r="T66" s="338"/>
      <c r="U66" s="338"/>
      <c r="V66" s="338"/>
    </row>
    <row r="67" spans="1:22" s="363" customFormat="1">
      <c r="A67" s="333"/>
      <c r="B67" s="503"/>
      <c r="C67" s="504"/>
      <c r="D67" s="353" t="str">
        <f ca="1">IF(ISERROR(OFFSET('HARGA SATUAN'!$D$6,MATCH(RAB!C67,'HARGA SATUAN'!$C$7:$C$1492,0),0)),"",OFFSET('HARGA SATUAN'!$D$6,MATCH(RAB!C67,'HARGA SATUAN'!$C$7:$C$1492,0),0))</f>
        <v/>
      </c>
      <c r="E67" s="354" t="str">
        <f ca="1">IF(B67="+","Unit",IF(ISERROR(OFFSET('HARGA SATUAN'!$E$6,MATCH(RAB!C67,'HARGA SATUAN'!$C$7:$C$1492,0),0)),"",OFFSET('HARGA SATUAN'!$E$6,MATCH(RAB!C67,'HARGA SATUAN'!$C$7:$C$1492,0),0)))</f>
        <v/>
      </c>
      <c r="F67" s="493"/>
      <c r="G67" s="355">
        <f ca="1">IF(ISERROR(OFFSET('HARGA SATUAN'!$I$6,MATCH(RAB!C67,'HARGA SATUAN'!$C$7:$C$1492,0),0)),0,OFFSET('HARGA SATUAN'!$I$6,MATCH(RAB!C67,'HARGA SATUAN'!$C$7:$C$1492,0),0))</f>
        <v>0</v>
      </c>
      <c r="H67" s="356">
        <f t="shared" ca="1" si="16"/>
        <v>0</v>
      </c>
      <c r="I67" s="356">
        <f t="shared" ca="1" si="17"/>
        <v>0</v>
      </c>
      <c r="J67" s="356">
        <f t="shared" ca="1" si="18"/>
        <v>0</v>
      </c>
      <c r="K67" s="357">
        <f t="shared" ca="1" si="19"/>
        <v>0</v>
      </c>
      <c r="L67" s="362"/>
      <c r="M67" s="362"/>
      <c r="N67" s="362"/>
      <c r="O67" s="358"/>
      <c r="P67" s="358"/>
      <c r="Q67" s="341"/>
      <c r="R67" s="333"/>
      <c r="S67" s="359"/>
      <c r="T67" s="338"/>
      <c r="U67" s="338"/>
      <c r="V67" s="338"/>
    </row>
    <row r="68" spans="1:22" s="363" customFormat="1">
      <c r="A68" s="333"/>
      <c r="B68" s="503" t="s">
        <v>1035</v>
      </c>
      <c r="C68" s="504" t="s">
        <v>1619</v>
      </c>
      <c r="D68" s="353" t="str">
        <f ca="1">IF(ISERROR(OFFSET('HARGA SATUAN'!$D$6,MATCH(RAB!C68,'HARGA SATUAN'!$C$7:$C$1492,0),0)),"",OFFSET('HARGA SATUAN'!$D$6,MATCH(RAB!C68,'HARGA SATUAN'!$C$7:$C$1492,0),0))</f>
        <v/>
      </c>
      <c r="E68" s="354" t="str">
        <f ca="1">IF(B68="+","Unit",IF(ISERROR(OFFSET('HARGA SATUAN'!$E$6,MATCH(RAB!C68,'HARGA SATUAN'!$C$7:$C$1492,0),0)),"",OFFSET('HARGA SATUAN'!$E$6,MATCH(RAB!C68,'HARGA SATUAN'!$C$7:$C$1492,0),0)))</f>
        <v>Unit</v>
      </c>
      <c r="F68" s="493">
        <v>1</v>
      </c>
      <c r="G68" s="355">
        <f ca="1">IF(ISERROR(OFFSET('HARGA SATUAN'!$I$6,MATCH(RAB!C68,'HARGA SATUAN'!$C$7:$C$1492,0),0)),0,OFFSET('HARGA SATUAN'!$I$6,MATCH(RAB!C68,'HARGA SATUAN'!$C$7:$C$1492,0),0))</f>
        <v>0</v>
      </c>
      <c r="H68" s="356">
        <f t="shared" ca="1" si="16"/>
        <v>0</v>
      </c>
      <c r="I68" s="356">
        <f t="shared" ca="1" si="17"/>
        <v>0</v>
      </c>
      <c r="J68" s="356">
        <f t="shared" ca="1" si="18"/>
        <v>0</v>
      </c>
      <c r="K68" s="357">
        <f t="shared" ca="1" si="19"/>
        <v>0</v>
      </c>
      <c r="L68" s="362"/>
      <c r="M68" s="362"/>
      <c r="N68" s="362"/>
      <c r="O68" s="358"/>
      <c r="P68" s="358"/>
      <c r="Q68" s="341"/>
      <c r="R68" s="333"/>
      <c r="S68" s="359"/>
      <c r="T68" s="338"/>
      <c r="U68" s="338"/>
      <c r="V68" s="338"/>
    </row>
    <row r="69" spans="1:22" s="363" customFormat="1">
      <c r="A69" s="333"/>
      <c r="B69" s="503">
        <v>1</v>
      </c>
      <c r="C69" s="504" t="s">
        <v>216</v>
      </c>
      <c r="D69" s="353" t="str">
        <f ca="1">IF(ISERROR(OFFSET('HARGA SATUAN'!$D$6,MATCH(RAB!C69,'HARGA SATUAN'!$C$7:$C$1492,0),0)),"",OFFSET('HARGA SATUAN'!$D$6,MATCH(RAB!C69,'HARGA SATUAN'!$C$7:$C$1492,0),0))</f>
        <v>HDW</v>
      </c>
      <c r="E69" s="354" t="str">
        <f ca="1">IF(B69="+","Unit",IF(ISERROR(OFFSET('HARGA SATUAN'!$E$6,MATCH(RAB!C69,'HARGA SATUAN'!$C$7:$C$1492,0),0)),"",OFFSET('HARGA SATUAN'!$E$6,MATCH(RAB!C69,'HARGA SATUAN'!$C$7:$C$1492,0),0)))</f>
        <v>Bh</v>
      </c>
      <c r="F69" s="493">
        <f>F68*1</f>
        <v>1</v>
      </c>
      <c r="G69" s="355">
        <f ca="1">IF(ISERROR(OFFSET('HARGA SATUAN'!$I$6,MATCH(RAB!C69,'HARGA SATUAN'!$C$7:$C$1492,0),0)),0,OFFSET('HARGA SATUAN'!$I$6,MATCH(RAB!C69,'HARGA SATUAN'!$C$7:$C$1492,0),0))</f>
        <v>116800</v>
      </c>
      <c r="H69" s="356">
        <f t="shared" ca="1" si="16"/>
        <v>0</v>
      </c>
      <c r="I69" s="356">
        <f t="shared" ca="1" si="17"/>
        <v>116800</v>
      </c>
      <c r="J69" s="356">
        <f t="shared" ca="1" si="18"/>
        <v>0</v>
      </c>
      <c r="K69" s="357">
        <f t="shared" ca="1" si="19"/>
        <v>116800</v>
      </c>
      <c r="L69" s="362"/>
      <c r="M69" s="362"/>
      <c r="N69" s="362"/>
      <c r="O69" s="358"/>
      <c r="P69" s="358"/>
      <c r="Q69" s="341"/>
      <c r="R69" s="333"/>
      <c r="S69" s="359"/>
      <c r="T69" s="338"/>
      <c r="U69" s="338"/>
      <c r="V69" s="338"/>
    </row>
    <row r="70" spans="1:22" s="363" customFormat="1">
      <c r="A70" s="333"/>
      <c r="B70" s="503">
        <v>2</v>
      </c>
      <c r="C70" s="504" t="s">
        <v>229</v>
      </c>
      <c r="D70" s="353" t="str">
        <f ca="1">IF(ISERROR(OFFSET('HARGA SATUAN'!$D$6,MATCH(RAB!C70,'HARGA SATUAN'!$C$7:$C$1492,0),0)),"",OFFSET('HARGA SATUAN'!$D$6,MATCH(RAB!C70,'HARGA SATUAN'!$C$7:$C$1492,0),0))</f>
        <v>HDW</v>
      </c>
      <c r="E70" s="354" t="str">
        <f ca="1">IF(B70="+","Unit",IF(ISERROR(OFFSET('HARGA SATUAN'!$E$6,MATCH(RAB!C70,'HARGA SATUAN'!$C$7:$C$1492,0),0)),"",OFFSET('HARGA SATUAN'!$E$6,MATCH(RAB!C70,'HARGA SATUAN'!$C$7:$C$1492,0),0)))</f>
        <v>Bh</v>
      </c>
      <c r="F70" s="493">
        <f>F68*1</f>
        <v>1</v>
      </c>
      <c r="G70" s="355">
        <f ca="1">IF(ISERROR(OFFSET('HARGA SATUAN'!$I$6,MATCH(RAB!C70,'HARGA SATUAN'!$C$7:$C$1492,0),0)),0,OFFSET('HARGA SATUAN'!$I$6,MATCH(RAB!C70,'HARGA SATUAN'!$C$7:$C$1492,0),0))</f>
        <v>4212</v>
      </c>
      <c r="H70" s="356">
        <f t="shared" ca="1" si="16"/>
        <v>0</v>
      </c>
      <c r="I70" s="356">
        <f t="shared" ca="1" si="17"/>
        <v>4212</v>
      </c>
      <c r="J70" s="356">
        <f t="shared" ca="1" si="18"/>
        <v>0</v>
      </c>
      <c r="K70" s="357">
        <f t="shared" ca="1" si="19"/>
        <v>4212</v>
      </c>
      <c r="L70" s="362"/>
      <c r="M70" s="362"/>
      <c r="N70" s="362"/>
      <c r="O70" s="358"/>
      <c r="P70" s="358"/>
      <c r="Q70" s="341"/>
      <c r="R70" s="333"/>
      <c r="S70" s="359"/>
      <c r="T70" s="338"/>
      <c r="U70" s="338"/>
      <c r="V70" s="338"/>
    </row>
    <row r="71" spans="1:22" s="363" customFormat="1">
      <c r="A71" s="333"/>
      <c r="B71" s="503">
        <v>3</v>
      </c>
      <c r="C71" s="504" t="s">
        <v>266</v>
      </c>
      <c r="D71" s="353" t="str">
        <f ca="1">IF(ISERROR(OFFSET('HARGA SATUAN'!$D$6,MATCH(RAB!C71,'HARGA SATUAN'!$C$7:$C$1492,0),0)),"",OFFSET('HARGA SATUAN'!$D$6,MATCH(RAB!C71,'HARGA SATUAN'!$C$7:$C$1492,0),0))</f>
        <v>HDW</v>
      </c>
      <c r="E71" s="354" t="str">
        <f ca="1">IF(B71="+","Unit",IF(ISERROR(OFFSET('HARGA SATUAN'!$E$6,MATCH(RAB!C71,'HARGA SATUAN'!$C$7:$C$1492,0),0)),"",OFFSET('HARGA SATUAN'!$E$6,MATCH(RAB!C71,'HARGA SATUAN'!$C$7:$C$1492,0),0)))</f>
        <v>Mtr</v>
      </c>
      <c r="F71" s="493">
        <f>F68*1</f>
        <v>1</v>
      </c>
      <c r="G71" s="355">
        <f ca="1">IF(ISERROR(OFFSET('HARGA SATUAN'!$I$6,MATCH(RAB!C71,'HARGA SATUAN'!$C$7:$C$1492,0),0)),0,OFFSET('HARGA SATUAN'!$I$6,MATCH(RAB!C71,'HARGA SATUAN'!$C$7:$C$1492,0),0))</f>
        <v>23310</v>
      </c>
      <c r="H71" s="356">
        <f t="shared" ca="1" si="16"/>
        <v>0</v>
      </c>
      <c r="I71" s="356">
        <f t="shared" ca="1" si="17"/>
        <v>23310</v>
      </c>
      <c r="J71" s="356">
        <f t="shared" ca="1" si="18"/>
        <v>0</v>
      </c>
      <c r="K71" s="357">
        <f t="shared" ca="1" si="19"/>
        <v>23310</v>
      </c>
      <c r="L71" s="362"/>
      <c r="M71" s="362"/>
      <c r="N71" s="362"/>
      <c r="O71" s="358"/>
      <c r="P71" s="358"/>
      <c r="Q71" s="341"/>
      <c r="R71" s="333"/>
      <c r="S71" s="359"/>
      <c r="T71" s="338"/>
      <c r="U71" s="338"/>
      <c r="V71" s="338"/>
    </row>
    <row r="72" spans="1:22" s="363" customFormat="1">
      <c r="A72" s="333"/>
      <c r="B72" s="503">
        <v>4</v>
      </c>
      <c r="C72" s="504" t="s">
        <v>35</v>
      </c>
      <c r="D72" s="353" t="str">
        <f ca="1">IF(ISERROR(OFFSET('HARGA SATUAN'!$D$6,MATCH(RAB!C72,'HARGA SATUAN'!$C$7:$C$1492,0),0)),"",OFFSET('HARGA SATUAN'!$D$6,MATCH(RAB!C72,'HARGA SATUAN'!$C$7:$C$1492,0),0))</f>
        <v>HDW</v>
      </c>
      <c r="E72" s="354" t="str">
        <f ca="1">IF(B72="+","Unit",IF(ISERROR(OFFSET('HARGA SATUAN'!$E$6,MATCH(RAB!C72,'HARGA SATUAN'!$C$7:$C$1492,0),0)),"",OFFSET('HARGA SATUAN'!$E$6,MATCH(RAB!C72,'HARGA SATUAN'!$C$7:$C$1492,0),0)))</f>
        <v>Bh</v>
      </c>
      <c r="F72" s="493">
        <f>F68*1</f>
        <v>1</v>
      </c>
      <c r="G72" s="355">
        <f ca="1">IF(ISERROR(OFFSET('HARGA SATUAN'!$I$6,MATCH(RAB!C72,'HARGA SATUAN'!$C$7:$C$1492,0),0)),0,OFFSET('HARGA SATUAN'!$I$6,MATCH(RAB!C72,'HARGA SATUAN'!$C$7:$C$1492,0),0))</f>
        <v>2300</v>
      </c>
      <c r="H72" s="356">
        <f t="shared" ca="1" si="16"/>
        <v>0</v>
      </c>
      <c r="I72" s="356">
        <f t="shared" ca="1" si="17"/>
        <v>2300</v>
      </c>
      <c r="J72" s="356">
        <f t="shared" ca="1" si="18"/>
        <v>0</v>
      </c>
      <c r="K72" s="357">
        <f t="shared" ca="1" si="19"/>
        <v>2300</v>
      </c>
      <c r="L72" s="362"/>
      <c r="M72" s="362"/>
      <c r="N72" s="362"/>
      <c r="O72" s="358"/>
      <c r="P72" s="358"/>
      <c r="Q72" s="341"/>
      <c r="R72" s="333"/>
      <c r="S72" s="359"/>
      <c r="T72" s="338"/>
      <c r="U72" s="338"/>
      <c r="V72" s="338"/>
    </row>
    <row r="73" spans="1:22" s="363" customFormat="1">
      <c r="A73" s="333"/>
      <c r="B73" s="503">
        <v>5</v>
      </c>
      <c r="C73" s="504" t="s">
        <v>631</v>
      </c>
      <c r="D73" s="353" t="str">
        <f ca="1">IF(ISERROR(OFFSET('HARGA SATUAN'!$D$6,MATCH(RAB!C73,'HARGA SATUAN'!$C$7:$C$1492,0),0)),"",OFFSET('HARGA SATUAN'!$D$6,MATCH(RAB!C73,'HARGA SATUAN'!$C$7:$C$1492,0),0))</f>
        <v>JASA</v>
      </c>
      <c r="E73" s="354" t="str">
        <f ca="1">IF(B73="+","Unit",IF(ISERROR(OFFSET('HARGA SATUAN'!$E$6,MATCH(RAB!C73,'HARGA SATUAN'!$C$7:$C$1492,0),0)),"",OFFSET('HARGA SATUAN'!$E$6,MATCH(RAB!C73,'HARGA SATUAN'!$C$7:$C$1492,0),0)))</f>
        <v>Unit</v>
      </c>
      <c r="F73" s="493">
        <f>F68*1</f>
        <v>1</v>
      </c>
      <c r="G73" s="355">
        <f ca="1">IF(ISERROR(OFFSET('HARGA SATUAN'!$I$6,MATCH(RAB!C73,'HARGA SATUAN'!$C$7:$C$1492,0),0)),0,OFFSET('HARGA SATUAN'!$I$6,MATCH(RAB!C73,'HARGA SATUAN'!$C$7:$C$1492,0),0))</f>
        <v>30700</v>
      </c>
      <c r="H73" s="356">
        <f t="shared" ca="1" si="16"/>
        <v>0</v>
      </c>
      <c r="I73" s="356">
        <f t="shared" ca="1" si="17"/>
        <v>0</v>
      </c>
      <c r="J73" s="356">
        <f t="shared" ca="1" si="18"/>
        <v>30700</v>
      </c>
      <c r="K73" s="357">
        <f t="shared" ca="1" si="19"/>
        <v>30700</v>
      </c>
      <c r="L73" s="362"/>
      <c r="M73" s="362"/>
      <c r="N73" s="362"/>
      <c r="O73" s="358"/>
      <c r="P73" s="358"/>
      <c r="Q73" s="341"/>
      <c r="R73" s="333"/>
      <c r="S73" s="359"/>
      <c r="T73" s="338"/>
      <c r="U73" s="338"/>
      <c r="V73" s="338"/>
    </row>
    <row r="74" spans="1:22" s="363" customFormat="1">
      <c r="A74" s="333"/>
      <c r="B74" s="489"/>
      <c r="C74" s="490"/>
      <c r="D74" s="353" t="str">
        <f ca="1">IF(ISERROR(OFFSET('HARGA SATUAN'!$D$6,MATCH(RAB!C74,'HARGA SATUAN'!$C$7:$C$1492,0),0)),"",OFFSET('HARGA SATUAN'!$D$6,MATCH(RAB!C74,'HARGA SATUAN'!$C$7:$C$1492,0),0))</f>
        <v/>
      </c>
      <c r="E74" s="354" t="str">
        <f ca="1">IF(B74="+","Unit",IF(ISERROR(OFFSET('HARGA SATUAN'!$E$6,MATCH(RAB!C74,'HARGA SATUAN'!$C$7:$C$1492,0),0)),"",OFFSET('HARGA SATUAN'!$E$6,MATCH(RAB!C74,'HARGA SATUAN'!$C$7:$C$1492,0),0)))</f>
        <v/>
      </c>
      <c r="F74" s="477"/>
      <c r="G74" s="355">
        <f ca="1">IF(ISERROR(OFFSET('HARGA SATUAN'!$I$6,MATCH(RAB!C74,'HARGA SATUAN'!$C$7:$C$1492,0),0)),0,OFFSET('HARGA SATUAN'!$I$6,MATCH(RAB!C74,'HARGA SATUAN'!$C$7:$C$1492,0),0))</f>
        <v>0</v>
      </c>
      <c r="H74" s="356">
        <f t="shared" ca="1" si="16"/>
        <v>0</v>
      </c>
      <c r="I74" s="356">
        <f t="shared" ca="1" si="17"/>
        <v>0</v>
      </c>
      <c r="J74" s="356">
        <f t="shared" ca="1" si="18"/>
        <v>0</v>
      </c>
      <c r="K74" s="357">
        <f t="shared" ca="1" si="19"/>
        <v>0</v>
      </c>
      <c r="L74" s="362"/>
      <c r="M74" s="362"/>
      <c r="N74" s="362"/>
      <c r="O74" s="358"/>
      <c r="P74" s="358"/>
      <c r="Q74" s="341"/>
      <c r="R74" s="333"/>
      <c r="S74" s="359"/>
      <c r="T74" s="338"/>
      <c r="U74" s="338"/>
      <c r="V74" s="338"/>
    </row>
    <row r="75" spans="1:22" s="363" customFormat="1">
      <c r="A75" s="333"/>
      <c r="B75" s="503" t="s">
        <v>1035</v>
      </c>
      <c r="C75" s="504" t="s">
        <v>1620</v>
      </c>
      <c r="D75" s="353" t="str">
        <f ca="1">IF(ISERROR(OFFSET('HARGA SATUAN'!$D$6,MATCH(RAB!C75,'HARGA SATUAN'!$C$7:$C$1492,0),0)),"",OFFSET('HARGA SATUAN'!$D$6,MATCH(RAB!C75,'HARGA SATUAN'!$C$7:$C$1492,0),0))</f>
        <v/>
      </c>
      <c r="E75" s="354" t="str">
        <f ca="1">IF(B75="+","Unit",IF(ISERROR(OFFSET('HARGA SATUAN'!$E$6,MATCH(RAB!C75,'HARGA SATUAN'!$C$7:$C$1492,0),0)),"",OFFSET('HARGA SATUAN'!$E$6,MATCH(RAB!C75,'HARGA SATUAN'!$C$7:$C$1492,0),0)))</f>
        <v>Unit</v>
      </c>
      <c r="F75" s="493">
        <v>1</v>
      </c>
      <c r="G75" s="355">
        <f ca="1">IF(ISERROR(OFFSET('HARGA SATUAN'!$I$6,MATCH(RAB!C75,'HARGA SATUAN'!$C$7:$C$1492,0),0)),0,OFFSET('HARGA SATUAN'!$I$6,MATCH(RAB!C75,'HARGA SATUAN'!$C$7:$C$1492,0),0))</f>
        <v>0</v>
      </c>
      <c r="H75" s="356">
        <f t="shared" ca="1" si="16"/>
        <v>0</v>
      </c>
      <c r="I75" s="356">
        <f t="shared" ca="1" si="17"/>
        <v>0</v>
      </c>
      <c r="J75" s="356">
        <f t="shared" ca="1" si="18"/>
        <v>0</v>
      </c>
      <c r="K75" s="357">
        <f t="shared" ca="1" si="19"/>
        <v>0</v>
      </c>
      <c r="L75" s="362"/>
      <c r="M75" s="362"/>
      <c r="N75" s="362"/>
      <c r="O75" s="358"/>
      <c r="P75" s="358"/>
      <c r="Q75" s="341"/>
      <c r="R75" s="333"/>
      <c r="S75" s="359"/>
      <c r="T75" s="338"/>
      <c r="U75" s="338"/>
      <c r="V75" s="338"/>
    </row>
    <row r="76" spans="1:22" s="363" customFormat="1">
      <c r="A76" s="333"/>
      <c r="B76" s="503">
        <v>1</v>
      </c>
      <c r="C76" s="504" t="s">
        <v>598</v>
      </c>
      <c r="D76" s="353" t="str">
        <f ca="1">IF(ISERROR(OFFSET('HARGA SATUAN'!$D$6,MATCH(RAB!C76,'HARGA SATUAN'!$C$7:$C$1492,0),0)),"",OFFSET('HARGA SATUAN'!$D$6,MATCH(RAB!C76,'HARGA SATUAN'!$C$7:$C$1492,0),0))</f>
        <v>HDW</v>
      </c>
      <c r="E76" s="354" t="str">
        <f ca="1">IF(B76="+","Unit",IF(ISERROR(OFFSET('HARGA SATUAN'!$E$6,MATCH(RAB!C76,'HARGA SATUAN'!$C$7:$C$1492,0),0)),"",OFFSET('HARGA SATUAN'!$E$6,MATCH(RAB!C76,'HARGA SATUAN'!$C$7:$C$1492,0),0)))</f>
        <v>Bh</v>
      </c>
      <c r="F76" s="493">
        <f>F75*1</f>
        <v>1</v>
      </c>
      <c r="G76" s="355">
        <f ca="1">IF(ISERROR(OFFSET('HARGA SATUAN'!$I$6,MATCH(RAB!C76,'HARGA SATUAN'!$C$7:$C$1492,0),0)),0,OFFSET('HARGA SATUAN'!$I$6,MATCH(RAB!C76,'HARGA SATUAN'!$C$7:$C$1492,0),0))</f>
        <v>3965</v>
      </c>
      <c r="H76" s="356">
        <f t="shared" ca="1" si="16"/>
        <v>0</v>
      </c>
      <c r="I76" s="356">
        <f t="shared" ca="1" si="17"/>
        <v>3965</v>
      </c>
      <c r="J76" s="356">
        <f t="shared" ca="1" si="18"/>
        <v>0</v>
      </c>
      <c r="K76" s="357">
        <f t="shared" ca="1" si="19"/>
        <v>3965</v>
      </c>
      <c r="L76" s="362"/>
      <c r="M76" s="362"/>
      <c r="N76" s="362"/>
      <c r="O76" s="358"/>
      <c r="P76" s="358"/>
      <c r="Q76" s="341"/>
      <c r="R76" s="333"/>
      <c r="S76" s="359"/>
      <c r="T76" s="338"/>
      <c r="U76" s="338"/>
      <c r="V76" s="338"/>
    </row>
    <row r="77" spans="1:22" s="363" customFormat="1">
      <c r="A77" s="333"/>
      <c r="B77" s="503">
        <v>2</v>
      </c>
      <c r="C77" s="504" t="s">
        <v>474</v>
      </c>
      <c r="D77" s="353" t="str">
        <f ca="1">IF(ISERROR(OFFSET('HARGA SATUAN'!$D$6,MATCH(RAB!C77,'HARGA SATUAN'!$C$7:$C$1492,0),0)),"",OFFSET('HARGA SATUAN'!$D$6,MATCH(RAB!C77,'HARGA SATUAN'!$C$7:$C$1492,0),0))</f>
        <v>HDW</v>
      </c>
      <c r="E77" s="354" t="str">
        <f ca="1">IF(B77="+","Unit",IF(ISERROR(OFFSET('HARGA SATUAN'!$E$6,MATCH(RAB!C77,'HARGA SATUAN'!$C$7:$C$1492,0),0)),"",OFFSET('HARGA SATUAN'!$E$6,MATCH(RAB!C77,'HARGA SATUAN'!$C$7:$C$1492,0),0)))</f>
        <v>Bh</v>
      </c>
      <c r="F77" s="493">
        <f>F75*1</f>
        <v>1</v>
      </c>
      <c r="G77" s="355">
        <f ca="1">IF(ISERROR(OFFSET('HARGA SATUAN'!$I$6,MATCH(RAB!C77,'HARGA SATUAN'!$C$7:$C$1492,0),0)),0,OFFSET('HARGA SATUAN'!$I$6,MATCH(RAB!C77,'HARGA SATUAN'!$C$7:$C$1492,0),0))</f>
        <v>3711.24</v>
      </c>
      <c r="H77" s="356">
        <f t="shared" ref="H77:H81" ca="1" si="20">IF(OR(D77="MDU",D77="MDU-KD"),(IF($O$3="RAB NON MDU","PLN KD",G77*F77)),0)</f>
        <v>0</v>
      </c>
      <c r="I77" s="356">
        <f t="shared" ref="I77:I81" ca="1" si="21">IF(D77="HDW",G77*F77,0)</f>
        <v>3711.24</v>
      </c>
      <c r="J77" s="356">
        <f t="shared" ref="J77:J81" ca="1" si="22">IF(D77="JASA",G77*F77,0)</f>
        <v>0</v>
      </c>
      <c r="K77" s="357">
        <f t="shared" ref="K77:K81" ca="1" si="23">SUM(H77:J77)</f>
        <v>3711.24</v>
      </c>
      <c r="L77" s="362"/>
      <c r="M77" s="362"/>
      <c r="N77" s="362"/>
      <c r="O77" s="358"/>
      <c r="P77" s="358"/>
      <c r="Q77" s="341"/>
      <c r="R77" s="333"/>
      <c r="S77" s="359"/>
      <c r="T77" s="338"/>
      <c r="U77" s="338"/>
      <c r="V77" s="338"/>
    </row>
    <row r="78" spans="1:22" s="363" customFormat="1">
      <c r="A78" s="333"/>
      <c r="B78" s="503">
        <v>3</v>
      </c>
      <c r="C78" s="504" t="s">
        <v>266</v>
      </c>
      <c r="D78" s="353" t="str">
        <f ca="1">IF(ISERROR(OFFSET('HARGA SATUAN'!$D$6,MATCH(RAB!C78,'HARGA SATUAN'!$C$7:$C$1492,0),0)),"",OFFSET('HARGA SATUAN'!$D$6,MATCH(RAB!C78,'HARGA SATUAN'!$C$7:$C$1492,0),0))</f>
        <v>HDW</v>
      </c>
      <c r="E78" s="354" t="str">
        <f ca="1">IF(B78="+","Unit",IF(ISERROR(OFFSET('HARGA SATUAN'!$E$6,MATCH(RAB!C78,'HARGA SATUAN'!$C$7:$C$1492,0),0)),"",OFFSET('HARGA SATUAN'!$E$6,MATCH(RAB!C78,'HARGA SATUAN'!$C$7:$C$1492,0),0)))</f>
        <v>Mtr</v>
      </c>
      <c r="F78" s="493">
        <f>F75*1</f>
        <v>1</v>
      </c>
      <c r="G78" s="355">
        <f ca="1">IF(ISERROR(OFFSET('HARGA SATUAN'!$I$6,MATCH(RAB!C78,'HARGA SATUAN'!$C$7:$C$1492,0),0)),0,OFFSET('HARGA SATUAN'!$I$6,MATCH(RAB!C78,'HARGA SATUAN'!$C$7:$C$1492,0),0))</f>
        <v>23310</v>
      </c>
      <c r="H78" s="356">
        <f t="shared" ca="1" si="20"/>
        <v>0</v>
      </c>
      <c r="I78" s="356">
        <f t="shared" ca="1" si="21"/>
        <v>23310</v>
      </c>
      <c r="J78" s="356">
        <f t="shared" ca="1" si="22"/>
        <v>0</v>
      </c>
      <c r="K78" s="357">
        <f t="shared" ca="1" si="23"/>
        <v>23310</v>
      </c>
      <c r="L78" s="362"/>
      <c r="M78" s="362"/>
      <c r="N78" s="362"/>
      <c r="O78" s="358"/>
      <c r="P78" s="358"/>
      <c r="Q78" s="341"/>
      <c r="R78" s="333"/>
      <c r="S78" s="359"/>
      <c r="T78" s="338"/>
      <c r="U78" s="338"/>
      <c r="V78" s="338"/>
    </row>
    <row r="79" spans="1:22" s="363" customFormat="1">
      <c r="A79" s="333"/>
      <c r="B79" s="503">
        <v>4</v>
      </c>
      <c r="C79" s="504" t="s">
        <v>35</v>
      </c>
      <c r="D79" s="353" t="str">
        <f ca="1">IF(ISERROR(OFFSET('HARGA SATUAN'!$D$6,MATCH(RAB!C79,'HARGA SATUAN'!$C$7:$C$1492,0),0)),"",OFFSET('HARGA SATUAN'!$D$6,MATCH(RAB!C79,'HARGA SATUAN'!$C$7:$C$1492,0),0))</f>
        <v>HDW</v>
      </c>
      <c r="E79" s="354" t="str">
        <f ca="1">IF(B79="+","Unit",IF(ISERROR(OFFSET('HARGA SATUAN'!$E$6,MATCH(RAB!C79,'HARGA SATUAN'!$C$7:$C$1492,0),0)),"",OFFSET('HARGA SATUAN'!$E$6,MATCH(RAB!C79,'HARGA SATUAN'!$C$7:$C$1492,0),0)))</f>
        <v>Bh</v>
      </c>
      <c r="F79" s="493">
        <f>F75*1</f>
        <v>1</v>
      </c>
      <c r="G79" s="355">
        <f ca="1">IF(ISERROR(OFFSET('HARGA SATUAN'!$I$6,MATCH(RAB!C79,'HARGA SATUAN'!$C$7:$C$1492,0),0)),0,OFFSET('HARGA SATUAN'!$I$6,MATCH(RAB!C79,'HARGA SATUAN'!$C$7:$C$1492,0),0))</f>
        <v>2300</v>
      </c>
      <c r="H79" s="356">
        <f t="shared" ca="1" si="20"/>
        <v>0</v>
      </c>
      <c r="I79" s="356">
        <f t="shared" ca="1" si="21"/>
        <v>2300</v>
      </c>
      <c r="J79" s="356">
        <f t="shared" ca="1" si="22"/>
        <v>0</v>
      </c>
      <c r="K79" s="357">
        <f t="shared" ca="1" si="23"/>
        <v>2300</v>
      </c>
      <c r="L79" s="362"/>
      <c r="M79" s="362"/>
      <c r="N79" s="362"/>
      <c r="O79" s="358"/>
      <c r="P79" s="358"/>
      <c r="Q79" s="341"/>
      <c r="R79" s="333"/>
      <c r="S79" s="359"/>
      <c r="T79" s="338"/>
      <c r="U79" s="338"/>
      <c r="V79" s="338"/>
    </row>
    <row r="80" spans="1:22" s="363" customFormat="1">
      <c r="A80" s="333"/>
      <c r="B80" s="503">
        <v>5</v>
      </c>
      <c r="C80" s="504" t="s">
        <v>632</v>
      </c>
      <c r="D80" s="353" t="str">
        <f ca="1">IF(ISERROR(OFFSET('HARGA SATUAN'!$D$6,MATCH(RAB!C80,'HARGA SATUAN'!$C$7:$C$1492,0),0)),"",OFFSET('HARGA SATUAN'!$D$6,MATCH(RAB!C80,'HARGA SATUAN'!$C$7:$C$1492,0),0))</f>
        <v>JASA</v>
      </c>
      <c r="E80" s="354" t="str">
        <f ca="1">IF(B80="+","Unit",IF(ISERROR(OFFSET('HARGA SATUAN'!$E$6,MATCH(RAB!C80,'HARGA SATUAN'!$C$7:$C$1492,0),0)),"",OFFSET('HARGA SATUAN'!$E$6,MATCH(RAB!C80,'HARGA SATUAN'!$C$7:$C$1492,0),0)))</f>
        <v>Unit</v>
      </c>
      <c r="F80" s="493">
        <f>F75*1</f>
        <v>1</v>
      </c>
      <c r="G80" s="355">
        <f ca="1">IF(ISERROR(OFFSET('HARGA SATUAN'!$I$6,MATCH(RAB!C80,'HARGA SATUAN'!$C$7:$C$1492,0),0)),0,OFFSET('HARGA SATUAN'!$I$6,MATCH(RAB!C80,'HARGA SATUAN'!$C$7:$C$1492,0),0))</f>
        <v>22700</v>
      </c>
      <c r="H80" s="356">
        <f t="shared" ca="1" si="20"/>
        <v>0</v>
      </c>
      <c r="I80" s="356">
        <f t="shared" ca="1" si="21"/>
        <v>0</v>
      </c>
      <c r="J80" s="356">
        <f t="shared" ca="1" si="22"/>
        <v>22700</v>
      </c>
      <c r="K80" s="357">
        <f t="shared" ca="1" si="23"/>
        <v>22700</v>
      </c>
      <c r="L80" s="362"/>
      <c r="M80" s="362"/>
      <c r="N80" s="362"/>
      <c r="O80" s="358"/>
      <c r="P80" s="358"/>
      <c r="Q80" s="341"/>
      <c r="R80" s="333"/>
      <c r="S80" s="359"/>
      <c r="T80" s="338"/>
      <c r="U80" s="338"/>
      <c r="V80" s="338"/>
    </row>
    <row r="81" spans="1:22" s="363" customFormat="1">
      <c r="A81" s="333"/>
      <c r="B81" s="489"/>
      <c r="C81" s="490"/>
      <c r="D81" s="353" t="str">
        <f ca="1">IF(ISERROR(OFFSET('HARGA SATUAN'!$D$6,MATCH(RAB!C81,'HARGA SATUAN'!$C$7:$C$1492,0),0)),"",OFFSET('HARGA SATUAN'!$D$6,MATCH(RAB!C81,'HARGA SATUAN'!$C$7:$C$1492,0),0))</f>
        <v/>
      </c>
      <c r="E81" s="354" t="str">
        <f ca="1">IF(B81="+","Unit",IF(ISERROR(OFFSET('HARGA SATUAN'!$E$6,MATCH(RAB!C81,'HARGA SATUAN'!$C$7:$C$1492,0),0)),"",OFFSET('HARGA SATUAN'!$E$6,MATCH(RAB!C81,'HARGA SATUAN'!$C$7:$C$1492,0),0)))</f>
        <v/>
      </c>
      <c r="F81" s="477"/>
      <c r="G81" s="355">
        <f ca="1">IF(ISERROR(OFFSET('HARGA SATUAN'!$I$6,MATCH(RAB!C81,'HARGA SATUAN'!$C$7:$C$1492,0),0)),0,OFFSET('HARGA SATUAN'!$I$6,MATCH(RAB!C81,'HARGA SATUAN'!$C$7:$C$1492,0),0))</f>
        <v>0</v>
      </c>
      <c r="H81" s="356">
        <f t="shared" ca="1" si="20"/>
        <v>0</v>
      </c>
      <c r="I81" s="356">
        <f t="shared" ca="1" si="21"/>
        <v>0</v>
      </c>
      <c r="J81" s="356">
        <f t="shared" ca="1" si="22"/>
        <v>0</v>
      </c>
      <c r="K81" s="357">
        <f t="shared" ca="1" si="23"/>
        <v>0</v>
      </c>
      <c r="L81" s="362"/>
      <c r="M81" s="362"/>
      <c r="N81" s="362"/>
      <c r="O81" s="358"/>
      <c r="P81" s="358"/>
      <c r="Q81" s="341"/>
      <c r="R81" s="333"/>
      <c r="S81" s="359"/>
      <c r="T81" s="338"/>
      <c r="U81" s="338"/>
      <c r="V81" s="338"/>
    </row>
    <row r="82" spans="1:22" s="363" customFormat="1">
      <c r="A82" s="333"/>
      <c r="B82" s="489">
        <v>1</v>
      </c>
      <c r="C82" s="109" t="s">
        <v>1459</v>
      </c>
      <c r="D82" s="353" t="str">
        <f ca="1">IF(ISERROR(OFFSET('HARGA SATUAN'!$D$6,MATCH(RAB!C82,'HARGA SATUAN'!$C$7:$C$1492,0),0)),"",OFFSET('HARGA SATUAN'!$D$6,MATCH(RAB!C82,'HARGA SATUAN'!$C$7:$C$1492,0),0))</f>
        <v>MDU-KD</v>
      </c>
      <c r="E82" s="354" t="str">
        <f ca="1">IF(B82="+","Unit",IF(ISERROR(OFFSET('HARGA SATUAN'!$E$6,MATCH(RAB!C82,'HARGA SATUAN'!$C$7:$C$1492,0),0)),"",OFFSET('HARGA SATUAN'!$E$6,MATCH(RAB!C82,'HARGA SATUAN'!$C$7:$C$1492,0),0)))</f>
        <v>Mtr</v>
      </c>
      <c r="F82" s="477">
        <v>210</v>
      </c>
      <c r="G82" s="355">
        <f ca="1">IF(ISERROR(OFFSET('HARGA SATUAN'!$I$6,MATCH(RAB!C82,'HARGA SATUAN'!$C$7:$C$1492,0),0)),0,OFFSET('HARGA SATUAN'!$I$6,MATCH(RAB!C82,'HARGA SATUAN'!$C$7:$C$1492,0),0))</f>
        <v>54500</v>
      </c>
      <c r="H82" s="356">
        <f t="shared" ca="1" si="12"/>
        <v>11445000</v>
      </c>
      <c r="I82" s="356">
        <f t="shared" ca="1" si="13"/>
        <v>0</v>
      </c>
      <c r="J82" s="356">
        <f t="shared" ca="1" si="14"/>
        <v>0</v>
      </c>
      <c r="K82" s="357">
        <f t="shared" ca="1" si="15"/>
        <v>11445000</v>
      </c>
      <c r="L82" s="362"/>
      <c r="M82" s="362"/>
      <c r="N82" s="362"/>
      <c r="O82" s="358"/>
      <c r="P82" s="358"/>
      <c r="Q82" s="341"/>
      <c r="R82" s="333"/>
      <c r="S82" s="359"/>
      <c r="T82" s="338"/>
      <c r="U82" s="338"/>
      <c r="V82" s="338"/>
    </row>
    <row r="83" spans="1:22" s="363" customFormat="1">
      <c r="A83" s="333"/>
      <c r="B83" s="489">
        <v>2</v>
      </c>
      <c r="C83" s="109" t="s">
        <v>346</v>
      </c>
      <c r="D83" s="353" t="str">
        <f ca="1">IF(ISERROR(OFFSET('HARGA SATUAN'!$D$6,MATCH(RAB!C83,'HARGA SATUAN'!$C$7:$C$1492,0),0)),"",OFFSET('HARGA SATUAN'!$D$6,MATCH(RAB!C83,'HARGA SATUAN'!$C$7:$C$1492,0),0))</f>
        <v>JASA</v>
      </c>
      <c r="E83" s="354" t="str">
        <f ca="1">IF(B83="+","Unit",IF(ISERROR(OFFSET('HARGA SATUAN'!$E$6,MATCH(RAB!C83,'HARGA SATUAN'!$C$7:$C$1492,0),0)),"",OFFSET('HARGA SATUAN'!$E$6,MATCH(RAB!C83,'HARGA SATUAN'!$C$7:$C$1492,0),0)))</f>
        <v>Per 50 m</v>
      </c>
      <c r="F83" s="477">
        <f>F82/50</f>
        <v>4.2</v>
      </c>
      <c r="G83" s="355">
        <f ca="1">IF(ISERROR(OFFSET('HARGA SATUAN'!$I$6,MATCH(RAB!C83,'HARGA SATUAN'!$C$7:$C$1492,0),0)),0,OFFSET('HARGA SATUAN'!$I$6,MATCH(RAB!C83,'HARGA SATUAN'!$C$7:$C$1492,0),0))</f>
        <v>223500</v>
      </c>
      <c r="H83" s="356">
        <f t="shared" ca="1" si="12"/>
        <v>0</v>
      </c>
      <c r="I83" s="356">
        <f t="shared" ca="1" si="13"/>
        <v>0</v>
      </c>
      <c r="J83" s="356">
        <f t="shared" ca="1" si="14"/>
        <v>938700</v>
      </c>
      <c r="K83" s="357">
        <f t="shared" ca="1" si="15"/>
        <v>938700</v>
      </c>
      <c r="L83" s="362"/>
      <c r="M83" s="362"/>
      <c r="N83" s="362"/>
      <c r="O83" s="358"/>
      <c r="P83" s="358"/>
      <c r="Q83" s="341"/>
      <c r="R83" s="333"/>
      <c r="S83" s="359"/>
      <c r="T83" s="338"/>
      <c r="U83" s="338"/>
      <c r="V83" s="338"/>
    </row>
    <row r="84" spans="1:22" s="360" customFormat="1">
      <c r="A84" s="333"/>
      <c r="B84" s="489"/>
      <c r="C84" s="490"/>
      <c r="D84" s="353" t="str">
        <f ca="1">IF(ISERROR(OFFSET('HARGA SATUAN'!$D$6,MATCH(RAB!C84,'HARGA SATUAN'!$C$7:$C$1492,0),0)),"",OFFSET('HARGA SATUAN'!$D$6,MATCH(RAB!C84,'HARGA SATUAN'!$C$7:$C$1492,0),0))</f>
        <v/>
      </c>
      <c r="E84" s="354" t="str">
        <f ca="1">IF(B84="+","Unit",IF(ISERROR(OFFSET('HARGA SATUAN'!$E$6,MATCH(RAB!C84,'HARGA SATUAN'!$C$7:$C$1492,0),0)),"",OFFSET('HARGA SATUAN'!$E$6,MATCH(RAB!C84,'HARGA SATUAN'!$C$7:$C$1492,0),0)))</f>
        <v/>
      </c>
      <c r="F84" s="493"/>
      <c r="G84" s="355">
        <f ca="1">IF(ISERROR(OFFSET('HARGA SATUAN'!$I$6,MATCH(RAB!C84,'HARGA SATUAN'!$C$7:$C$1492,0),0)),0,OFFSET('HARGA SATUAN'!$I$6,MATCH(RAB!C84,'HARGA SATUAN'!$C$7:$C$1492,0),0))</f>
        <v>0</v>
      </c>
      <c r="H84" s="356">
        <f t="shared" ref="H84:H88" ca="1" si="24">IF(OR(D84="MDU",D84="MDU-KD"),(IF($O$3="RAB NON MDU","PLN KD",G84*F84)),0)</f>
        <v>0</v>
      </c>
      <c r="I84" s="356">
        <f t="shared" ref="I84:I88" ca="1" si="25">IF(D84="HDW",G84*F84,0)</f>
        <v>0</v>
      </c>
      <c r="J84" s="356">
        <f t="shared" ref="J84:J88" ca="1" si="26">IF(D84="JASA",G84*F84,0)</f>
        <v>0</v>
      </c>
      <c r="K84" s="357">
        <f t="shared" ref="K84:K88" ca="1" si="27">SUM(H84:J84)</f>
        <v>0</v>
      </c>
      <c r="L84" s="339"/>
      <c r="M84" s="339"/>
      <c r="N84" s="362"/>
      <c r="O84" s="341"/>
      <c r="P84" s="387"/>
      <c r="Q84" s="341"/>
    </row>
    <row r="85" spans="1:22" s="360" customFormat="1">
      <c r="A85" s="333"/>
      <c r="B85" s="482" t="s">
        <v>530</v>
      </c>
      <c r="C85" s="483" t="s">
        <v>1609</v>
      </c>
      <c r="D85" s="353" t="str">
        <f ca="1">IF(ISERROR(OFFSET('HARGA SATUAN'!$D$6,MATCH(RAB!C85,'HARGA SATUAN'!$C$7:$C$1492,0),0)),"",OFFSET('HARGA SATUAN'!$D$6,MATCH(RAB!C85,'HARGA SATUAN'!$C$7:$C$1492,0),0))</f>
        <v/>
      </c>
      <c r="E85" s="354" t="str">
        <f ca="1">IF(B85="+","Unit",IF(ISERROR(OFFSET('HARGA SATUAN'!$E$6,MATCH(RAB!C85,'HARGA SATUAN'!$C$7:$C$1492,0),0)),"",OFFSET('HARGA SATUAN'!$E$6,MATCH(RAB!C85,'HARGA SATUAN'!$C$7:$C$1492,0),0)))</f>
        <v/>
      </c>
      <c r="F85" s="492"/>
      <c r="G85" s="355">
        <f ca="1">IF(ISERROR(OFFSET('HARGA SATUAN'!$I$6,MATCH(RAB!C85,'HARGA SATUAN'!$C$7:$C$1492,0),0)),0,OFFSET('HARGA SATUAN'!$I$6,MATCH(RAB!C85,'HARGA SATUAN'!$C$7:$C$1492,0),0))</f>
        <v>0</v>
      </c>
      <c r="H85" s="356">
        <f t="shared" ca="1" si="24"/>
        <v>0</v>
      </c>
      <c r="I85" s="356">
        <f t="shared" ca="1" si="25"/>
        <v>0</v>
      </c>
      <c r="J85" s="356">
        <f t="shared" ca="1" si="26"/>
        <v>0</v>
      </c>
      <c r="K85" s="357">
        <f t="shared" ca="1" si="27"/>
        <v>0</v>
      </c>
      <c r="L85" s="339"/>
      <c r="M85" s="339"/>
      <c r="N85" s="362"/>
      <c r="O85" s="341"/>
      <c r="P85" s="387"/>
      <c r="Q85" s="341"/>
    </row>
    <row r="86" spans="1:22" s="360" customFormat="1">
      <c r="A86" s="333"/>
      <c r="B86" s="482"/>
      <c r="C86" s="483"/>
      <c r="D86" s="353" t="str">
        <f ca="1">IF(ISERROR(OFFSET('HARGA SATUAN'!$D$6,MATCH(RAB!C86,'HARGA SATUAN'!$C$7:$C$1492,0),0)),"",OFFSET('HARGA SATUAN'!$D$6,MATCH(RAB!C86,'HARGA SATUAN'!$C$7:$C$1492,0),0))</f>
        <v/>
      </c>
      <c r="E86" s="354" t="str">
        <f ca="1">IF(B86="+","Unit",IF(ISERROR(OFFSET('HARGA SATUAN'!$E$6,MATCH(RAB!C86,'HARGA SATUAN'!$C$7:$C$1492,0),0)),"",OFFSET('HARGA SATUAN'!$E$6,MATCH(RAB!C86,'HARGA SATUAN'!$C$7:$C$1492,0),0)))</f>
        <v/>
      </c>
      <c r="F86" s="492"/>
      <c r="G86" s="355">
        <f ca="1">IF(ISERROR(OFFSET('HARGA SATUAN'!$I$6,MATCH(RAB!C86,'HARGA SATUAN'!$C$7:$C$1492,0),0)),0,OFFSET('HARGA SATUAN'!$I$6,MATCH(RAB!C86,'HARGA SATUAN'!$C$7:$C$1492,0),0))</f>
        <v>0</v>
      </c>
      <c r="H86" s="356">
        <f t="shared" ca="1" si="24"/>
        <v>0</v>
      </c>
      <c r="I86" s="356">
        <f t="shared" ca="1" si="25"/>
        <v>0</v>
      </c>
      <c r="J86" s="356">
        <f t="shared" ca="1" si="26"/>
        <v>0</v>
      </c>
      <c r="K86" s="357">
        <f t="shared" ca="1" si="27"/>
        <v>0</v>
      </c>
      <c r="L86" s="339"/>
      <c r="M86" s="339"/>
      <c r="N86" s="362"/>
      <c r="O86" s="341"/>
      <c r="P86" s="387"/>
      <c r="Q86" s="341"/>
    </row>
    <row r="87" spans="1:22" s="360" customFormat="1">
      <c r="A87" s="333"/>
      <c r="B87" s="487" t="s">
        <v>1035</v>
      </c>
      <c r="C87" s="488" t="s">
        <v>1630</v>
      </c>
      <c r="D87" s="353" t="str">
        <f ca="1">IF(ISERROR(OFFSET('HARGA SATUAN'!$D$6,MATCH(RAB!C87,'HARGA SATUAN'!$C$7:$C$1492,0),0)),"",OFFSET('HARGA SATUAN'!$D$6,MATCH(RAB!C87,'HARGA SATUAN'!$C$7:$C$1492,0),0))</f>
        <v/>
      </c>
      <c r="E87" s="354" t="str">
        <f ca="1">IF(B87="+","Unit",IF(ISERROR(OFFSET('HARGA SATUAN'!$E$6,MATCH(RAB!C87,'HARGA SATUAN'!$C$7:$C$1492,0),0)),"",OFFSET('HARGA SATUAN'!$E$6,MATCH(RAB!C87,'HARGA SATUAN'!$C$7:$C$1492,0),0)))</f>
        <v>Unit</v>
      </c>
      <c r="F87" s="507">
        <v>1</v>
      </c>
      <c r="G87" s="355">
        <f ca="1">IF(ISERROR(OFFSET('HARGA SATUAN'!$I$6,MATCH(RAB!C87,'HARGA SATUAN'!$C$7:$C$1492,0),0)),0,OFFSET('HARGA SATUAN'!$I$6,MATCH(RAB!C87,'HARGA SATUAN'!$C$7:$C$1492,0),0))</f>
        <v>0</v>
      </c>
      <c r="H87" s="356">
        <f t="shared" ca="1" si="24"/>
        <v>0</v>
      </c>
      <c r="I87" s="356">
        <f t="shared" ca="1" si="25"/>
        <v>0</v>
      </c>
      <c r="J87" s="356">
        <f t="shared" ca="1" si="26"/>
        <v>0</v>
      </c>
      <c r="K87" s="357">
        <f t="shared" ca="1" si="27"/>
        <v>0</v>
      </c>
      <c r="L87" s="339"/>
      <c r="M87" s="339"/>
      <c r="N87" s="362"/>
      <c r="O87" s="341"/>
      <c r="P87" s="387"/>
      <c r="Q87" s="341"/>
    </row>
    <row r="88" spans="1:22" s="360" customFormat="1" ht="30">
      <c r="A88" s="333"/>
      <c r="B88" s="505">
        <v>1</v>
      </c>
      <c r="C88" s="109" t="s">
        <v>1197</v>
      </c>
      <c r="D88" s="353" t="str">
        <f ca="1">IF(ISERROR(OFFSET('HARGA SATUAN'!$D$6,MATCH(RAB!C88,'HARGA SATUAN'!$C$7:$C$1492,0),0)),"",OFFSET('HARGA SATUAN'!$D$6,MATCH(RAB!C88,'HARGA SATUAN'!$C$7:$C$1492,0),0))</f>
        <v>MDU-KD</v>
      </c>
      <c r="E88" s="354" t="str">
        <f ca="1">IF(B88="+","Unit",IF(ISERROR(OFFSET('HARGA SATUAN'!$E$6,MATCH(RAB!C88,'HARGA SATUAN'!$C$7:$C$1492,0),0)),"",OFFSET('HARGA SATUAN'!$E$6,MATCH(RAB!C88,'HARGA SATUAN'!$C$7:$C$1492,0),0)))</f>
        <v>Bh</v>
      </c>
      <c r="F88" s="507">
        <f>F87*1</f>
        <v>1</v>
      </c>
      <c r="G88" s="355">
        <f ca="1">IF(ISERROR(OFFSET('HARGA SATUAN'!$I$6,MATCH(RAB!C88,'HARGA SATUAN'!$C$7:$C$1492,0),0)),0,OFFSET('HARGA SATUAN'!$I$6,MATCH(RAB!C88,'HARGA SATUAN'!$C$7:$C$1492,0),0))</f>
        <v>1427400</v>
      </c>
      <c r="H88" s="356">
        <f t="shared" ca="1" si="24"/>
        <v>1427400</v>
      </c>
      <c r="I88" s="356">
        <f t="shared" ca="1" si="25"/>
        <v>0</v>
      </c>
      <c r="J88" s="356">
        <f t="shared" ca="1" si="26"/>
        <v>0</v>
      </c>
      <c r="K88" s="357">
        <f t="shared" ca="1" si="27"/>
        <v>1427400</v>
      </c>
      <c r="L88" s="339"/>
      <c r="M88" s="339"/>
      <c r="N88" s="362"/>
      <c r="O88" s="341"/>
      <c r="P88" s="387"/>
      <c r="Q88" s="341"/>
    </row>
    <row r="89" spans="1:22" s="360" customFormat="1">
      <c r="A89" s="333"/>
      <c r="B89" s="505">
        <v>2</v>
      </c>
      <c r="C89" s="109" t="s">
        <v>513</v>
      </c>
      <c r="D89" s="353" t="str">
        <f ca="1">IF(ISERROR(OFFSET('HARGA SATUAN'!$D$6,MATCH(RAB!C89,'HARGA SATUAN'!$C$7:$C$1492,0),0)),"",OFFSET('HARGA SATUAN'!$D$6,MATCH(RAB!C89,'HARGA SATUAN'!$C$7:$C$1492,0),0))</f>
        <v>MDU-KD</v>
      </c>
      <c r="E89" s="354" t="str">
        <f ca="1">IF(B89="+","Unit",IF(ISERROR(OFFSET('HARGA SATUAN'!$E$6,MATCH(RAB!C89,'HARGA SATUAN'!$C$7:$C$1492,0),0)),"",OFFSET('HARGA SATUAN'!$E$6,MATCH(RAB!C89,'HARGA SATUAN'!$C$7:$C$1492,0),0)))</f>
        <v>Unit</v>
      </c>
      <c r="F89" s="507">
        <f>F87*1</f>
        <v>1</v>
      </c>
      <c r="G89" s="355">
        <f ca="1">IF(ISERROR(OFFSET('HARGA SATUAN'!$I$6,MATCH(RAB!C89,'HARGA SATUAN'!$C$7:$C$1492,0),0)),0,OFFSET('HARGA SATUAN'!$I$6,MATCH(RAB!C89,'HARGA SATUAN'!$C$7:$C$1492,0),0))</f>
        <v>3564900</v>
      </c>
      <c r="H89" s="356">
        <f t="shared" ref="H89:H90" ca="1" si="28">IF(OR(D89="MDU",D89="MDU-KD"),(IF($O$3="RAB NON MDU","PLN KD",G89*F89)),0)</f>
        <v>3564900</v>
      </c>
      <c r="I89" s="356">
        <f t="shared" ref="I89:I90" ca="1" si="29">IF(D89="HDW",G89*F89,0)</f>
        <v>0</v>
      </c>
      <c r="J89" s="356">
        <f t="shared" ref="J89:J90" ca="1" si="30">IF(D89="JASA",G89*F89,0)</f>
        <v>0</v>
      </c>
      <c r="K89" s="357">
        <f t="shared" ref="K89:K90" ca="1" si="31">SUM(H89:J89)</f>
        <v>3564900</v>
      </c>
      <c r="L89" s="339"/>
      <c r="M89" s="339"/>
      <c r="N89" s="362"/>
      <c r="O89" s="341"/>
      <c r="P89" s="387"/>
      <c r="Q89" s="341"/>
    </row>
    <row r="90" spans="1:22" s="360" customFormat="1">
      <c r="A90" s="333"/>
      <c r="B90" s="505">
        <v>3</v>
      </c>
      <c r="C90" s="506" t="s">
        <v>77</v>
      </c>
      <c r="D90" s="353" t="str">
        <f ca="1">IF(ISERROR(OFFSET('HARGA SATUAN'!$D$6,MATCH(RAB!C90,'HARGA SATUAN'!$C$7:$C$1492,0),0)),"",OFFSET('HARGA SATUAN'!$D$6,MATCH(RAB!C90,'HARGA SATUAN'!$C$7:$C$1492,0),0))</f>
        <v>MDU-KD</v>
      </c>
      <c r="E90" s="354" t="str">
        <f ca="1">IF(B90="+","Unit",IF(ISERROR(OFFSET('HARGA SATUAN'!$E$6,MATCH(RAB!C90,'HARGA SATUAN'!$C$7:$C$1492,0),0)),"",OFFSET('HARGA SATUAN'!$E$6,MATCH(RAB!C90,'HARGA SATUAN'!$C$7:$C$1492,0),0)))</f>
        <v>Mtr</v>
      </c>
      <c r="F90" s="507">
        <v>20</v>
      </c>
      <c r="G90" s="355">
        <f ca="1">IF(ISERROR(OFFSET('HARGA SATUAN'!$I$6,MATCH(RAB!C90,'HARGA SATUAN'!$C$7:$C$1492,0),0)),0,OFFSET('HARGA SATUAN'!$I$6,MATCH(RAB!C90,'HARGA SATUAN'!$C$7:$C$1492,0),0))</f>
        <v>13500</v>
      </c>
      <c r="H90" s="356">
        <f t="shared" ca="1" si="28"/>
        <v>270000</v>
      </c>
      <c r="I90" s="356">
        <f t="shared" ca="1" si="29"/>
        <v>0</v>
      </c>
      <c r="J90" s="356">
        <f t="shared" ca="1" si="30"/>
        <v>0</v>
      </c>
      <c r="K90" s="357">
        <f t="shared" ca="1" si="31"/>
        <v>270000</v>
      </c>
      <c r="L90" s="339"/>
      <c r="M90" s="339"/>
      <c r="N90" s="362"/>
      <c r="O90" s="341"/>
      <c r="P90" s="387"/>
      <c r="Q90" s="341"/>
    </row>
    <row r="91" spans="1:22">
      <c r="B91" s="505">
        <v>4</v>
      </c>
      <c r="C91" s="506" t="s">
        <v>799</v>
      </c>
      <c r="D91" s="353" t="str">
        <f ca="1">IF(ISERROR(OFFSET('HARGA SATUAN'!$D$6,MATCH(RAB!C91,'HARGA SATUAN'!$C$7:$C$1492,0),0)),"",OFFSET('HARGA SATUAN'!$D$6,MATCH(RAB!C91,'HARGA SATUAN'!$C$7:$C$1492,0),0))</f>
        <v>JASA</v>
      </c>
      <c r="E91" s="354" t="str">
        <f ca="1">IF(B91="+","Unit",IF(ISERROR(OFFSET('HARGA SATUAN'!$E$6,MATCH(RAB!C91,'HARGA SATUAN'!$C$7:$C$1492,0),0)),"",OFFSET('HARGA SATUAN'!$E$6,MATCH(RAB!C91,'HARGA SATUAN'!$C$7:$C$1492,0),0)))</f>
        <v>Unit</v>
      </c>
      <c r="F91" s="507">
        <f>F87*1</f>
        <v>1</v>
      </c>
      <c r="G91" s="355">
        <f ca="1">IF(ISERROR(OFFSET('HARGA SATUAN'!$I$6,MATCH(RAB!C91,'HARGA SATUAN'!$C$7:$C$1492,0),0)),0,OFFSET('HARGA SATUAN'!$I$6,MATCH(RAB!C91,'HARGA SATUAN'!$C$7:$C$1492,0),0))</f>
        <v>106400</v>
      </c>
      <c r="H91" s="356">
        <f t="shared" ref="H91:H92" ca="1" si="32">IF(OR(D91="MDU",D91="MDU-KD"),(IF($O$3="RAB NON MDU","PLN KD",G91*F91)),0)</f>
        <v>0</v>
      </c>
      <c r="I91" s="356">
        <f t="shared" ref="I91:I92" ca="1" si="33">IF(D91="HDW",G91*F91,0)</f>
        <v>0</v>
      </c>
      <c r="J91" s="356">
        <f t="shared" ref="J91:J92" ca="1" si="34">IF(D91="JASA",G91*F91,0)</f>
        <v>106400</v>
      </c>
      <c r="K91" s="357">
        <f t="shared" ref="K91:K92" ca="1" si="35">SUM(H91:J91)</f>
        <v>106400</v>
      </c>
    </row>
    <row r="92" spans="1:22">
      <c r="B92" s="364"/>
      <c r="C92" s="491"/>
      <c r="D92" s="353" t="str">
        <f ca="1">IF(ISERROR(OFFSET('HARGA SATUAN'!$D$6,MATCH(RAB!C92,'HARGA SATUAN'!$C$7:$C$1492,0),0)),"",OFFSET('HARGA SATUAN'!$D$6,MATCH(RAB!C92,'HARGA SATUAN'!$C$7:$C$1492,0),0))</f>
        <v/>
      </c>
      <c r="E92" s="354" t="str">
        <f ca="1">IF(B92="+","Unit",IF(ISERROR(OFFSET('HARGA SATUAN'!$E$6,MATCH(RAB!C92,'HARGA SATUAN'!$C$7:$C$1492,0),0)),"",OFFSET('HARGA SATUAN'!$E$6,MATCH(RAB!C92,'HARGA SATUAN'!$C$7:$C$1492,0),0)))</f>
        <v/>
      </c>
      <c r="F92" s="361"/>
      <c r="G92" s="355">
        <f ca="1">IF(ISERROR(OFFSET('HARGA SATUAN'!$I$6,MATCH(RAB!C92,'HARGA SATUAN'!$C$7:$C$1492,0),0)),0,OFFSET('HARGA SATUAN'!$I$6,MATCH(RAB!C92,'HARGA SATUAN'!$C$7:$C$1492,0),0))</f>
        <v>0</v>
      </c>
      <c r="H92" s="356">
        <f t="shared" ca="1" si="32"/>
        <v>0</v>
      </c>
      <c r="I92" s="356">
        <f t="shared" ca="1" si="33"/>
        <v>0</v>
      </c>
      <c r="J92" s="356">
        <f t="shared" ca="1" si="34"/>
        <v>0</v>
      </c>
      <c r="K92" s="357">
        <f t="shared" ca="1" si="35"/>
        <v>0</v>
      </c>
    </row>
    <row r="93" spans="1:22">
      <c r="B93" s="505" t="s">
        <v>1035</v>
      </c>
      <c r="C93" s="506" t="s">
        <v>1622</v>
      </c>
      <c r="D93" s="353" t="str">
        <f ca="1">IF(ISERROR(OFFSET('HARGA SATUAN'!$D$6,MATCH(RAB!C93,'HARGA SATUAN'!$C$7:$C$1492,0),0)),"",OFFSET('HARGA SATUAN'!$D$6,MATCH(RAB!C93,'HARGA SATUAN'!$C$7:$C$1492,0),0))</f>
        <v/>
      </c>
      <c r="E93" s="354" t="str">
        <f ca="1">IF(B93="+","Unit",IF(ISERROR(OFFSET('HARGA SATUAN'!$E$6,MATCH(RAB!C93,'HARGA SATUAN'!$C$7:$C$1492,0),0)),"",OFFSET('HARGA SATUAN'!$E$6,MATCH(RAB!C93,'HARGA SATUAN'!$C$7:$C$1492,0),0)))</f>
        <v>Unit</v>
      </c>
      <c r="F93" s="507">
        <v>1</v>
      </c>
      <c r="G93" s="355">
        <f ca="1">IF(ISERROR(OFFSET('HARGA SATUAN'!$I$6,MATCH(RAB!C93,'HARGA SATUAN'!$C$7:$C$1492,0),0)),0,OFFSET('HARGA SATUAN'!$I$6,MATCH(RAB!C93,'HARGA SATUAN'!$C$7:$C$1492,0),0))</f>
        <v>0</v>
      </c>
      <c r="H93" s="356">
        <f t="shared" ref="H93:H100" ca="1" si="36">IF(OR(D93="MDU",D93="MDU-KD"),(IF($O$3="RAB NON MDU","PLN KD",G93*F93)),0)</f>
        <v>0</v>
      </c>
      <c r="I93" s="356">
        <f t="shared" ref="I93:I100" ca="1" si="37">IF(D93="HDW",G93*F93,0)</f>
        <v>0</v>
      </c>
      <c r="J93" s="356">
        <f t="shared" ref="J93:J100" ca="1" si="38">IF(D93="JASA",G93*F93,0)</f>
        <v>0</v>
      </c>
      <c r="K93" s="357">
        <f t="shared" ref="K93:K100" ca="1" si="39">SUM(H93:J93)</f>
        <v>0</v>
      </c>
    </row>
    <row r="94" spans="1:22">
      <c r="B94" s="505">
        <v>1</v>
      </c>
      <c r="C94" s="506" t="s">
        <v>115</v>
      </c>
      <c r="D94" s="353" t="str">
        <f ca="1">IF(ISERROR(OFFSET('HARGA SATUAN'!$D$6,MATCH(RAB!C94,'HARGA SATUAN'!$C$7:$C$1492,0),0)),"",OFFSET('HARGA SATUAN'!$D$6,MATCH(RAB!C94,'HARGA SATUAN'!$C$7:$C$1492,0),0))</f>
        <v>HDW</v>
      </c>
      <c r="E94" s="354" t="str">
        <f ca="1">IF(B94="+","Unit",IF(ISERROR(OFFSET('HARGA SATUAN'!$E$6,MATCH(RAB!C94,'HARGA SATUAN'!$C$7:$C$1492,0),0)),"",OFFSET('HARGA SATUAN'!$E$6,MATCH(RAB!C94,'HARGA SATUAN'!$C$7:$C$1492,0),0)))</f>
        <v>Set</v>
      </c>
      <c r="F94" s="507">
        <f>F93*1</f>
        <v>1</v>
      </c>
      <c r="G94" s="355">
        <f ca="1">IF(ISERROR(OFFSET('HARGA SATUAN'!$I$6,MATCH(RAB!C94,'HARGA SATUAN'!$C$7:$C$1492,0),0)),0,OFFSET('HARGA SATUAN'!$I$6,MATCH(RAB!C94,'HARGA SATUAN'!$C$7:$C$1492,0),0))</f>
        <v>11500</v>
      </c>
      <c r="H94" s="356">
        <f t="shared" ca="1" si="36"/>
        <v>0</v>
      </c>
      <c r="I94" s="356">
        <f t="shared" ca="1" si="37"/>
        <v>11500</v>
      </c>
      <c r="J94" s="356">
        <f t="shared" ca="1" si="38"/>
        <v>0</v>
      </c>
      <c r="K94" s="357">
        <f t="shared" ca="1" si="39"/>
        <v>11500</v>
      </c>
    </row>
    <row r="95" spans="1:22">
      <c r="B95" s="505">
        <v>2</v>
      </c>
      <c r="C95" s="506" t="s">
        <v>145</v>
      </c>
      <c r="D95" s="353" t="str">
        <f ca="1">IF(ISERROR(OFFSET('HARGA SATUAN'!$D$6,MATCH(RAB!C95,'HARGA SATUAN'!$C$7:$C$1492,0),0)),"",OFFSET('HARGA SATUAN'!$D$6,MATCH(RAB!C95,'HARGA SATUAN'!$C$7:$C$1492,0),0))</f>
        <v>HDW</v>
      </c>
      <c r="E95" s="354" t="str">
        <f ca="1">IF(B95="+","Unit",IF(ISERROR(OFFSET('HARGA SATUAN'!$E$6,MATCH(RAB!C95,'HARGA SATUAN'!$C$7:$C$1492,0),0)),"",OFFSET('HARGA SATUAN'!$E$6,MATCH(RAB!C95,'HARGA SATUAN'!$C$7:$C$1492,0),0)))</f>
        <v>Set</v>
      </c>
      <c r="F95" s="507">
        <f>F93*1</f>
        <v>1</v>
      </c>
      <c r="G95" s="355">
        <f ca="1">IF(ISERROR(OFFSET('HARGA SATUAN'!$I$6,MATCH(RAB!C95,'HARGA SATUAN'!$C$7:$C$1492,0),0)),0,OFFSET('HARGA SATUAN'!$I$6,MATCH(RAB!C95,'HARGA SATUAN'!$C$7:$C$1492,0),0))</f>
        <v>6200</v>
      </c>
      <c r="H95" s="356">
        <f t="shared" ca="1" si="36"/>
        <v>0</v>
      </c>
      <c r="I95" s="356">
        <f t="shared" ca="1" si="37"/>
        <v>6200</v>
      </c>
      <c r="J95" s="356">
        <f t="shared" ca="1" si="38"/>
        <v>0</v>
      </c>
      <c r="K95" s="357">
        <f t="shared" ca="1" si="39"/>
        <v>6200</v>
      </c>
    </row>
    <row r="96" spans="1:22">
      <c r="B96" s="505">
        <v>3</v>
      </c>
      <c r="C96" s="506" t="s">
        <v>587</v>
      </c>
      <c r="D96" s="353" t="str">
        <f ca="1">IF(ISERROR(OFFSET('HARGA SATUAN'!$D$6,MATCH(RAB!C96,'HARGA SATUAN'!$C$7:$C$1492,0),0)),"",OFFSET('HARGA SATUAN'!$D$6,MATCH(RAB!C96,'HARGA SATUAN'!$C$7:$C$1492,0),0))</f>
        <v>HDW</v>
      </c>
      <c r="E96" s="354" t="str">
        <f ca="1">IF(B96="+","Unit",IF(ISERROR(OFFSET('HARGA SATUAN'!$E$6,MATCH(RAB!C96,'HARGA SATUAN'!$C$7:$C$1492,0),0)),"",OFFSET('HARGA SATUAN'!$E$6,MATCH(RAB!C96,'HARGA SATUAN'!$C$7:$C$1492,0),0)))</f>
        <v>Btg</v>
      </c>
      <c r="F96" s="507">
        <f>F93*1</f>
        <v>1</v>
      </c>
      <c r="G96" s="355">
        <f ca="1">IF(ISERROR(OFFSET('HARGA SATUAN'!$I$6,MATCH(RAB!C96,'HARGA SATUAN'!$C$7:$C$1492,0),0)),0,OFFSET('HARGA SATUAN'!$I$6,MATCH(RAB!C96,'HARGA SATUAN'!$C$7:$C$1492,0),0))</f>
        <v>45796</v>
      </c>
      <c r="H96" s="356">
        <f t="shared" ca="1" si="36"/>
        <v>0</v>
      </c>
      <c r="I96" s="356">
        <f t="shared" ca="1" si="37"/>
        <v>45796</v>
      </c>
      <c r="J96" s="356">
        <f t="shared" ca="1" si="38"/>
        <v>0</v>
      </c>
      <c r="K96" s="357">
        <f t="shared" ca="1" si="39"/>
        <v>45796</v>
      </c>
    </row>
    <row r="97" spans="2:13">
      <c r="B97" s="505">
        <v>4</v>
      </c>
      <c r="C97" s="506" t="s">
        <v>118</v>
      </c>
      <c r="D97" s="353" t="str">
        <f ca="1">IF(ISERROR(OFFSET('HARGA SATUAN'!$D$6,MATCH(RAB!C97,'HARGA SATUAN'!$C$7:$C$1492,0),0)),"",OFFSET('HARGA SATUAN'!$D$6,MATCH(RAB!C97,'HARGA SATUAN'!$C$7:$C$1492,0),0))</f>
        <v>HDW</v>
      </c>
      <c r="E97" s="354" t="str">
        <f ca="1">IF(B97="+","Unit",IF(ISERROR(OFFSET('HARGA SATUAN'!$E$6,MATCH(RAB!C97,'HARGA SATUAN'!$C$7:$C$1492,0),0)),"",OFFSET('HARGA SATUAN'!$E$6,MATCH(RAB!C97,'HARGA SATUAN'!$C$7:$C$1492,0),0)))</f>
        <v>Set</v>
      </c>
      <c r="F97" s="507">
        <f>F93*1</f>
        <v>1</v>
      </c>
      <c r="G97" s="355">
        <f ca="1">IF(ISERROR(OFFSET('HARGA SATUAN'!$I$6,MATCH(RAB!C97,'HARGA SATUAN'!$C$7:$C$1492,0),0)),0,OFFSET('HARGA SATUAN'!$I$6,MATCH(RAB!C97,'HARGA SATUAN'!$C$7:$C$1492,0),0))</f>
        <v>5300</v>
      </c>
      <c r="H97" s="356">
        <f t="shared" ca="1" si="36"/>
        <v>0</v>
      </c>
      <c r="I97" s="356">
        <f t="shared" ca="1" si="37"/>
        <v>5300</v>
      </c>
      <c r="J97" s="356">
        <f t="shared" ca="1" si="38"/>
        <v>0</v>
      </c>
      <c r="K97" s="357">
        <f t="shared" ca="1" si="39"/>
        <v>5300</v>
      </c>
    </row>
    <row r="98" spans="2:13">
      <c r="B98" s="505">
        <v>5</v>
      </c>
      <c r="C98" s="506" t="s">
        <v>117</v>
      </c>
      <c r="D98" s="353" t="str">
        <f ca="1">IF(ISERROR(OFFSET('HARGA SATUAN'!$D$6,MATCH(RAB!C98,'HARGA SATUAN'!$C$7:$C$1492,0),0)),"",OFFSET('HARGA SATUAN'!$D$6,MATCH(RAB!C98,'HARGA SATUAN'!$C$7:$C$1492,0),0))</f>
        <v>HDW</v>
      </c>
      <c r="E98" s="354" t="str">
        <f ca="1">IF(B98="+","Unit",IF(ISERROR(OFFSET('HARGA SATUAN'!$E$6,MATCH(RAB!C98,'HARGA SATUAN'!$C$7:$C$1492,0),0)),"",OFFSET('HARGA SATUAN'!$E$6,MATCH(RAB!C98,'HARGA SATUAN'!$C$7:$C$1492,0),0)))</f>
        <v>Bh</v>
      </c>
      <c r="F98" s="507">
        <f>F93*1</f>
        <v>1</v>
      </c>
      <c r="G98" s="355">
        <f ca="1">IF(ISERROR(OFFSET('HARGA SATUAN'!$I$6,MATCH(RAB!C98,'HARGA SATUAN'!$C$7:$C$1492,0),0)),0,OFFSET('HARGA SATUAN'!$I$6,MATCH(RAB!C98,'HARGA SATUAN'!$C$7:$C$1492,0),0))</f>
        <v>58600</v>
      </c>
      <c r="H98" s="356">
        <f t="shared" ca="1" si="36"/>
        <v>0</v>
      </c>
      <c r="I98" s="356">
        <f t="shared" ca="1" si="37"/>
        <v>58600</v>
      </c>
      <c r="J98" s="356">
        <f t="shared" ca="1" si="38"/>
        <v>0</v>
      </c>
      <c r="K98" s="357">
        <f t="shared" ca="1" si="39"/>
        <v>58600</v>
      </c>
    </row>
    <row r="99" spans="2:13">
      <c r="B99" s="505">
        <v>6</v>
      </c>
      <c r="C99" s="109" t="s">
        <v>1155</v>
      </c>
      <c r="D99" s="353" t="str">
        <f ca="1">IF(ISERROR(OFFSET('HARGA SATUAN'!$D$6,MATCH(RAB!C99,'HARGA SATUAN'!$C$7:$C$1492,0),0)),"",OFFSET('HARGA SATUAN'!$D$6,MATCH(RAB!C99,'HARGA SATUAN'!$C$7:$C$1492,0),0))</f>
        <v>HDW</v>
      </c>
      <c r="E99" s="354" t="str">
        <f ca="1">IF(B99="+","Unit",IF(ISERROR(OFFSET('HARGA SATUAN'!$E$6,MATCH(RAB!C99,'HARGA SATUAN'!$C$7:$C$1492,0),0)),"",OFFSET('HARGA SATUAN'!$E$6,MATCH(RAB!C99,'HARGA SATUAN'!$C$7:$C$1492,0),0)))</f>
        <v>Set</v>
      </c>
      <c r="F99" s="507">
        <f>F93*2</f>
        <v>2</v>
      </c>
      <c r="G99" s="355">
        <f ca="1">IF(ISERROR(OFFSET('HARGA SATUAN'!$I$6,MATCH(RAB!C99,'HARGA SATUAN'!$C$7:$C$1492,0),0)),0,OFFSET('HARGA SATUAN'!$I$6,MATCH(RAB!C99,'HARGA SATUAN'!$C$7:$C$1492,0),0))</f>
        <v>2900</v>
      </c>
      <c r="H99" s="356">
        <f t="shared" ca="1" si="36"/>
        <v>0</v>
      </c>
      <c r="I99" s="356">
        <f t="shared" ca="1" si="37"/>
        <v>5800</v>
      </c>
      <c r="J99" s="356">
        <f t="shared" ca="1" si="38"/>
        <v>0</v>
      </c>
      <c r="K99" s="357">
        <f t="shared" ca="1" si="39"/>
        <v>5800</v>
      </c>
    </row>
    <row r="100" spans="2:13">
      <c r="B100" s="505">
        <v>7</v>
      </c>
      <c r="C100" s="506" t="s">
        <v>119</v>
      </c>
      <c r="D100" s="353" t="str">
        <f ca="1">IF(ISERROR(OFFSET('HARGA SATUAN'!$D$6,MATCH(RAB!C100,'HARGA SATUAN'!$C$7:$C$1492,0),0)),"",OFFSET('HARGA SATUAN'!$D$6,MATCH(RAB!C100,'HARGA SATUAN'!$C$7:$C$1492,0),0))</f>
        <v>HDW</v>
      </c>
      <c r="E100" s="354" t="str">
        <f ca="1">IF(B100="+","Unit",IF(ISERROR(OFFSET('HARGA SATUAN'!$E$6,MATCH(RAB!C100,'HARGA SATUAN'!$C$7:$C$1492,0),0)),"",OFFSET('HARGA SATUAN'!$E$6,MATCH(RAB!C100,'HARGA SATUAN'!$C$7:$C$1492,0),0)))</f>
        <v>Set</v>
      </c>
      <c r="F100" s="507">
        <f>F93*4</f>
        <v>4</v>
      </c>
      <c r="G100" s="355">
        <f ca="1">IF(ISERROR(OFFSET('HARGA SATUAN'!$I$6,MATCH(RAB!C100,'HARGA SATUAN'!$C$7:$C$1492,0),0)),0,OFFSET('HARGA SATUAN'!$I$6,MATCH(RAB!C100,'HARGA SATUAN'!$C$7:$C$1492,0),0))</f>
        <v>8900</v>
      </c>
      <c r="H100" s="356">
        <f t="shared" ca="1" si="36"/>
        <v>0</v>
      </c>
      <c r="I100" s="356">
        <f t="shared" ca="1" si="37"/>
        <v>35600</v>
      </c>
      <c r="J100" s="356">
        <f t="shared" ca="1" si="38"/>
        <v>0</v>
      </c>
      <c r="K100" s="357">
        <f t="shared" ca="1" si="39"/>
        <v>35600</v>
      </c>
    </row>
    <row r="101" spans="2:13">
      <c r="B101" s="364"/>
      <c r="C101" s="491"/>
      <c r="D101" s="353"/>
      <c r="E101" s="354"/>
      <c r="F101" s="361"/>
      <c r="G101" s="355"/>
      <c r="H101" s="356"/>
      <c r="I101" s="356"/>
      <c r="J101" s="356"/>
      <c r="K101" s="357"/>
    </row>
    <row r="102" spans="2:13">
      <c r="B102" s="365"/>
      <c r="C102" s="366" t="s">
        <v>475</v>
      </c>
      <c r="D102" s="353" t="str">
        <f ca="1">IF(ISERROR(OFFSET('HARGA SATUAN'!$D$6,MATCH(RAB!C102,'HARGA SATUAN'!$C$7:$C$1492,0),0)),"",OFFSET('HARGA SATUAN'!$D$6,MATCH(RAB!C102,'HARGA SATUAN'!$C$7:$C$1492,0),0))</f>
        <v/>
      </c>
      <c r="E102" s="354" t="str">
        <f ca="1">IF(B102="+","Unit",IF(ISERROR(OFFSET('HARGA SATUAN'!$E$6,MATCH(RAB!C102,'HARGA SATUAN'!$C$7:$C$1492,0),0)),"",OFFSET('HARGA SATUAN'!$E$6,MATCH(RAB!C102,'HARGA SATUAN'!$C$7:$C$1492,0),0)))</f>
        <v/>
      </c>
      <c r="F102" s="361"/>
      <c r="G102" s="355">
        <f ca="1">IF(ISERROR(OFFSET('HARGA SATUAN'!$I$6,MATCH(RAB!C102,'HARGA SATUAN'!$C$7:$C$1492,0),0)),0,OFFSET('HARGA SATUAN'!$I$6,MATCH(RAB!C102,'HARGA SATUAN'!$C$7:$C$1492,0),0))</f>
        <v>0</v>
      </c>
      <c r="H102" s="356">
        <f t="shared" ref="H102" ca="1" si="40">IF(OR(D102="MDU",D102="MDU-KD"),(IF($O$3="RAB NON MDU","PLN KD",G102*F102)),0)</f>
        <v>0</v>
      </c>
      <c r="I102" s="356">
        <f t="shared" ref="I102" ca="1" si="41">IF(D102="HDW",G102*F102,0)</f>
        <v>0</v>
      </c>
      <c r="J102" s="356">
        <f t="shared" ref="J102" ca="1" si="42">IF(D102="JASA",G102*F102,0)</f>
        <v>0</v>
      </c>
      <c r="K102" s="357">
        <f t="shared" ref="K102" ca="1" si="43">SUM(H102:J102)</f>
        <v>0</v>
      </c>
    </row>
    <row r="103" spans="2:13">
      <c r="B103" s="368">
        <v>1</v>
      </c>
      <c r="C103" s="369" t="s">
        <v>1091</v>
      </c>
      <c r="D103" s="370" t="str">
        <f ca="1">IF(ISERROR(OFFSET('HARGA SATUAN'!$D$6,MATCH(RAB!C103,'HARGA SATUAN'!$C$7:$C$1492,0),0)),"",OFFSET('HARGA SATUAN'!$D$6,MATCH(RAB!C103,'HARGA SATUAN'!$C$7:$C$1492,0),0))</f>
        <v>JASA</v>
      </c>
      <c r="E103" s="371" t="str">
        <f ca="1">IF(ISERROR(OFFSET('HARGA SATUAN'!$E$6,MATCH(RAB!C103,'HARGA SATUAN'!$C$7:$C$1492,0),0)),"",OFFSET('HARGA SATUAN'!$E$6,MATCH(RAB!C103,'HARGA SATUAN'!$C$7:$C$1492,0),0))</f>
        <v>Lot</v>
      </c>
      <c r="F103" s="372">
        <v>1</v>
      </c>
      <c r="G103" s="373">
        <f ca="1">IF(ISERROR(OFFSET('HARGA SATUAN'!$I$6,MATCH(RAB!C103,'HARGA SATUAN'!$C$7:$C$1492,0),0)),0,OFFSET('HARGA SATUAN'!$I$6,MATCH(RAB!C103,'HARGA SATUAN'!$C$7:$C$1492,0),0))</f>
        <v>2.5000000000000001E-2</v>
      </c>
      <c r="H103" s="374"/>
      <c r="I103" s="374"/>
      <c r="J103" s="374">
        <f ca="1">SUM(K14:K102)*G103</f>
        <v>1882497.5060000003</v>
      </c>
      <c r="K103" s="375">
        <f ca="1">SUM(H103:J103)</f>
        <v>1882497.5060000003</v>
      </c>
    </row>
    <row r="104" spans="2:13">
      <c r="B104" s="376"/>
      <c r="C104" s="377"/>
      <c r="D104" s="353" t="str">
        <f ca="1">IF(ISERROR(OFFSET('HARGA SATUAN'!$D$6,MATCH(RAB!C104,'HARGA SATUAN'!$C$7:$C$1492,0),0)),"",OFFSET('HARGA SATUAN'!$D$6,MATCH(RAB!C104,'HARGA SATUAN'!$C$7:$C$1492,0),0))</f>
        <v/>
      </c>
      <c r="E104" s="354" t="str">
        <f ca="1">IF(ISERROR(OFFSET('HARGA SATUAN'!$E$6,MATCH(RAB!C104,'HARGA SATUAN'!$C$7:$C$1492,0),0)),"",OFFSET('HARGA SATUAN'!$E$6,MATCH(RAB!C104,'HARGA SATUAN'!$C$7:$C$1492,0),0))</f>
        <v/>
      </c>
      <c r="F104" s="367"/>
      <c r="G104" s="355" t="str">
        <f ca="1">IF(ISERROR(OFFSET('HARGA SATUAN'!$I$6,MATCH(RAB!C104,'HARGA SATUAN'!$C$7:$C$1492,0),0)),"",OFFSET('HARGA SATUAN'!$I$6,MATCH(RAB!C104,'HARGA SATUAN'!$C$7:$C$1492,0),0))</f>
        <v/>
      </c>
      <c r="H104" s="356">
        <f ca="1">IF(OR(D104="MDU",D104="MDU-KD"),IF(G104="PLN",0,G104*F104),0)</f>
        <v>0</v>
      </c>
      <c r="I104" s="356">
        <f ca="1">IF(D104="HDW",IF(G104="PLN",0,G104*F104),0)</f>
        <v>0</v>
      </c>
      <c r="J104" s="356">
        <f ca="1">IF(D104="JASA",IF(G104="PLN",0,G104*F104),0)</f>
        <v>0</v>
      </c>
      <c r="K104" s="357">
        <f ca="1">SUM(H104:J104)</f>
        <v>0</v>
      </c>
    </row>
    <row r="105" spans="2:13" ht="15.75" thickBot="1">
      <c r="B105" s="378"/>
      <c r="C105" s="379"/>
      <c r="D105" s="380"/>
      <c r="E105" s="381"/>
      <c r="F105" s="381"/>
      <c r="G105" s="381"/>
      <c r="H105" s="382"/>
      <c r="I105" s="382"/>
      <c r="J105" s="382"/>
      <c r="K105" s="383"/>
    </row>
    <row r="106" spans="2:13">
      <c r="B106" s="384"/>
      <c r="C106" s="624" t="s">
        <v>1008</v>
      </c>
      <c r="D106" s="624"/>
      <c r="E106" s="624"/>
      <c r="F106" s="624"/>
      <c r="G106" s="385" t="s">
        <v>9</v>
      </c>
      <c r="H106" s="386">
        <f ca="1">SUM(H14:H104)</f>
        <v>64478250</v>
      </c>
      <c r="I106" s="386">
        <f ca="1">SUM(I14:I104)</f>
        <v>8315050.2400000002</v>
      </c>
      <c r="J106" s="386">
        <f ca="1">SUM(J14:J104)</f>
        <v>4389097.5060000001</v>
      </c>
      <c r="K106" s="386">
        <f ca="1">SUM(K14:K104)</f>
        <v>77182397.746000007</v>
      </c>
    </row>
    <row r="107" spans="2:13">
      <c r="B107" s="388"/>
      <c r="C107" s="607" t="s">
        <v>1457</v>
      </c>
      <c r="D107" s="607"/>
      <c r="E107" s="607"/>
      <c r="F107" s="607"/>
      <c r="G107" s="389" t="s">
        <v>9</v>
      </c>
      <c r="H107" s="390">
        <f ca="1">H106*0.11</f>
        <v>7092607.5</v>
      </c>
      <c r="I107" s="390">
        <f ca="1">I106*0.11</f>
        <v>914655.52639999997</v>
      </c>
      <c r="J107" s="390">
        <f ca="1">J106*0.11</f>
        <v>482800.72566</v>
      </c>
      <c r="K107" s="390">
        <f ca="1">K106*0.11</f>
        <v>8490063.7520600017</v>
      </c>
    </row>
    <row r="108" spans="2:13" ht="15.75" thickBot="1">
      <c r="B108" s="388"/>
      <c r="C108" s="605" t="s">
        <v>463</v>
      </c>
      <c r="D108" s="605"/>
      <c r="E108" s="605"/>
      <c r="F108" s="605"/>
      <c r="G108" s="391" t="s">
        <v>9</v>
      </c>
      <c r="H108" s="392">
        <f ca="1">SUM(H106:H107)</f>
        <v>71570857.5</v>
      </c>
      <c r="I108" s="392">
        <f ca="1">SUM(I106:I107)</f>
        <v>9229705.7664000001</v>
      </c>
      <c r="J108" s="391">
        <f ca="1">SUM(J106:J107)</f>
        <v>4871898.23166</v>
      </c>
      <c r="K108" s="391">
        <f ca="1">SUM(K106:K107)</f>
        <v>85672461.498060003</v>
      </c>
      <c r="M108" s="470"/>
    </row>
    <row r="109" spans="2:13">
      <c r="B109" s="608" t="str">
        <f ca="1">"Terbilang : "&amp;PROPER(IF(K108=0,"nol",IF(K108&lt;0,"minus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IF(--MID(TEXT(ABS(K108),"000000000000000"),1,3)=0,"",MID(TEXT(ABS(K108),"000000000000000"),1,1)&amp;" ratus "&amp;MID(TEXT(ABS(K108),"000000000000000"),2,1)&amp;" puluh "&amp;MID(TEXT(ABS(K108),"000000000000000"),3,1)&amp;" trilyun ")&amp; IF(--MID(TEXT(ABS(K108),"000000000000000"),4,3)=0,"",MID(TEXT(ABS(K108),"000000000000000"),4,1)&amp;" ratus "&amp;MID(TEXT(ABS(K108),"000000000000000"),5,1)&amp;" puluh "&amp;MID(TEXT(ABS(K108),"000000000000000"),6,1)&amp;" milyar ")&amp; IF(--MID(TEXT(ABS(K108),"000000000000000"),7,3)=0,"",MID(TEXT(ABS(K108),"000000000000000"),7,1)&amp;" ratus "&amp;MID(TEXT(ABS(K108),"000000000000000"),8,1)&amp;" puluh "&amp;MID(TEXT(ABS(K108),"000000000000000"),9,1)&amp;" juta ")&amp; IF(--MID(TEXT(ABS(K108),"000000000000000"),10,3)=0,"",IF(--MID(TEXT(ABS(K108),"000000000000000"),10,3)=1,"*",MID(TEXT(ABS(K108),"000000000000000"),10,1)&amp;" ratus "&amp;MID(TEXT(ABS(K108),"000000000000000"),11,1)&amp;" puluh ")&amp;MID(TEXT(ABS(K108),"000000000000000"),12,1)&amp;" ribu ")&amp; IF(--MID(TEXT(ABS(K108),"000000000000000"),13,3)=0,"",MID(TEXT(ABS(K108),"000000000000000"),13,1)&amp;" ratus "&amp;MID(TEXT(ABS(K108),"000000000000000"),14,1)&amp;" puluh "&amp;MID(TEXT(ABS(K108),"000000000000000"),15,1)),1,"satu"),2,"dua"),3,"tiga"),4,"empat"),5,"lima"),6,"enam"),7,"tujuh"),8,"delapan"),9,"sembilan"),"0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Lima Juta Enam Ratus Tujuh Puluh Dua Ribu Empat Ratus Enam Puluh Satu Rupiah</v>
      </c>
      <c r="C109" s="609"/>
      <c r="D109" s="609"/>
      <c r="E109" s="609"/>
      <c r="F109" s="609"/>
      <c r="G109" s="609"/>
      <c r="H109" s="609"/>
      <c r="I109" s="609"/>
      <c r="J109" s="609"/>
      <c r="K109" s="610"/>
    </row>
    <row r="110" spans="2:13">
      <c r="B110" s="611"/>
      <c r="C110" s="612"/>
      <c r="D110" s="612"/>
      <c r="E110" s="612"/>
      <c r="F110" s="612"/>
      <c r="G110" s="612"/>
      <c r="H110" s="612"/>
      <c r="I110" s="612"/>
      <c r="J110" s="612"/>
      <c r="K110" s="613"/>
    </row>
    <row r="111" spans="2:13" ht="15.75" thickBot="1">
      <c r="B111" s="393" t="str">
        <f>"Harga yang dipakai adalah "&amp;'HARGA SATUAN'!I5&amp;""</f>
        <v>Harga yang dipakai adalah RAB HSS 2023</v>
      </c>
      <c r="C111" s="394"/>
      <c r="D111" s="395"/>
      <c r="E111" s="395"/>
      <c r="F111" s="395"/>
      <c r="G111" s="396"/>
      <c r="H111" s="396"/>
      <c r="I111" s="396"/>
      <c r="J111" s="396"/>
      <c r="K111" s="397"/>
    </row>
    <row r="112" spans="2:13">
      <c r="C112" s="398"/>
      <c r="E112" s="400"/>
      <c r="F112" s="400"/>
      <c r="G112" s="400"/>
    </row>
    <row r="113" spans="3:11">
      <c r="C113" s="334"/>
      <c r="E113" s="400"/>
      <c r="F113" s="400"/>
      <c r="G113" s="400"/>
      <c r="H113" s="614"/>
      <c r="I113" s="614"/>
      <c r="J113" s="615"/>
      <c r="K113" s="615"/>
    </row>
    <row r="114" spans="3:11">
      <c r="C114" s="334"/>
      <c r="E114" s="400"/>
      <c r="F114" s="400"/>
      <c r="G114" s="400"/>
      <c r="H114" s="401"/>
      <c r="I114" s="604" t="s">
        <v>1623</v>
      </c>
      <c r="J114" s="604"/>
      <c r="K114" s="604"/>
    </row>
    <row r="115" spans="3:11">
      <c r="C115" s="334"/>
      <c r="E115" s="400"/>
      <c r="F115" s="400"/>
      <c r="G115" s="400"/>
      <c r="H115" s="401"/>
      <c r="I115" s="604" t="s">
        <v>1624</v>
      </c>
      <c r="J115" s="604"/>
      <c r="K115" s="604"/>
    </row>
    <row r="116" spans="3:11">
      <c r="C116" s="334"/>
      <c r="E116" s="400"/>
      <c r="F116" s="400"/>
      <c r="G116" s="400"/>
      <c r="H116" s="402"/>
      <c r="I116" s="403"/>
      <c r="J116" s="403"/>
      <c r="K116" s="403"/>
    </row>
    <row r="117" spans="3:11">
      <c r="C117" s="334"/>
      <c r="E117" s="400"/>
      <c r="F117" s="400"/>
      <c r="G117" s="400"/>
      <c r="H117" s="402"/>
      <c r="I117" s="402"/>
      <c r="J117" s="402"/>
      <c r="K117" s="402"/>
    </row>
    <row r="118" spans="3:11">
      <c r="C118" s="334"/>
      <c r="E118" s="400"/>
      <c r="F118" s="400"/>
      <c r="G118" s="400"/>
      <c r="H118" s="402"/>
      <c r="I118" s="402"/>
      <c r="J118" s="402"/>
      <c r="K118" s="402"/>
    </row>
    <row r="119" spans="3:11">
      <c r="C119" s="334"/>
      <c r="E119" s="400"/>
      <c r="F119" s="400"/>
      <c r="G119" s="400"/>
      <c r="H119" s="402"/>
      <c r="I119" s="402"/>
      <c r="J119" s="402"/>
      <c r="K119" s="402"/>
    </row>
    <row r="120" spans="3:11">
      <c r="C120" s="334"/>
      <c r="E120" s="400"/>
      <c r="F120" s="400"/>
      <c r="G120" s="400"/>
      <c r="H120" s="404"/>
      <c r="I120" s="604" t="s">
        <v>1625</v>
      </c>
      <c r="J120" s="604"/>
      <c r="K120" s="604"/>
    </row>
    <row r="121" spans="3:11">
      <c r="C121" s="398"/>
      <c r="E121" s="400"/>
      <c r="F121" s="400"/>
      <c r="G121" s="400"/>
      <c r="H121" s="402"/>
      <c r="I121" s="402"/>
      <c r="J121" s="402"/>
      <c r="K121" s="402"/>
    </row>
    <row r="122" spans="3:11">
      <c r="C122" s="398"/>
      <c r="E122" s="400"/>
      <c r="F122" s="400"/>
      <c r="G122" s="400"/>
      <c r="H122" s="402"/>
      <c r="I122" s="402"/>
      <c r="J122" s="402"/>
      <c r="K122" s="402"/>
    </row>
    <row r="123" spans="3:11">
      <c r="C123" s="398"/>
      <c r="E123" s="400"/>
      <c r="F123" s="400"/>
      <c r="G123" s="400"/>
      <c r="H123" s="402"/>
      <c r="I123" s="402"/>
      <c r="J123" s="402"/>
      <c r="K123" s="402"/>
    </row>
  </sheetData>
  <sheetProtection sort="0" autoFilter="0"/>
  <protectedRanges>
    <protectedRange sqref="B91:B101" name="Range1_1"/>
    <protectedRange sqref="F14:F40 F51:F57 F84:F102" name="Range1_1_2_2"/>
    <protectedRange sqref="C17:C18 C52:C53" name="Range1_1_3"/>
    <protectedRange sqref="C19:C20 C25:C27 C29:C51 C22:C23 C54" name="Range1_1_3_2"/>
    <protectedRange sqref="C91" name="Range1_1_3_5"/>
    <protectedRange sqref="C88" name="Range1_1_3_11"/>
    <protectedRange sqref="C82" name="Range1_1_3_1"/>
    <protectedRange sqref="C83" name="Range1_1_3_3"/>
    <protectedRange sqref="C24" name="Range1_1_3_7"/>
    <protectedRange sqref="C28" name="Range1_1_3_8"/>
    <protectedRange sqref="C89" name="Range1_1_3_4"/>
    <protectedRange sqref="C21" name="Range1_1_3_9"/>
  </protectedRanges>
  <mergeCells count="22">
    <mergeCell ref="O3:P4"/>
    <mergeCell ref="B4:K4"/>
    <mergeCell ref="C106:F106"/>
    <mergeCell ref="B11:B13"/>
    <mergeCell ref="C11:C13"/>
    <mergeCell ref="D11:D13"/>
    <mergeCell ref="E11:E13"/>
    <mergeCell ref="F11:F13"/>
    <mergeCell ref="G11:G13"/>
    <mergeCell ref="I12:I13"/>
    <mergeCell ref="I115:K115"/>
    <mergeCell ref="I120:K120"/>
    <mergeCell ref="C108:F108"/>
    <mergeCell ref="G6:K6"/>
    <mergeCell ref="I114:K114"/>
    <mergeCell ref="C107:F107"/>
    <mergeCell ref="B109:K110"/>
    <mergeCell ref="H113:K113"/>
    <mergeCell ref="H11:K11"/>
    <mergeCell ref="H12:H13"/>
    <mergeCell ref="J12:J13"/>
    <mergeCell ref="K12:K13"/>
  </mergeCells>
  <phoneticPr fontId="138" type="noConversion"/>
  <conditionalFormatting sqref="E105:F105 E104:H104 O13 E1:E3 H12:I12 E111:E65570 G104:G108 G1:G13 E5:E13 G111:G65570 H103:K105 E103:G103 E14:K19 E41:E50 G41:K50 E40:K40 E20:E39 G20:K39 E51:K53 S14:V83 E54:E80 G54:K80 E81:K86 E87:E91 G87:K91 E92:K92 E93:E100 G93:K100 E101:K102">
    <cfRule type="cellIs" dxfId="21" priority="1089" stopIfTrue="1" operator="equal">
      <formula>0</formula>
    </cfRule>
  </conditionalFormatting>
  <conditionalFormatting sqref="C15 C92 C101">
    <cfRule type="cellIs" dxfId="20" priority="509" operator="equal">
      <formula>0</formula>
    </cfRule>
  </conditionalFormatting>
  <conditionalFormatting sqref="E109:E110 G109:G110">
    <cfRule type="cellIs" dxfId="19" priority="223" stopIfTrue="1" operator="equal">
      <formula>0</formula>
    </cfRule>
  </conditionalFormatting>
  <conditionalFormatting sqref="C17:C18">
    <cfRule type="cellIs" dxfId="18" priority="124" operator="equal">
      <formula>0</formula>
    </cfRule>
  </conditionalFormatting>
  <conditionalFormatting sqref="C19:C20 C25:C27 C29:C51 C22:C23">
    <cfRule type="cellIs" dxfId="17" priority="122" operator="equal">
      <formula>0</formula>
    </cfRule>
  </conditionalFormatting>
  <conditionalFormatting sqref="F74">
    <cfRule type="cellIs" dxfId="16" priority="34" stopIfTrue="1" operator="equal">
      <formula>0</formula>
    </cfRule>
  </conditionalFormatting>
  <conditionalFormatting sqref="C82">
    <cfRule type="cellIs" dxfId="15" priority="23" operator="equal">
      <formula>0</formula>
    </cfRule>
  </conditionalFormatting>
  <conditionalFormatting sqref="C83">
    <cfRule type="cellIs" dxfId="14" priority="22" operator="equal">
      <formula>0</formula>
    </cfRule>
  </conditionalFormatting>
  <conditionalFormatting sqref="C28">
    <cfRule type="cellIs" dxfId="13" priority="15" operator="equal">
      <formula>0</formula>
    </cfRule>
  </conditionalFormatting>
  <conditionalFormatting sqref="C24">
    <cfRule type="cellIs" dxfId="12" priority="16" operator="equal">
      <formula>0</formula>
    </cfRule>
  </conditionalFormatting>
  <conditionalFormatting sqref="F41:F50">
    <cfRule type="cellIs" dxfId="11" priority="14" stopIfTrue="1" operator="equal">
      <formula>0</formula>
    </cfRule>
  </conditionalFormatting>
  <conditionalFormatting sqref="F54:F73">
    <cfRule type="cellIs" dxfId="10" priority="8" stopIfTrue="1" operator="equal">
      <formula>0</formula>
    </cfRule>
  </conditionalFormatting>
  <conditionalFormatting sqref="F20:F39">
    <cfRule type="cellIs" dxfId="9" priority="12" stopIfTrue="1" operator="equal">
      <formula>0</formula>
    </cfRule>
  </conditionalFormatting>
  <conditionalFormatting sqref="C52:C53">
    <cfRule type="cellIs" dxfId="8" priority="9" operator="equal">
      <formula>0</formula>
    </cfRule>
  </conditionalFormatting>
  <conditionalFormatting sqref="F75:F80">
    <cfRule type="cellIs" dxfId="6" priority="7" stopIfTrue="1" operator="equal">
      <formula>0</formula>
    </cfRule>
  </conditionalFormatting>
  <conditionalFormatting sqref="C88">
    <cfRule type="cellIs" dxfId="5" priority="6" operator="equal">
      <formula>0</formula>
    </cfRule>
  </conditionalFormatting>
  <conditionalFormatting sqref="F87:F91">
    <cfRule type="cellIs" dxfId="4" priority="5" stopIfTrue="1" operator="equal">
      <formula>0</formula>
    </cfRule>
  </conditionalFormatting>
  <conditionalFormatting sqref="C99">
    <cfRule type="cellIs" dxfId="3" priority="4" operator="equal">
      <formula>0</formula>
    </cfRule>
  </conditionalFormatting>
  <conditionalFormatting sqref="F93:F100">
    <cfRule type="cellIs" dxfId="2" priority="3" stopIfTrue="1" operator="equal">
      <formula>0</formula>
    </cfRule>
  </conditionalFormatting>
  <conditionalFormatting sqref="C89">
    <cfRule type="cellIs" dxfId="1" priority="2" operator="equal">
      <formula>0</formula>
    </cfRule>
  </conditionalFormatting>
  <conditionalFormatting sqref="C21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20:F39 F41:F50 F54:F86 H14:K10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4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32" zoomScale="115" zoomScaleNormal="115" zoomScaleSheetLayoutView="115" workbookViewId="0">
      <selection activeCell="P47" sqref="P47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85" t="s">
        <v>1439</v>
      </c>
      <c r="X2" s="686"/>
      <c r="Y2" s="686"/>
      <c r="Z2" s="686"/>
      <c r="AA2" s="686"/>
      <c r="AB2" s="686"/>
      <c r="AC2" s="686"/>
      <c r="AD2" s="687"/>
    </row>
    <row r="3" spans="3:30">
      <c r="C3" s="238"/>
      <c r="W3" s="688"/>
      <c r="X3" s="689"/>
      <c r="Y3" s="689"/>
      <c r="Z3" s="689"/>
      <c r="AA3" s="689"/>
      <c r="AB3" s="689"/>
      <c r="AC3" s="689"/>
      <c r="AD3" s="690"/>
    </row>
    <row r="4" spans="3:30">
      <c r="C4" s="238"/>
      <c r="W4" s="239" t="s">
        <v>987</v>
      </c>
      <c r="AD4" s="240"/>
    </row>
    <row r="5" spans="3:30">
      <c r="C5" s="238"/>
      <c r="E5" s="495" t="s">
        <v>1612</v>
      </c>
      <c r="W5" s="241" t="s">
        <v>991</v>
      </c>
      <c r="X5" s="636" t="s">
        <v>990</v>
      </c>
      <c r="Y5" s="636"/>
      <c r="Z5" s="636"/>
      <c r="AA5" s="636" t="s">
        <v>988</v>
      </c>
      <c r="AB5" s="636"/>
      <c r="AC5" s="636" t="s">
        <v>989</v>
      </c>
      <c r="AD5" s="637"/>
    </row>
    <row r="6" spans="3:30">
      <c r="C6" s="238"/>
      <c r="W6" s="241">
        <v>1</v>
      </c>
      <c r="X6" s="636" t="s">
        <v>993</v>
      </c>
      <c r="Y6" s="636"/>
      <c r="Z6" s="636"/>
      <c r="AA6" s="636"/>
      <c r="AB6" s="636"/>
      <c r="AC6" s="636"/>
      <c r="AD6" s="637"/>
    </row>
    <row r="7" spans="3:30">
      <c r="C7" s="238"/>
      <c r="E7" s="494"/>
      <c r="W7" s="241">
        <v>2</v>
      </c>
      <c r="X7" s="636" t="s">
        <v>994</v>
      </c>
      <c r="Y7" s="636"/>
      <c r="Z7" s="636"/>
      <c r="AA7" s="636"/>
      <c r="AB7" s="636"/>
      <c r="AC7" s="636"/>
      <c r="AD7" s="637"/>
    </row>
    <row r="8" spans="3:30">
      <c r="C8" s="238"/>
      <c r="W8" s="241">
        <v>3</v>
      </c>
      <c r="X8" s="636" t="s">
        <v>995</v>
      </c>
      <c r="Y8" s="636"/>
      <c r="Z8" s="636"/>
      <c r="AA8" s="636"/>
      <c r="AB8" s="636"/>
      <c r="AC8" s="636"/>
      <c r="AD8" s="637"/>
    </row>
    <row r="9" spans="3:30">
      <c r="C9" s="238"/>
      <c r="W9" s="241">
        <v>4</v>
      </c>
      <c r="X9" s="636" t="s">
        <v>996</v>
      </c>
      <c r="Y9" s="636"/>
      <c r="Z9" s="636"/>
      <c r="AA9" s="636"/>
      <c r="AB9" s="636"/>
      <c r="AC9" s="636"/>
      <c r="AD9" s="637"/>
    </row>
    <row r="10" spans="3:30">
      <c r="C10" s="238"/>
      <c r="W10" s="241">
        <v>5</v>
      </c>
      <c r="X10" s="636" t="s">
        <v>997</v>
      </c>
      <c r="Y10" s="636"/>
      <c r="Z10" s="636"/>
      <c r="AA10" s="636"/>
      <c r="AB10" s="636"/>
      <c r="AC10" s="636"/>
      <c r="AD10" s="637"/>
    </row>
    <row r="11" spans="3:30">
      <c r="C11" s="238"/>
      <c r="W11" s="241">
        <v>6</v>
      </c>
      <c r="X11" s="636" t="s">
        <v>998</v>
      </c>
      <c r="Y11" s="636"/>
      <c r="Z11" s="636"/>
      <c r="AA11" s="636"/>
      <c r="AB11" s="636"/>
      <c r="AC11" s="636"/>
      <c r="AD11" s="637"/>
    </row>
    <row r="12" spans="3:30">
      <c r="C12" s="238"/>
      <c r="W12" s="241">
        <v>7</v>
      </c>
      <c r="X12" s="636" t="s">
        <v>999</v>
      </c>
      <c r="Y12" s="636"/>
      <c r="Z12" s="636"/>
      <c r="AA12" s="636"/>
      <c r="AB12" s="636"/>
      <c r="AC12" s="636"/>
      <c r="AD12" s="637"/>
    </row>
    <row r="13" spans="3:30" ht="12.75" customHeight="1">
      <c r="C13" s="238"/>
      <c r="W13" s="241">
        <v>8</v>
      </c>
      <c r="X13" s="636" t="s">
        <v>1000</v>
      </c>
      <c r="Y13" s="636"/>
      <c r="Z13" s="636"/>
      <c r="AA13" s="636"/>
      <c r="AB13" s="636"/>
      <c r="AC13" s="636"/>
      <c r="AD13" s="637"/>
    </row>
    <row r="14" spans="3:30">
      <c r="C14" s="238"/>
      <c r="W14" s="241">
        <v>9</v>
      </c>
      <c r="X14" s="636" t="s">
        <v>1001</v>
      </c>
      <c r="Y14" s="636"/>
      <c r="Z14" s="636"/>
      <c r="AA14" s="636"/>
      <c r="AB14" s="636"/>
      <c r="AC14" s="636"/>
      <c r="AD14" s="637"/>
    </row>
    <row r="15" spans="3:30">
      <c r="C15" s="238"/>
      <c r="W15" s="241">
        <v>10</v>
      </c>
      <c r="X15" s="636" t="s">
        <v>1010</v>
      </c>
      <c r="Y15" s="636"/>
      <c r="Z15" s="636"/>
      <c r="AA15" s="636"/>
      <c r="AB15" s="636"/>
      <c r="AC15" s="636"/>
      <c r="AD15" s="637"/>
    </row>
    <row r="16" spans="3:30">
      <c r="C16" s="238"/>
      <c r="W16" s="241">
        <v>11</v>
      </c>
      <c r="X16" s="636" t="s">
        <v>1455</v>
      </c>
      <c r="Y16" s="636"/>
      <c r="Z16" s="636"/>
      <c r="AA16" s="636"/>
      <c r="AB16" s="636"/>
      <c r="AC16" s="636"/>
      <c r="AD16" s="637"/>
    </row>
    <row r="17" spans="3:30">
      <c r="C17" s="238"/>
      <c r="S17" s="242"/>
      <c r="W17" s="241">
        <v>12</v>
      </c>
      <c r="X17" s="636" t="s">
        <v>1011</v>
      </c>
      <c r="Y17" s="636"/>
      <c r="Z17" s="636"/>
      <c r="AA17" s="636"/>
      <c r="AB17" s="636"/>
      <c r="AC17" s="636"/>
      <c r="AD17" s="637"/>
    </row>
    <row r="18" spans="3:30">
      <c r="C18" s="243"/>
      <c r="D18" s="244"/>
      <c r="E18" s="244"/>
      <c r="W18" s="241">
        <v>13</v>
      </c>
      <c r="X18" s="636"/>
      <c r="Y18" s="636"/>
      <c r="Z18" s="636"/>
      <c r="AA18" s="636"/>
      <c r="AB18" s="636"/>
      <c r="AC18" s="636"/>
      <c r="AD18" s="637"/>
    </row>
    <row r="19" spans="3:30">
      <c r="C19" s="238"/>
      <c r="W19" s="245"/>
      <c r="X19" s="683"/>
      <c r="Y19" s="683"/>
      <c r="Z19" s="683"/>
      <c r="AA19" s="683"/>
      <c r="AB19" s="683"/>
      <c r="AC19" s="683"/>
      <c r="AD19" s="684"/>
    </row>
    <row r="20" spans="3:30">
      <c r="C20" s="238"/>
      <c r="W20" s="672" t="s">
        <v>992</v>
      </c>
      <c r="X20" s="673"/>
      <c r="Y20" s="673"/>
      <c r="Z20" s="673"/>
      <c r="AA20" s="673"/>
      <c r="AB20" s="673"/>
      <c r="AC20" s="673"/>
      <c r="AD20" s="674"/>
    </row>
    <row r="21" spans="3:30">
      <c r="C21" s="238"/>
      <c r="W21" s="675" t="s">
        <v>985</v>
      </c>
      <c r="X21" s="676"/>
      <c r="Y21" s="676"/>
      <c r="Z21" s="677"/>
      <c r="AA21" s="678" t="s">
        <v>986</v>
      </c>
      <c r="AB21" s="679"/>
      <c r="AC21" s="679"/>
      <c r="AD21" s="680"/>
    </row>
    <row r="22" spans="3:30">
      <c r="C22" s="238"/>
      <c r="W22" s="670"/>
      <c r="X22" s="671"/>
      <c r="Y22" s="480"/>
      <c r="Z22" s="481"/>
      <c r="AA22" s="681"/>
      <c r="AB22" s="682"/>
      <c r="AC22" s="248"/>
      <c r="AD22" s="249"/>
    </row>
    <row r="23" spans="3:30">
      <c r="C23" s="238"/>
      <c r="W23" s="670"/>
      <c r="X23" s="671"/>
      <c r="Y23" s="480"/>
      <c r="Z23" s="481"/>
      <c r="AA23" s="668"/>
      <c r="AB23" s="669"/>
      <c r="AC23" s="248"/>
      <c r="AD23" s="249"/>
    </row>
    <row r="24" spans="3:30">
      <c r="C24" s="238"/>
      <c r="W24" s="656"/>
      <c r="X24" s="657"/>
      <c r="Y24" s="480"/>
      <c r="Z24" s="481"/>
      <c r="AA24" s="666"/>
      <c r="AB24" s="667"/>
      <c r="AC24" s="248"/>
      <c r="AD24" s="249"/>
    </row>
    <row r="25" spans="3:30">
      <c r="C25" s="238"/>
      <c r="W25" s="478"/>
      <c r="X25" s="479"/>
      <c r="Y25" s="480"/>
      <c r="Z25" s="481"/>
      <c r="AA25" s="668"/>
      <c r="AB25" s="669"/>
      <c r="AC25" s="248"/>
      <c r="AD25" s="249"/>
    </row>
    <row r="26" spans="3:30">
      <c r="C26" s="238"/>
      <c r="W26" s="656"/>
      <c r="X26" s="657"/>
      <c r="Y26" s="480"/>
      <c r="Z26" s="481"/>
      <c r="AA26" s="668"/>
      <c r="AB26" s="669"/>
      <c r="AC26" s="248"/>
      <c r="AD26" s="249"/>
    </row>
    <row r="27" spans="3:30">
      <c r="C27" s="238"/>
      <c r="W27" s="656"/>
      <c r="X27" s="657"/>
      <c r="Y27" s="480"/>
      <c r="Z27" s="481"/>
      <c r="AA27" s="664"/>
      <c r="AB27" s="665"/>
      <c r="AC27" s="248"/>
      <c r="AD27" s="249"/>
    </row>
    <row r="28" spans="3:30">
      <c r="C28" s="238"/>
      <c r="W28" s="656"/>
      <c r="X28" s="657"/>
      <c r="Y28" s="480"/>
      <c r="Z28" s="481"/>
      <c r="AA28" s="664"/>
      <c r="AB28" s="665"/>
      <c r="AC28" s="248"/>
      <c r="AD28" s="249"/>
    </row>
    <row r="29" spans="3:30">
      <c r="C29" s="238"/>
      <c r="W29" s="656"/>
      <c r="X29" s="657"/>
      <c r="Y29" s="480"/>
      <c r="Z29" s="481"/>
      <c r="AA29" s="664"/>
      <c r="AB29" s="665"/>
      <c r="AC29" s="248"/>
      <c r="AD29" s="249"/>
    </row>
    <row r="30" spans="3:30" ht="11.25" customHeight="1">
      <c r="C30" s="238"/>
      <c r="W30" s="478"/>
      <c r="X30" s="479"/>
      <c r="Y30" s="480"/>
      <c r="Z30" s="481"/>
      <c r="AA30" s="664"/>
      <c r="AB30" s="665"/>
      <c r="AC30" s="248"/>
      <c r="AD30" s="249"/>
    </row>
    <row r="31" spans="3:30">
      <c r="C31" s="238"/>
      <c r="U31" s="250"/>
      <c r="W31" s="656"/>
      <c r="X31" s="657"/>
      <c r="Y31" s="480"/>
      <c r="Z31" s="481"/>
      <c r="AA31" s="664"/>
      <c r="AB31" s="665"/>
      <c r="AC31" s="248"/>
      <c r="AD31" s="249"/>
    </row>
    <row r="32" spans="3:30">
      <c r="C32" s="238"/>
      <c r="U32" s="250"/>
      <c r="W32" s="670"/>
      <c r="X32" s="671"/>
      <c r="Y32" s="246"/>
      <c r="Z32" s="481"/>
      <c r="AA32" s="664"/>
      <c r="AB32" s="665"/>
      <c r="AC32" s="248"/>
      <c r="AD32" s="249"/>
    </row>
    <row r="33" spans="3:30">
      <c r="C33" s="238"/>
      <c r="W33" s="656"/>
      <c r="X33" s="657"/>
      <c r="Y33" s="480"/>
      <c r="Z33" s="481"/>
      <c r="AA33" s="658"/>
      <c r="AB33" s="658"/>
      <c r="AC33" s="248"/>
      <c r="AD33" s="249"/>
    </row>
    <row r="34" spans="3:30">
      <c r="C34" s="238"/>
      <c r="W34" s="478"/>
      <c r="X34" s="479"/>
      <c r="Y34" s="246"/>
      <c r="Z34" s="481"/>
      <c r="AA34" s="658"/>
      <c r="AB34" s="658"/>
      <c r="AC34" s="248"/>
      <c r="AD34" s="249"/>
    </row>
    <row r="35" spans="3:30">
      <c r="C35" s="238"/>
      <c r="W35" s="656"/>
      <c r="X35" s="657"/>
      <c r="Y35" s="246"/>
      <c r="Z35" s="247"/>
      <c r="AA35" s="658"/>
      <c r="AB35" s="658"/>
      <c r="AC35" s="248"/>
      <c r="AD35" s="249"/>
    </row>
    <row r="36" spans="3:30">
      <c r="C36" s="238"/>
      <c r="W36" s="656"/>
      <c r="X36" s="657"/>
      <c r="Y36" s="480"/>
      <c r="Z36" s="481"/>
      <c r="AA36" s="658"/>
      <c r="AB36" s="658"/>
      <c r="AC36" s="248"/>
      <c r="AD36" s="249"/>
    </row>
    <row r="37" spans="3:30" ht="12.75" customHeight="1">
      <c r="C37" s="238"/>
      <c r="W37" s="659"/>
      <c r="X37" s="660"/>
      <c r="Y37" s="246"/>
      <c r="Z37" s="481"/>
      <c r="AA37" s="661"/>
      <c r="AB37" s="661"/>
      <c r="AC37" s="251"/>
      <c r="AD37" s="252"/>
    </row>
    <row r="38" spans="3:30" ht="12.75" customHeight="1">
      <c r="C38" s="238"/>
      <c r="W38" s="659"/>
      <c r="X38" s="660"/>
      <c r="Y38" s="253"/>
      <c r="Z38" s="247"/>
      <c r="AA38" s="662"/>
      <c r="AB38" s="663"/>
      <c r="AC38" s="251"/>
      <c r="AD38" s="252"/>
    </row>
    <row r="39" spans="3:30" ht="12" customHeight="1">
      <c r="C39" s="238"/>
      <c r="W39" s="659"/>
      <c r="X39" s="660"/>
      <c r="Y39" s="253"/>
      <c r="Z39" s="254"/>
      <c r="AA39" s="652"/>
      <c r="AB39" s="653"/>
      <c r="AC39" s="251"/>
      <c r="AD39" s="252"/>
    </row>
    <row r="40" spans="3:30" ht="12" customHeight="1">
      <c r="C40" s="238"/>
      <c r="W40" s="648"/>
      <c r="X40" s="649"/>
      <c r="Y40" s="253"/>
      <c r="Z40" s="254"/>
      <c r="AA40" s="255"/>
      <c r="AB40" s="256"/>
      <c r="AC40" s="251"/>
      <c r="AD40" s="252"/>
    </row>
    <row r="41" spans="3:30" ht="12" customHeight="1">
      <c r="C41" s="238"/>
      <c r="W41" s="650"/>
      <c r="X41" s="651"/>
      <c r="Y41" s="257"/>
      <c r="Z41" s="258"/>
      <c r="AA41" s="652"/>
      <c r="AB41" s="653"/>
      <c r="AC41" s="251"/>
      <c r="AD41" s="252"/>
    </row>
    <row r="42" spans="3:30" ht="12" customHeight="1">
      <c r="C42" s="238"/>
      <c r="W42" s="654" t="s">
        <v>1456</v>
      </c>
      <c r="X42" s="655"/>
      <c r="Y42" s="655"/>
      <c r="Z42" s="655"/>
      <c r="AA42" s="259"/>
      <c r="AB42" s="259"/>
      <c r="AC42" s="259"/>
      <c r="AD42" s="260"/>
    </row>
    <row r="43" spans="3:30" ht="12" customHeight="1">
      <c r="C43" s="238"/>
      <c r="V43" s="261"/>
      <c r="W43" s="262"/>
      <c r="X43" s="263"/>
      <c r="Y43" s="263"/>
      <c r="Z43" s="263"/>
      <c r="AA43" s="263"/>
      <c r="AB43" s="263"/>
      <c r="AC43" s="263"/>
      <c r="AD43" s="264"/>
    </row>
    <row r="44" spans="3:30">
      <c r="C44" s="265"/>
      <c r="D44" s="266"/>
      <c r="E44" s="266"/>
      <c r="F44" s="266"/>
      <c r="G44" s="266"/>
      <c r="H44" s="266"/>
      <c r="I44" s="266"/>
      <c r="J44" s="266"/>
      <c r="K44" s="266"/>
      <c r="L44" s="266"/>
      <c r="M44" s="266"/>
      <c r="N44" s="266"/>
      <c r="O44" s="266"/>
      <c r="P44" s="266"/>
      <c r="Q44" s="266"/>
      <c r="R44" s="266"/>
      <c r="S44" s="266"/>
      <c r="T44" s="266"/>
      <c r="U44" s="266"/>
      <c r="V44" s="261"/>
      <c r="W44" s="633" t="s">
        <v>11</v>
      </c>
      <c r="X44" s="634"/>
      <c r="Y44" s="636"/>
      <c r="Z44" s="636"/>
      <c r="AA44" s="636"/>
      <c r="AB44" s="636"/>
      <c r="AC44" s="636"/>
      <c r="AD44" s="637"/>
    </row>
    <row r="45" spans="3:30">
      <c r="C45" s="265"/>
      <c r="D45" s="266"/>
      <c r="E45" s="266"/>
      <c r="F45" s="266"/>
      <c r="G45" s="266"/>
      <c r="H45" s="266"/>
      <c r="I45" s="266"/>
      <c r="J45" s="266"/>
      <c r="K45" s="266"/>
      <c r="L45" s="266"/>
      <c r="M45" s="266"/>
      <c r="N45" s="266"/>
      <c r="O45" s="266"/>
      <c r="P45" s="266"/>
      <c r="Q45" s="266"/>
      <c r="R45" s="266"/>
      <c r="S45" s="266"/>
      <c r="T45" s="266"/>
      <c r="U45" s="266"/>
      <c r="V45" s="261"/>
      <c r="W45" s="633" t="s">
        <v>984</v>
      </c>
      <c r="X45" s="634"/>
      <c r="Y45" s="636">
        <v>1</v>
      </c>
      <c r="Z45" s="636"/>
      <c r="AA45" s="636"/>
      <c r="AB45" s="636" t="s">
        <v>12</v>
      </c>
      <c r="AC45" s="636"/>
      <c r="AD45" s="267" t="s">
        <v>13</v>
      </c>
    </row>
    <row r="46" spans="3:30">
      <c r="C46" s="265"/>
      <c r="D46" s="266"/>
      <c r="E46" s="266"/>
      <c r="F46" s="266"/>
      <c r="G46" s="266"/>
      <c r="H46" s="266"/>
      <c r="I46" s="266"/>
      <c r="J46" s="266"/>
      <c r="K46" s="266"/>
      <c r="L46" s="266"/>
      <c r="M46" s="266"/>
      <c r="N46" s="266"/>
      <c r="O46" s="266"/>
      <c r="P46" s="266"/>
      <c r="Q46" s="266"/>
      <c r="R46" s="266"/>
      <c r="S46" s="266"/>
      <c r="T46" s="266"/>
      <c r="U46" s="266"/>
      <c r="V46" s="261"/>
      <c r="W46" s="633" t="s">
        <v>15</v>
      </c>
      <c r="X46" s="634"/>
      <c r="Y46" s="647"/>
      <c r="Z46" s="647"/>
      <c r="AA46" s="647"/>
      <c r="AB46" s="636" t="s">
        <v>16</v>
      </c>
      <c r="AC46" s="636"/>
      <c r="AD46" s="268"/>
    </row>
    <row r="47" spans="3:30">
      <c r="C47" s="265"/>
      <c r="D47" s="266"/>
      <c r="E47" s="266"/>
      <c r="F47" s="266"/>
      <c r="G47" s="266"/>
      <c r="H47" s="266"/>
      <c r="I47" s="266"/>
      <c r="J47" s="266"/>
      <c r="K47" s="266"/>
      <c r="L47" s="266"/>
      <c r="M47" s="266"/>
      <c r="N47" s="266"/>
      <c r="O47" s="266"/>
      <c r="P47" s="266"/>
      <c r="Q47" s="266"/>
      <c r="R47" s="266"/>
      <c r="S47" s="266"/>
      <c r="T47" s="266"/>
      <c r="U47" s="266"/>
      <c r="V47" s="261"/>
      <c r="W47" s="641" t="s">
        <v>17</v>
      </c>
      <c r="X47" s="641"/>
      <c r="Y47" s="641"/>
      <c r="Z47" s="641"/>
      <c r="AA47" s="641"/>
      <c r="AB47" s="641"/>
      <c r="AC47" s="641"/>
      <c r="AD47" s="642"/>
    </row>
    <row r="48" spans="3:30" ht="12.75" customHeight="1">
      <c r="C48" s="265"/>
      <c r="D48" s="266"/>
      <c r="E48" s="266"/>
      <c r="F48" s="266"/>
      <c r="G48" s="266"/>
      <c r="H48" s="266"/>
      <c r="I48" s="266"/>
      <c r="J48" s="266"/>
      <c r="K48" s="266"/>
      <c r="L48" s="266"/>
      <c r="M48" s="266"/>
      <c r="N48" s="266"/>
      <c r="O48" s="266"/>
      <c r="P48" s="266"/>
      <c r="Q48" s="266"/>
      <c r="R48" s="266"/>
      <c r="S48" s="266"/>
      <c r="T48" s="266"/>
      <c r="U48" s="266"/>
      <c r="V48" s="261"/>
      <c r="W48" s="643" t="str">
        <f>RAB!G6</f>
        <v>PB MUHLISIN</v>
      </c>
      <c r="X48" s="643"/>
      <c r="Y48" s="643"/>
      <c r="Z48" s="643"/>
      <c r="AA48" s="643"/>
      <c r="AB48" s="643"/>
      <c r="AC48" s="643"/>
      <c r="AD48" s="644"/>
    </row>
    <row r="49" spans="3:30">
      <c r="C49" s="265"/>
      <c r="D49" s="266"/>
      <c r="E49" s="266"/>
      <c r="F49" s="266"/>
      <c r="G49" s="266"/>
      <c r="H49" s="266"/>
      <c r="I49" s="266"/>
      <c r="J49" s="266"/>
      <c r="K49" s="266"/>
      <c r="L49" s="266"/>
      <c r="M49" s="266"/>
      <c r="N49" s="266"/>
      <c r="O49" s="266"/>
      <c r="P49" s="266"/>
      <c r="Q49" s="266"/>
      <c r="R49" s="266"/>
      <c r="S49" s="266"/>
      <c r="T49" s="266"/>
      <c r="U49" s="266"/>
      <c r="V49" s="269"/>
      <c r="W49" s="643"/>
      <c r="X49" s="643"/>
      <c r="Y49" s="643"/>
      <c r="Z49" s="643"/>
      <c r="AA49" s="643"/>
      <c r="AB49" s="643"/>
      <c r="AC49" s="643"/>
      <c r="AD49" s="644"/>
    </row>
    <row r="50" spans="3:30">
      <c r="C50" s="265"/>
      <c r="D50" s="266"/>
      <c r="E50" s="266"/>
      <c r="F50" s="266"/>
      <c r="G50" s="266"/>
      <c r="H50" s="266"/>
      <c r="I50" s="266"/>
      <c r="J50" s="266"/>
      <c r="K50" s="266"/>
      <c r="L50" s="266"/>
      <c r="M50" s="266"/>
      <c r="N50" s="266"/>
      <c r="O50" s="266"/>
      <c r="P50" s="266"/>
      <c r="Q50" s="266"/>
      <c r="R50" s="266"/>
      <c r="S50" s="266"/>
      <c r="T50" s="266"/>
      <c r="U50" s="266"/>
      <c r="V50" s="269"/>
      <c r="W50" s="643"/>
      <c r="X50" s="643"/>
      <c r="Y50" s="643"/>
      <c r="Z50" s="643"/>
      <c r="AA50" s="643"/>
      <c r="AB50" s="643"/>
      <c r="AC50" s="643"/>
      <c r="AD50" s="644"/>
    </row>
    <row r="51" spans="3:30" ht="19.5" customHeight="1">
      <c r="C51" s="265"/>
      <c r="D51" s="266"/>
      <c r="E51" s="266"/>
      <c r="F51" s="266"/>
      <c r="G51" s="266"/>
      <c r="H51" s="266"/>
      <c r="I51" s="266"/>
      <c r="J51" s="266"/>
      <c r="K51" s="266"/>
      <c r="L51" s="266"/>
      <c r="M51" s="266"/>
      <c r="N51" s="266"/>
      <c r="O51" s="266"/>
      <c r="P51" s="266"/>
      <c r="Q51" s="266"/>
      <c r="R51" s="266"/>
      <c r="S51" s="266"/>
      <c r="T51" s="266"/>
      <c r="U51" s="266"/>
      <c r="V51" s="269"/>
      <c r="W51" s="645"/>
      <c r="X51" s="645"/>
      <c r="Y51" s="645"/>
      <c r="Z51" s="645"/>
      <c r="AA51" s="645"/>
      <c r="AB51" s="645"/>
      <c r="AC51" s="645"/>
      <c r="AD51" s="646"/>
    </row>
    <row r="52" spans="3:30">
      <c r="C52" s="265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1"/>
      <c r="W52" s="633" t="s">
        <v>18</v>
      </c>
      <c r="X52" s="634"/>
      <c r="Y52" s="636" t="s">
        <v>1626</v>
      </c>
      <c r="Z52" s="636"/>
      <c r="AA52" s="636"/>
      <c r="AB52" s="636"/>
      <c r="AC52" s="636"/>
      <c r="AD52" s="637"/>
    </row>
    <row r="53" spans="3:30">
      <c r="C53" s="265"/>
      <c r="D53" s="266"/>
      <c r="E53" s="266"/>
      <c r="F53" s="266"/>
      <c r="G53" s="266"/>
      <c r="H53" s="266"/>
      <c r="I53" s="266"/>
      <c r="J53" s="266"/>
      <c r="K53" s="266"/>
      <c r="L53" s="266"/>
      <c r="M53" s="266"/>
      <c r="N53" s="266"/>
      <c r="O53" s="266"/>
      <c r="P53" s="266"/>
      <c r="Q53" s="266"/>
      <c r="R53" s="266"/>
      <c r="S53" s="266"/>
      <c r="T53" s="266"/>
      <c r="V53" s="261"/>
      <c r="W53" s="633" t="s">
        <v>19</v>
      </c>
      <c r="X53" s="634"/>
      <c r="Y53" s="636" t="s">
        <v>1627</v>
      </c>
      <c r="Z53" s="636"/>
      <c r="AA53" s="636"/>
      <c r="AB53" s="636"/>
      <c r="AC53" s="636"/>
      <c r="AD53" s="637"/>
    </row>
    <row r="54" spans="3:30" ht="12.75" thickBot="1">
      <c r="C54" s="265"/>
      <c r="D54" s="266"/>
      <c r="E54" s="266"/>
      <c r="F54" s="266"/>
      <c r="G54" s="266"/>
      <c r="H54" s="266"/>
      <c r="I54" s="266"/>
      <c r="J54" s="266"/>
      <c r="K54" s="266"/>
      <c r="L54" s="266"/>
      <c r="M54" s="266"/>
      <c r="N54" s="266"/>
      <c r="O54" s="266"/>
      <c r="P54" s="266"/>
      <c r="Q54" s="266"/>
      <c r="R54" s="266"/>
      <c r="S54" s="266"/>
      <c r="T54" s="266"/>
      <c r="V54" s="261"/>
      <c r="W54" s="633" t="s">
        <v>20</v>
      </c>
      <c r="X54" s="634"/>
      <c r="Y54" s="635" t="s">
        <v>1628</v>
      </c>
      <c r="Z54" s="635"/>
      <c r="AA54" s="635"/>
      <c r="AB54" s="636"/>
      <c r="AC54" s="636"/>
      <c r="AD54" s="637"/>
    </row>
    <row r="55" spans="3:30" ht="12.75" thickBot="1">
      <c r="C55" s="270"/>
      <c r="D55" s="271"/>
      <c r="E55" s="271"/>
      <c r="F55" s="271"/>
      <c r="G55" s="271"/>
      <c r="H55" s="271"/>
      <c r="I55" s="271"/>
      <c r="J55" s="271"/>
      <c r="K55" s="271"/>
      <c r="L55" s="271"/>
      <c r="M55" s="271"/>
      <c r="N55" s="271"/>
      <c r="O55" s="271"/>
      <c r="P55" s="271"/>
      <c r="Q55" s="271"/>
      <c r="R55" s="271"/>
      <c r="S55" s="271"/>
      <c r="T55" s="271"/>
      <c r="U55" s="272"/>
      <c r="V55" s="273"/>
      <c r="W55" s="638" t="s">
        <v>21</v>
      </c>
      <c r="X55" s="639"/>
      <c r="Y55" s="635" t="s">
        <v>1629</v>
      </c>
      <c r="Z55" s="635"/>
      <c r="AA55" s="635"/>
      <c r="AB55" s="635"/>
      <c r="AC55" s="635"/>
      <c r="AD55" s="640"/>
    </row>
  </sheetData>
  <mergeCells count="108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AA25:AB25"/>
    <mergeCell ref="AA26:AB26"/>
    <mergeCell ref="W26:X26"/>
    <mergeCell ref="W27:X27"/>
    <mergeCell ref="W28:X28"/>
    <mergeCell ref="W29:X29"/>
    <mergeCell ref="W31:X31"/>
    <mergeCell ref="W32:X32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33:X33"/>
    <mergeCell ref="AA38:AB38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Y56" sqref="Y56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1" t="s">
        <v>1528</v>
      </c>
      <c r="E4" s="692"/>
      <c r="F4" s="692"/>
      <c r="G4" s="692"/>
      <c r="H4" s="692"/>
      <c r="I4" s="692"/>
      <c r="J4" s="692"/>
      <c r="K4" s="692"/>
      <c r="L4" s="692"/>
      <c r="M4" s="692"/>
      <c r="N4" s="692"/>
      <c r="O4" s="692"/>
      <c r="P4" s="692"/>
      <c r="Q4" s="692"/>
      <c r="R4" s="692"/>
      <c r="S4" s="692"/>
      <c r="T4" s="692"/>
      <c r="U4" s="692"/>
      <c r="V4" s="692"/>
      <c r="W4" s="692"/>
      <c r="X4" s="692"/>
      <c r="Y4" s="692"/>
      <c r="Z4" s="692"/>
      <c r="AA4" s="692"/>
      <c r="AB4" s="692"/>
      <c r="AC4" s="693"/>
      <c r="AD4" s="217"/>
      <c r="AE4" s="216"/>
      <c r="AF4" s="216"/>
    </row>
    <row r="5" spans="2:32" ht="13.5" customHeight="1">
      <c r="B5" s="215"/>
      <c r="C5" s="215"/>
      <c r="D5" s="694"/>
      <c r="E5" s="695"/>
      <c r="F5" s="695"/>
      <c r="G5" s="695"/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695"/>
      <c r="U5" s="695"/>
      <c r="V5" s="695"/>
      <c r="W5" s="695"/>
      <c r="X5" s="695"/>
      <c r="Y5" s="695"/>
      <c r="Z5" s="695"/>
      <c r="AA5" s="695"/>
      <c r="AB5" s="695"/>
      <c r="AC5" s="696"/>
      <c r="AD5" s="217"/>
      <c r="AE5" s="216"/>
      <c r="AF5" s="216"/>
    </row>
    <row r="6" spans="2:32" ht="12.75" customHeight="1">
      <c r="B6" s="215"/>
      <c r="C6" s="215"/>
      <c r="D6" s="694"/>
      <c r="E6" s="695"/>
      <c r="F6" s="695"/>
      <c r="G6" s="695"/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695"/>
      <c r="U6" s="695"/>
      <c r="V6" s="695"/>
      <c r="W6" s="695"/>
      <c r="X6" s="695"/>
      <c r="Y6" s="695"/>
      <c r="Z6" s="695"/>
      <c r="AA6" s="695"/>
      <c r="AB6" s="695"/>
      <c r="AC6" s="696"/>
      <c r="AE6" s="216"/>
      <c r="AF6" s="216"/>
    </row>
    <row r="7" spans="2:32" ht="12.75" customHeight="1" thickBot="1">
      <c r="B7" s="215"/>
      <c r="C7" s="215"/>
      <c r="D7" s="697"/>
      <c r="E7" s="698"/>
      <c r="F7" s="698"/>
      <c r="G7" s="698"/>
      <c r="H7" s="698"/>
      <c r="I7" s="698"/>
      <c r="J7" s="698"/>
      <c r="K7" s="698"/>
      <c r="L7" s="698"/>
      <c r="M7" s="698"/>
      <c r="N7" s="698"/>
      <c r="O7" s="698"/>
      <c r="P7" s="698"/>
      <c r="Q7" s="698"/>
      <c r="R7" s="698"/>
      <c r="S7" s="698"/>
      <c r="T7" s="698"/>
      <c r="U7" s="698"/>
      <c r="V7" s="698"/>
      <c r="W7" s="698"/>
      <c r="X7" s="698"/>
      <c r="Y7" s="698"/>
      <c r="Z7" s="698"/>
      <c r="AA7" s="698"/>
      <c r="AB7" s="698"/>
      <c r="AC7" s="699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Q16" sqref="Q15:Q16"/>
    </sheetView>
  </sheetViews>
  <sheetFormatPr defaultRowHeight="12.75"/>
  <cols>
    <col min="1" max="1" width="1.7109375" style="415" customWidth="1"/>
    <col min="2" max="2" width="10.7109375" style="415" customWidth="1"/>
    <col min="3" max="3" width="2.5703125" style="415" customWidth="1"/>
    <col min="4" max="20" width="9.140625" style="415"/>
    <col min="21" max="21" width="14.5703125" style="415" customWidth="1"/>
    <col min="22" max="22" width="3.140625" style="415" customWidth="1"/>
    <col min="23" max="26" width="9.140625" style="415"/>
    <col min="27" max="27" width="2.85546875" style="415" customWidth="1"/>
    <col min="28" max="30" width="4.7109375" style="415" customWidth="1"/>
    <col min="31" max="31" width="1.7109375" style="415" customWidth="1"/>
    <col min="32" max="16384" width="9.140625" style="41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95" t="s">
        <v>1527</v>
      </c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695"/>
      <c r="U3" s="695"/>
      <c r="V3" s="695"/>
      <c r="W3" s="182"/>
      <c r="X3" s="426"/>
      <c r="Y3" s="426"/>
      <c r="Z3" s="426"/>
      <c r="AA3" s="426"/>
      <c r="AB3" s="426"/>
      <c r="AC3" s="416"/>
    </row>
    <row r="4" spans="1:29" ht="18.75" customHeight="1">
      <c r="A4" s="181"/>
      <c r="C4" s="695"/>
      <c r="D4" s="695"/>
      <c r="E4" s="695"/>
      <c r="F4" s="695"/>
      <c r="G4" s="695"/>
      <c r="H4" s="695"/>
      <c r="I4" s="695"/>
      <c r="J4" s="695"/>
      <c r="K4" s="695"/>
      <c r="L4" s="695"/>
      <c r="M4" s="695"/>
      <c r="N4" s="695"/>
      <c r="O4" s="695"/>
      <c r="P4" s="695"/>
      <c r="Q4" s="695"/>
      <c r="R4" s="695"/>
      <c r="S4" s="695"/>
      <c r="T4" s="695"/>
      <c r="U4" s="695"/>
      <c r="V4" s="695"/>
      <c r="W4" s="182"/>
      <c r="X4" s="426"/>
      <c r="Y4" s="426"/>
      <c r="Z4" s="426"/>
      <c r="AA4" s="426"/>
      <c r="AB4" s="426"/>
      <c r="AC4" s="416"/>
    </row>
    <row r="5" spans="1:29" ht="12.75" customHeight="1">
      <c r="A5" s="181"/>
      <c r="C5" s="417"/>
      <c r="W5" s="182"/>
    </row>
    <row r="6" spans="1:29" ht="12.75" customHeight="1">
      <c r="A6" s="181"/>
      <c r="C6" s="700"/>
      <c r="D6" s="700"/>
      <c r="E6" s="700"/>
      <c r="F6" s="700"/>
      <c r="G6" s="700"/>
      <c r="H6" s="700"/>
      <c r="I6" s="700"/>
      <c r="J6" s="700"/>
      <c r="K6" s="700"/>
      <c r="L6" s="700"/>
      <c r="M6" s="700"/>
      <c r="W6" s="182"/>
      <c r="Y6" s="418"/>
      <c r="Z6" s="418"/>
      <c r="AA6" s="418"/>
      <c r="AB6" s="419"/>
      <c r="AC6" s="419"/>
    </row>
    <row r="7" spans="1:29" ht="18" customHeight="1">
      <c r="A7" s="181"/>
      <c r="C7" s="700"/>
      <c r="D7" s="700"/>
      <c r="E7" s="700"/>
      <c r="F7" s="700"/>
      <c r="G7" s="700"/>
      <c r="H7" s="700"/>
      <c r="I7" s="700"/>
      <c r="J7" s="700"/>
      <c r="K7" s="700"/>
      <c r="L7" s="700"/>
      <c r="M7" s="700"/>
      <c r="W7" s="182"/>
      <c r="Y7" s="418"/>
      <c r="Z7" s="418"/>
      <c r="AA7" s="418"/>
      <c r="AB7" s="419"/>
      <c r="AC7" s="41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1"/>
      <c r="S54" s="421"/>
      <c r="T54" s="421"/>
      <c r="U54" s="422"/>
      <c r="V54" s="422"/>
      <c r="W54" s="183"/>
      <c r="X54" s="422"/>
      <c r="Y54" s="422"/>
      <c r="Z54" s="422"/>
      <c r="AA54" s="422"/>
      <c r="AB54" s="422"/>
      <c r="AC54" s="422"/>
      <c r="AD54" s="42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7"/>
      <c r="S55" s="428"/>
      <c r="T55" s="428"/>
      <c r="U55" s="186"/>
      <c r="V55" s="187"/>
      <c r="W55" s="188"/>
      <c r="X55" s="422"/>
      <c r="Y55" s="422"/>
      <c r="Z55" s="422"/>
      <c r="AA55" s="423"/>
      <c r="AB55" s="423"/>
      <c r="AC55" s="423"/>
      <c r="AD55" s="423"/>
    </row>
    <row r="56" spans="1:30">
      <c r="U56" s="422"/>
      <c r="V56" s="423"/>
      <c r="W56" s="422"/>
      <c r="X56" s="422"/>
      <c r="Y56" s="422"/>
      <c r="Z56" s="422"/>
      <c r="AA56" s="423"/>
      <c r="AB56" s="422"/>
      <c r="AC56" s="422"/>
      <c r="AD56" s="422"/>
    </row>
    <row r="57" spans="1:30">
      <c r="U57" s="422"/>
      <c r="V57" s="423"/>
      <c r="W57" s="422"/>
      <c r="X57" s="422"/>
      <c r="Y57" s="422"/>
      <c r="Z57" s="422"/>
      <c r="AA57" s="422"/>
      <c r="AB57" s="422"/>
      <c r="AC57" s="422"/>
      <c r="AD57" s="422"/>
    </row>
    <row r="58" spans="1:30">
      <c r="U58" s="422"/>
      <c r="V58" s="423"/>
      <c r="W58" s="422"/>
      <c r="X58" s="422"/>
      <c r="Y58" s="422"/>
      <c r="Z58" s="422"/>
      <c r="AA58" s="422"/>
      <c r="AB58" s="422"/>
      <c r="AC58" s="422"/>
      <c r="AD58" s="422"/>
    </row>
    <row r="59" spans="1:30">
      <c r="U59" s="422"/>
      <c r="V59" s="423"/>
      <c r="W59" s="422"/>
      <c r="X59" s="422"/>
      <c r="Y59" s="422"/>
      <c r="Z59" s="422"/>
      <c r="AA59" s="422"/>
      <c r="AB59" s="422"/>
      <c r="AC59" s="422"/>
      <c r="AD59" s="422"/>
    </row>
    <row r="60" spans="1:30">
      <c r="U60" s="422"/>
      <c r="V60" s="423"/>
      <c r="W60" s="422"/>
      <c r="X60" s="422"/>
      <c r="Y60" s="422"/>
      <c r="Z60" s="422"/>
      <c r="AA60" s="423"/>
      <c r="AB60" s="422"/>
      <c r="AC60" s="422"/>
      <c r="AD60" s="422"/>
    </row>
    <row r="61" spans="1:30">
      <c r="U61" s="422"/>
      <c r="V61" s="423"/>
      <c r="W61" s="422"/>
      <c r="X61" s="422"/>
      <c r="Y61" s="422"/>
      <c r="Z61" s="422"/>
      <c r="AA61" s="422"/>
      <c r="AB61" s="422"/>
      <c r="AC61" s="422"/>
      <c r="AD61" s="422"/>
    </row>
    <row r="62" spans="1:30">
      <c r="U62" s="422"/>
      <c r="V62" s="423"/>
      <c r="W62" s="422"/>
      <c r="X62" s="422"/>
      <c r="Y62" s="422"/>
      <c r="Z62" s="422"/>
      <c r="AA62" s="422"/>
      <c r="AB62" s="422"/>
      <c r="AC62" s="422"/>
      <c r="AD62" s="422"/>
    </row>
    <row r="63" spans="1:30">
      <c r="U63" s="422"/>
      <c r="V63" s="423"/>
      <c r="W63" s="422"/>
      <c r="X63" s="422"/>
      <c r="Y63" s="422"/>
      <c r="Z63" s="422"/>
      <c r="AA63" s="422"/>
      <c r="AB63" s="422"/>
      <c r="AC63" s="422"/>
      <c r="AD63" s="422"/>
    </row>
    <row r="64" spans="1:30">
      <c r="U64" s="422"/>
      <c r="V64" s="423"/>
      <c r="W64" s="422"/>
      <c r="X64" s="422"/>
      <c r="Y64" s="422"/>
      <c r="Z64" s="422"/>
      <c r="AA64" s="422"/>
      <c r="AB64" s="422"/>
      <c r="AC64" s="422"/>
      <c r="AD64" s="422"/>
    </row>
    <row r="65" spans="5:30">
      <c r="U65" s="422"/>
      <c r="V65" s="423"/>
      <c r="W65" s="422"/>
      <c r="X65" s="422"/>
      <c r="Y65" s="422"/>
      <c r="Z65" s="422"/>
      <c r="AA65" s="422"/>
      <c r="AB65" s="422"/>
      <c r="AC65" s="422"/>
      <c r="AD65" s="422"/>
    </row>
    <row r="66" spans="5:30" ht="6" customHeight="1"/>
    <row r="73" spans="5:30">
      <c r="M73" s="424"/>
    </row>
    <row r="74" spans="5:30" ht="15" customHeight="1">
      <c r="E74" s="425"/>
      <c r="M74" s="424"/>
    </row>
    <row r="75" spans="5:30" ht="15" customHeight="1">
      <c r="E75" s="425"/>
      <c r="M75" s="424"/>
    </row>
    <row r="76" spans="5:30" ht="15" customHeight="1">
      <c r="E76" s="425"/>
      <c r="M76" s="424"/>
    </row>
    <row r="77" spans="5:30" ht="15" customHeight="1">
      <c r="E77" s="425"/>
      <c r="M77" s="424"/>
    </row>
    <row r="78" spans="5:30" ht="15" customHeight="1">
      <c r="E78" s="425"/>
      <c r="M78" s="424"/>
    </row>
    <row r="79" spans="5:30" ht="15" customHeight="1">
      <c r="E79" s="425"/>
      <c r="M79" s="424"/>
    </row>
    <row r="80" spans="5:30" ht="15" customHeight="1">
      <c r="E80" s="425"/>
      <c r="M80" s="424"/>
    </row>
    <row r="81" spans="5:13" ht="15" customHeight="1">
      <c r="E81" s="425"/>
      <c r="M81" s="424"/>
    </row>
    <row r="82" spans="5:13" ht="15" customHeight="1">
      <c r="E82" s="425"/>
      <c r="M82" s="424"/>
    </row>
    <row r="83" spans="5:13" ht="15" customHeight="1">
      <c r="E83" s="425"/>
      <c r="M83" s="424"/>
    </row>
    <row r="84" spans="5:13" ht="15" customHeight="1">
      <c r="E84" s="425"/>
      <c r="M84" s="424"/>
    </row>
    <row r="85" spans="5:13" ht="15" customHeight="1">
      <c r="E85" s="425"/>
      <c r="M85" s="424"/>
    </row>
    <row r="86" spans="5:13" ht="15" customHeight="1">
      <c r="E86" s="425"/>
      <c r="M86" s="424"/>
    </row>
    <row r="87" spans="5:13" ht="15" customHeight="1">
      <c r="E87" s="425"/>
      <c r="M87" s="424"/>
    </row>
    <row r="88" spans="5:13" ht="15" customHeight="1">
      <c r="E88" s="425"/>
      <c r="M88" s="424"/>
    </row>
    <row r="89" spans="5:13" ht="15" customHeight="1">
      <c r="E89" s="425"/>
      <c r="M89" s="424"/>
    </row>
    <row r="90" spans="5:13" ht="15" customHeight="1">
      <c r="E90" s="425"/>
      <c r="M90" s="424"/>
    </row>
    <row r="91" spans="5:13" ht="15" customHeight="1">
      <c r="E91" s="425"/>
      <c r="M91" s="424"/>
    </row>
    <row r="92" spans="5:13" ht="15" customHeight="1">
      <c r="E92" s="425"/>
      <c r="M92" s="424"/>
    </row>
    <row r="93" spans="5:13" ht="15" customHeight="1">
      <c r="E93" s="425"/>
      <c r="M93" s="424"/>
    </row>
    <row r="94" spans="5:13" ht="15" customHeight="1">
      <c r="E94" s="425"/>
      <c r="M94" s="424"/>
    </row>
    <row r="95" spans="5:13" ht="15" customHeight="1">
      <c r="E95" s="425"/>
      <c r="M95" s="424"/>
    </row>
    <row r="96" spans="5:13" ht="15" customHeight="1">
      <c r="E96" s="425"/>
    </row>
    <row r="97" spans="5:5" ht="15" customHeight="1">
      <c r="E97" s="425"/>
    </row>
    <row r="98" spans="5:5" ht="15" customHeight="1">
      <c r="E98" s="425"/>
    </row>
    <row r="99" spans="5:5" ht="15" customHeight="1">
      <c r="E99" s="425"/>
    </row>
    <row r="100" spans="5:5" ht="15" customHeight="1">
      <c r="E100" s="425"/>
    </row>
    <row r="101" spans="5:5" ht="15" customHeight="1">
      <c r="E101" s="425"/>
    </row>
    <row r="102" spans="5:5" ht="15" customHeight="1">
      <c r="E102" s="425"/>
    </row>
    <row r="103" spans="5:5" ht="15" customHeight="1">
      <c r="E103" s="425"/>
    </row>
    <row r="104" spans="5:5" ht="15" customHeight="1">
      <c r="E104" s="425"/>
    </row>
    <row r="105" spans="5:5" ht="15" customHeight="1">
      <c r="E105" s="425"/>
    </row>
    <row r="106" spans="5:5" ht="15" customHeight="1">
      <c r="E106" s="425"/>
    </row>
    <row r="107" spans="5:5" ht="15" customHeight="1">
      <c r="E107" s="425"/>
    </row>
    <row r="108" spans="5:5" ht="15" customHeight="1">
      <c r="E108" s="425"/>
    </row>
    <row r="109" spans="5:5" ht="15" customHeight="1">
      <c r="E109" s="425"/>
    </row>
    <row r="110" spans="5:5" ht="15" customHeight="1">
      <c r="E110" s="425"/>
    </row>
    <row r="111" spans="5:5" ht="15" customHeight="1">
      <c r="E111" s="425"/>
    </row>
    <row r="112" spans="5:5" ht="15" customHeight="1">
      <c r="E112" s="425"/>
    </row>
    <row r="113" spans="5:5" ht="15" customHeight="1">
      <c r="E113" s="425"/>
    </row>
    <row r="114" spans="5:5" ht="15" customHeight="1">
      <c r="E114" s="425"/>
    </row>
    <row r="115" spans="5:5" ht="15" customHeight="1">
      <c r="E115" s="425"/>
    </row>
    <row r="116" spans="5:5" ht="15" customHeight="1">
      <c r="E116" s="425"/>
    </row>
    <row r="117" spans="5:5" ht="15" customHeight="1">
      <c r="E117" s="425"/>
    </row>
    <row r="118" spans="5:5" ht="15" customHeight="1">
      <c r="E118" s="425"/>
    </row>
    <row r="119" spans="5:5" ht="15" customHeight="1">
      <c r="E119" s="425"/>
    </row>
    <row r="120" spans="5:5">
      <c r="E120" s="42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7">
        <v>1</v>
      </c>
    </row>
    <row r="2" spans="1:11" ht="48" customHeight="1">
      <c r="A2" s="447">
        <v>3</v>
      </c>
    </row>
    <row r="4" spans="1:11" ht="48" customHeight="1">
      <c r="C4" s="447">
        <v>1</v>
      </c>
    </row>
    <row r="5" spans="1:11" ht="48" customHeight="1">
      <c r="C5" s="447">
        <v>3</v>
      </c>
    </row>
    <row r="7" spans="1:11" ht="48" customHeight="1">
      <c r="E7" s="447">
        <v>1</v>
      </c>
    </row>
    <row r="8" spans="1:11" ht="48" customHeight="1">
      <c r="E8" s="447">
        <v>3</v>
      </c>
    </row>
    <row r="10" spans="1:11" ht="48" customHeight="1">
      <c r="G10" s="447">
        <v>3</v>
      </c>
    </row>
    <row r="11" spans="1:11" ht="48" customHeight="1">
      <c r="G11" s="447">
        <v>1</v>
      </c>
    </row>
    <row r="13" spans="1:11" ht="48" customHeight="1">
      <c r="I13" s="447">
        <v>3</v>
      </c>
    </row>
    <row r="14" spans="1:11" ht="48" customHeight="1">
      <c r="I14" s="447">
        <v>1</v>
      </c>
    </row>
    <row r="16" spans="1:11" ht="48" customHeight="1">
      <c r="K16" s="447">
        <v>3</v>
      </c>
    </row>
    <row r="17" spans="11:21" ht="48" customHeight="1">
      <c r="K17" s="447">
        <v>1</v>
      </c>
    </row>
    <row r="19" spans="11:21" ht="48" customHeight="1">
      <c r="M19" s="447">
        <v>3</v>
      </c>
    </row>
    <row r="20" spans="11:21" ht="48" customHeight="1">
      <c r="M20" s="447">
        <v>1</v>
      </c>
    </row>
    <row r="22" spans="11:21" ht="48" customHeight="1">
      <c r="O22" s="447">
        <v>3</v>
      </c>
    </row>
    <row r="23" spans="11:21" ht="48" customHeight="1">
      <c r="O23" s="447">
        <v>1</v>
      </c>
    </row>
    <row r="25" spans="11:21" ht="57" customHeight="1">
      <c r="Q25" s="447">
        <v>3</v>
      </c>
    </row>
    <row r="26" spans="11:21" ht="57" customHeight="1">
      <c r="Q26" s="447">
        <v>1</v>
      </c>
    </row>
    <row r="28" spans="11:21" ht="57" customHeight="1">
      <c r="S28" s="447">
        <v>3</v>
      </c>
    </row>
    <row r="29" spans="11:21" ht="57" customHeight="1">
      <c r="S29" s="447">
        <v>1</v>
      </c>
    </row>
    <row r="31" spans="11:21" ht="57" customHeight="1">
      <c r="U31" s="447">
        <v>3</v>
      </c>
    </row>
    <row r="32" spans="11:21" ht="57" customHeight="1">
      <c r="U32" s="44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2023-08-07T08:29:05Z</cp:lastPrinted>
  <dcterms:created xsi:type="dcterms:W3CDTF">2011-02-06T11:57:38Z</dcterms:created>
  <dcterms:modified xsi:type="dcterms:W3CDTF">2023-09-14T08:33:40Z</dcterms:modified>
</cp:coreProperties>
</file>