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TAMI\2023\2. PP\4. PBPD\PERSETUJUAN UP3\39. 14-09-2023\13 Sept\13 Sept\"/>
    </mc:Choice>
  </mc:AlternateContent>
  <xr:revisionPtr revIDLastSave="0" documentId="13_ncr:1_{5A30E181-FF78-4BE5-AB40-5968216E1E77}" xr6:coauthVersionLast="47" xr6:coauthVersionMax="47" xr10:uidLastSave="{00000000-0000-0000-0000-000000000000}"/>
  <bookViews>
    <workbookView xWindow="-120" yWindow="-120" windowWidth="24240" windowHeight="13140" tabRatio="859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[14]graf2!$D$14:$L$14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[14]graf2!$D$8:$L$8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[14]graf2!$D$12:$L$12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[14]graf2!$D$8:$L$8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[14]graf2!$D$10:$L$10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[14]graf2!$D$14:$L$14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[16]x!$H$9:$H$47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[16]x!$B$100:$B$101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[17]MEMO!$A$1:$B$65536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[18]JAN09!#REF!</definedName>
    <definedName name="ad" localSheetId="7">[18]JAN09!#REF!</definedName>
    <definedName name="ad">[18]JAN09!#REF!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[18]JAN09!#REF!</definedName>
    <definedName name="an" localSheetId="7">[18]JAN09!#REF!</definedName>
    <definedName name="an">[18]JAN09!#REF!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7">[20]JAN09!#REF!</definedName>
    <definedName name="and">[20]JAN09!#REF!</definedName>
    <definedName name="andrea" localSheetId="6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[21]Area_Data!$C$7:$Y$29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[22]Usulan!#REF!</definedName>
    <definedName name="ba" localSheetId="7">[22]Usulan!#REF!</definedName>
    <definedName name="ba" localSheetId="5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'[23]FORM-B'!#REF!</definedName>
    <definedName name="BAR" localSheetId="7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'[23]FORM-B'!#REF!</definedName>
    <definedName name="Baru_19" localSheetId="7">'[23]FORM-B'!#REF!</definedName>
    <definedName name="Baru_19" localSheetId="5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'[25]BiLuOp(14)'!$B$1:$G$49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[28]MENU1!$D$4:$T$15</definedName>
    <definedName name="BULAN" localSheetId="5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[18]JAN09!#REF!</definedName>
    <definedName name="csa" localSheetId="7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[31]item!$C$2:$C$550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[32]Sheet5!#REF!</definedName>
    <definedName name="DAWDFAFD" localSheetId="7">[32]Sheet5!#REF!</definedName>
    <definedName name="DAWDFAFD">[32]Sheet5!#REF!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 localSheetId="10">[48]Format!$AA$1:$AG$1</definedName>
    <definedName name="hari">[49]Format!$AA$1:$AG$1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[51]DTU!$B$2:$D$48</definedName>
    <definedName name="input" localSheetId="6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[18]JAN09!#REF!</definedName>
    <definedName name="ips" localSheetId="5">[18]JAN09!#REF!</definedName>
    <definedName name="ips">[18]JAN09!#REF!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'[53]W-NAD'!#REF!</definedName>
    <definedName name="JAJA" localSheetId="7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[22]Usulan!#REF!</definedName>
    <definedName name="KK" localSheetId="7">[22]Usulan!#REF!</definedName>
    <definedName name="KK">[22]Usulan!#REF!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INDEX([45]PDL!$B$1:$B$3,IFERROR(MATCH([45]KKO!$D$15,[45]PDL!$A$1:$A$2,),3))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[60]PMT!#REF!</definedName>
    <definedName name="l" localSheetId="7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[63]INPBA!$F$2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'[61]FORM-B'!#REF!</definedName>
    <definedName name="M_19" localSheetId="7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[68]Cover!$B$7</definedName>
    <definedName name="NEGO" localSheetId="6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[45]KKO!#REF!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>[18]JAN09!#REF!</definedName>
    <definedName name="POPUI" localSheetId="5">#REF!</definedName>
    <definedName name="POPUI">#REF!</definedName>
    <definedName name="pos_anggaran">[57]data!$G$2:$G$54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[32]Sheet5!#REF!</definedName>
    <definedName name="PRINT_AR01" localSheetId="7">[32]Sheet5!#REF!</definedName>
    <definedName name="PRINT_AR01">[32]Sheet5!#REF!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RAB!$A$1:$K$140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[32]Sheet5!#REF!</definedName>
    <definedName name="PRINT2" localSheetId="7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[71]JURNAL!#REF!</definedName>
    <definedName name="PUR" localSheetId="7">[71]JURNAL!#REF!</definedName>
    <definedName name="PUR">[71]JURNAL!#REF!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[18]JAN09!#REF!</definedName>
    <definedName name="rafi" localSheetId="7">[18]JAN09!#REF!</definedName>
    <definedName name="rafi" localSheetId="5">[18]JAN09!#REF!</definedName>
    <definedName name="rafi">[18]JAN09!#REF!</definedName>
    <definedName name="raja" localSheetId="6">[18]JAN09!#REF!</definedName>
    <definedName name="raja" localSheetId="7">[18]JAN09!#REF!</definedName>
    <definedName name="raja">[18]JAN09!#REF!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[72]JAN07!#REF!</definedName>
    <definedName name="rtyu" localSheetId="7">[72]JAN07!#REF!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[51]DTU!$B$2:$D$48</definedName>
    <definedName name="sdffA" localSheetId="6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'[82]master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[84]Sheet1!$E$2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 localSheetId="10">[86]bantu!$M$5:$X$5</definedName>
    <definedName name="Tahun">[87]bantu!$M$5:$X$5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[63]INPBA!$F$2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[69]Valuation!$I$61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[24]Kamus!$L$1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'[88]Rekap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[89]Usulan!#REF!</definedName>
    <definedName name="usul" localSheetId="7">[89]Usulan!#REF!</definedName>
    <definedName name="usul" localSheetId="5">[89]Usulan!#REF!</definedName>
    <definedName name="usul">[89]Usulan!#REF!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[20]JAN09!#REF!</definedName>
    <definedName name="WATES" localSheetId="7">[20]JAN09!#REF!</definedName>
    <definedName name="WATES">[20]JAN09!#REF!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[72]JAN07!#REF!</definedName>
    <definedName name="xs" localSheetId="7">[72]JAN07!#REF!</definedName>
    <definedName name="xs" localSheetId="5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4" l="1"/>
  <c r="F53" i="11"/>
  <c r="F54" i="11" s="1"/>
  <c r="F47" i="11"/>
  <c r="F51" i="11" s="1"/>
  <c r="F45" i="11"/>
  <c r="F44" i="11"/>
  <c r="F43" i="11"/>
  <c r="F42" i="11"/>
  <c r="F41" i="11"/>
  <c r="F40" i="11"/>
  <c r="D38" i="11"/>
  <c r="J38" i="11" s="1"/>
  <c r="E38" i="11"/>
  <c r="G38" i="11"/>
  <c r="D39" i="11"/>
  <c r="J39" i="11" s="1"/>
  <c r="E39" i="11"/>
  <c r="G39" i="11"/>
  <c r="D40" i="11"/>
  <c r="H40" i="11" s="1"/>
  <c r="E40" i="11"/>
  <c r="G40" i="11"/>
  <c r="D41" i="11"/>
  <c r="H41" i="11" s="1"/>
  <c r="E41" i="11"/>
  <c r="G41" i="11"/>
  <c r="D42" i="11"/>
  <c r="J42" i="11" s="1"/>
  <c r="E42" i="11"/>
  <c r="G42" i="11"/>
  <c r="D43" i="11"/>
  <c r="J43" i="11" s="1"/>
  <c r="E43" i="11"/>
  <c r="G43" i="11"/>
  <c r="D44" i="11"/>
  <c r="H44" i="11" s="1"/>
  <c r="E44" i="11"/>
  <c r="G44" i="11"/>
  <c r="D45" i="11"/>
  <c r="E45" i="11"/>
  <c r="G45" i="11"/>
  <c r="D46" i="11"/>
  <c r="J46" i="11" s="1"/>
  <c r="E46" i="11"/>
  <c r="G46" i="11"/>
  <c r="D47" i="11"/>
  <c r="J47" i="11" s="1"/>
  <c r="E47" i="11"/>
  <c r="G47" i="11"/>
  <c r="D48" i="11"/>
  <c r="H48" i="11" s="1"/>
  <c r="E48" i="11"/>
  <c r="G48" i="11"/>
  <c r="D49" i="11"/>
  <c r="J49" i="11" s="1"/>
  <c r="E49" i="11"/>
  <c r="G49" i="11"/>
  <c r="D50" i="11"/>
  <c r="J50" i="11" s="1"/>
  <c r="E50" i="11"/>
  <c r="G50" i="11"/>
  <c r="D51" i="11"/>
  <c r="E51" i="11"/>
  <c r="G51" i="11"/>
  <c r="D52" i="11"/>
  <c r="H52" i="11" s="1"/>
  <c r="E52" i="11"/>
  <c r="G52" i="11"/>
  <c r="D53" i="11"/>
  <c r="J53" i="11" s="1"/>
  <c r="E53" i="11"/>
  <c r="G53" i="11"/>
  <c r="D54" i="11"/>
  <c r="J54" i="11" s="1"/>
  <c r="E54" i="11"/>
  <c r="G54" i="11"/>
  <c r="D55" i="11"/>
  <c r="J55" i="11" s="1"/>
  <c r="E55" i="11"/>
  <c r="G55" i="11"/>
  <c r="D56" i="11"/>
  <c r="H56" i="11" s="1"/>
  <c r="E56" i="11"/>
  <c r="G56" i="11"/>
  <c r="D57" i="11"/>
  <c r="H57" i="11" s="1"/>
  <c r="E57" i="11"/>
  <c r="G57" i="11"/>
  <c r="D58" i="11"/>
  <c r="J58" i="11" s="1"/>
  <c r="E58" i="11"/>
  <c r="G58" i="11"/>
  <c r="D59" i="11"/>
  <c r="H59" i="11" s="1"/>
  <c r="E59" i="11"/>
  <c r="G59" i="11"/>
  <c r="D60" i="11"/>
  <c r="J60" i="11" s="1"/>
  <c r="E60" i="11"/>
  <c r="G60" i="11"/>
  <c r="F99" i="11"/>
  <c r="F98" i="11"/>
  <c r="F97" i="11"/>
  <c r="F96" i="11"/>
  <c r="F35" i="11"/>
  <c r="F19" i="11"/>
  <c r="Y28" i="64"/>
  <c r="Y27" i="64"/>
  <c r="F55" i="11" l="1"/>
  <c r="F48" i="11"/>
  <c r="F56" i="11"/>
  <c r="F57" i="11"/>
  <c r="F49" i="11"/>
  <c r="I49" i="11" s="1"/>
  <c r="F50" i="11"/>
  <c r="I57" i="11"/>
  <c r="J57" i="11"/>
  <c r="I46" i="11"/>
  <c r="J41" i="11"/>
  <c r="H49" i="11"/>
  <c r="J48" i="11"/>
  <c r="I41" i="11"/>
  <c r="J45" i="11"/>
  <c r="I60" i="11"/>
  <c r="I54" i="11"/>
  <c r="I53" i="11"/>
  <c r="J52" i="11"/>
  <c r="I38" i="11"/>
  <c r="J51" i="11"/>
  <c r="I59" i="11"/>
  <c r="I58" i="11"/>
  <c r="H53" i="11"/>
  <c r="I42" i="11"/>
  <c r="J56" i="11"/>
  <c r="H54" i="11"/>
  <c r="I52" i="11"/>
  <c r="I51" i="11"/>
  <c r="I50" i="11"/>
  <c r="J44" i="11"/>
  <c r="J40" i="11"/>
  <c r="H38" i="11"/>
  <c r="J59" i="11"/>
  <c r="K59" i="11" s="1"/>
  <c r="H60" i="11"/>
  <c r="H50" i="11"/>
  <c r="I48" i="11"/>
  <c r="I47" i="11"/>
  <c r="H45" i="11"/>
  <c r="I45" i="11"/>
  <c r="H46" i="11"/>
  <c r="I44" i="11"/>
  <c r="I43" i="11"/>
  <c r="I56" i="11"/>
  <c r="I55" i="11"/>
  <c r="H42" i="11"/>
  <c r="I40" i="11"/>
  <c r="I39" i="11"/>
  <c r="H58" i="11"/>
  <c r="H55" i="11"/>
  <c r="H51" i="11"/>
  <c r="H47" i="11"/>
  <c r="H43" i="11"/>
  <c r="H39" i="11"/>
  <c r="K38" i="11" l="1"/>
  <c r="K60" i="11"/>
  <c r="K48" i="11"/>
  <c r="K57" i="11"/>
  <c r="K51" i="11"/>
  <c r="K40" i="11"/>
  <c r="K53" i="11"/>
  <c r="K47" i="11"/>
  <c r="K49" i="11"/>
  <c r="K41" i="11"/>
  <c r="K54" i="11"/>
  <c r="K52" i="11"/>
  <c r="K44" i="11"/>
  <c r="K58" i="11"/>
  <c r="K46" i="11"/>
  <c r="K50" i="11"/>
  <c r="K43" i="11"/>
  <c r="K56" i="11"/>
  <c r="K45" i="11"/>
  <c r="K42" i="11"/>
  <c r="K39" i="11"/>
  <c r="K55" i="11"/>
  <c r="F91" i="11" l="1"/>
  <c r="F90" i="11"/>
  <c r="F89" i="11"/>
  <c r="F88" i="11"/>
  <c r="F87" i="11"/>
  <c r="F86" i="11"/>
  <c r="F85" i="11"/>
  <c r="F84" i="11"/>
  <c r="F83" i="11"/>
  <c r="D84" i="11"/>
  <c r="H84" i="11" s="1"/>
  <c r="E84" i="11"/>
  <c r="G84" i="11"/>
  <c r="D85" i="11"/>
  <c r="J85" i="11" s="1"/>
  <c r="E85" i="11"/>
  <c r="G85" i="11"/>
  <c r="D86" i="11"/>
  <c r="H86" i="11" s="1"/>
  <c r="E86" i="11"/>
  <c r="G86" i="11"/>
  <c r="D87" i="11"/>
  <c r="J87" i="11" s="1"/>
  <c r="E87" i="11"/>
  <c r="G87" i="11"/>
  <c r="D88" i="11"/>
  <c r="J88" i="11" s="1"/>
  <c r="E88" i="11"/>
  <c r="G88" i="11"/>
  <c r="D89" i="11"/>
  <c r="J89" i="11" s="1"/>
  <c r="E89" i="11"/>
  <c r="G89" i="11"/>
  <c r="D90" i="11"/>
  <c r="H90" i="11" s="1"/>
  <c r="E90" i="11"/>
  <c r="G90" i="11"/>
  <c r="D91" i="11"/>
  <c r="I91" i="11" s="1"/>
  <c r="E91" i="11"/>
  <c r="G91" i="11"/>
  <c r="D92" i="11"/>
  <c r="J92" i="11" s="1"/>
  <c r="E92" i="11"/>
  <c r="G92" i="11"/>
  <c r="D93" i="11"/>
  <c r="J93" i="11" s="1"/>
  <c r="E93" i="11"/>
  <c r="G93" i="11"/>
  <c r="D94" i="11"/>
  <c r="J94" i="11" s="1"/>
  <c r="E94" i="11"/>
  <c r="G94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D63" i="11"/>
  <c r="J63" i="11" s="1"/>
  <c r="E63" i="11"/>
  <c r="D64" i="11"/>
  <c r="J64" i="11" s="1"/>
  <c r="E64" i="11"/>
  <c r="D65" i="11"/>
  <c r="I65" i="11" s="1"/>
  <c r="E65" i="11"/>
  <c r="D66" i="11"/>
  <c r="E66" i="11"/>
  <c r="D67" i="11"/>
  <c r="E67" i="11"/>
  <c r="D68" i="11"/>
  <c r="J68" i="11" s="1"/>
  <c r="E68" i="11"/>
  <c r="D69" i="11"/>
  <c r="I69" i="11" s="1"/>
  <c r="E69" i="11"/>
  <c r="D70" i="11"/>
  <c r="H70" i="11" s="1"/>
  <c r="E70" i="11"/>
  <c r="D71" i="11"/>
  <c r="H71" i="11" s="1"/>
  <c r="E71" i="11"/>
  <c r="D72" i="11"/>
  <c r="J72" i="11" s="1"/>
  <c r="E72" i="11"/>
  <c r="D73" i="11"/>
  <c r="E73" i="11"/>
  <c r="D74" i="11"/>
  <c r="H74" i="11" s="1"/>
  <c r="E74" i="11"/>
  <c r="D75" i="11"/>
  <c r="H75" i="11" s="1"/>
  <c r="E75" i="11"/>
  <c r="D76" i="11"/>
  <c r="J76" i="11" s="1"/>
  <c r="E76" i="11"/>
  <c r="D77" i="11"/>
  <c r="E77" i="11"/>
  <c r="D78" i="11"/>
  <c r="H78" i="11" s="1"/>
  <c r="E78" i="11"/>
  <c r="D79" i="11"/>
  <c r="H79" i="11" s="1"/>
  <c r="E79" i="11"/>
  <c r="D80" i="11"/>
  <c r="E80" i="11"/>
  <c r="D81" i="11"/>
  <c r="E81" i="11"/>
  <c r="D82" i="11"/>
  <c r="H82" i="11" s="1"/>
  <c r="E82" i="11"/>
  <c r="D83" i="11"/>
  <c r="H83" i="11" s="1"/>
  <c r="E83" i="11"/>
  <c r="D24" i="11"/>
  <c r="H24" i="11" s="1"/>
  <c r="E24" i="11"/>
  <c r="G24" i="11"/>
  <c r="D25" i="11"/>
  <c r="H25" i="11" s="1"/>
  <c r="E25" i="11"/>
  <c r="G25" i="11"/>
  <c r="G21" i="11"/>
  <c r="G22" i="11"/>
  <c r="G23" i="11"/>
  <c r="D21" i="11"/>
  <c r="H21" i="11" s="1"/>
  <c r="E21" i="11"/>
  <c r="D22" i="11"/>
  <c r="J22" i="11" s="1"/>
  <c r="E22" i="11"/>
  <c r="D23" i="11"/>
  <c r="I23" i="11" s="1"/>
  <c r="E23" i="11"/>
  <c r="G18" i="11"/>
  <c r="G19" i="11"/>
  <c r="G20" i="11"/>
  <c r="D18" i="11"/>
  <c r="H18" i="11" s="1"/>
  <c r="E18" i="11"/>
  <c r="D19" i="11"/>
  <c r="E19" i="11"/>
  <c r="D20" i="11"/>
  <c r="E20" i="11"/>
  <c r="J90" i="11" l="1"/>
  <c r="I92" i="11"/>
  <c r="J86" i="11"/>
  <c r="H66" i="11"/>
  <c r="I86" i="11"/>
  <c r="H92" i="11"/>
  <c r="I84" i="11"/>
  <c r="I90" i="11"/>
  <c r="J84" i="11"/>
  <c r="H93" i="11"/>
  <c r="J91" i="11"/>
  <c r="I93" i="11"/>
  <c r="H91" i="11"/>
  <c r="I88" i="11"/>
  <c r="H87" i="11"/>
  <c r="I87" i="11"/>
  <c r="J80" i="11"/>
  <c r="H88" i="11"/>
  <c r="H94" i="11"/>
  <c r="H89" i="11"/>
  <c r="H85" i="11"/>
  <c r="I94" i="11"/>
  <c r="I89" i="11"/>
  <c r="I85" i="11"/>
  <c r="I77" i="11"/>
  <c r="I73" i="11"/>
  <c r="H67" i="11"/>
  <c r="I64" i="11"/>
  <c r="I68" i="11"/>
  <c r="I80" i="11"/>
  <c r="I81" i="11"/>
  <c r="I76" i="11"/>
  <c r="I72" i="11"/>
  <c r="H81" i="11"/>
  <c r="J79" i="11"/>
  <c r="J75" i="11"/>
  <c r="H69" i="11"/>
  <c r="J67" i="11"/>
  <c r="I83" i="11"/>
  <c r="J82" i="11"/>
  <c r="H80" i="11"/>
  <c r="I79" i="11"/>
  <c r="J78" i="11"/>
  <c r="H76" i="11"/>
  <c r="I75" i="11"/>
  <c r="J74" i="11"/>
  <c r="H72" i="11"/>
  <c r="I71" i="11"/>
  <c r="J70" i="11"/>
  <c r="H68" i="11"/>
  <c r="I67" i="11"/>
  <c r="J66" i="11"/>
  <c r="H64" i="11"/>
  <c r="I63" i="11"/>
  <c r="J83" i="11"/>
  <c r="H73" i="11"/>
  <c r="J71" i="11"/>
  <c r="H65" i="11"/>
  <c r="I82" i="11"/>
  <c r="J81" i="11"/>
  <c r="I78" i="11"/>
  <c r="J77" i="11"/>
  <c r="I74" i="11"/>
  <c r="J73" i="11"/>
  <c r="I70" i="11"/>
  <c r="J69" i="11"/>
  <c r="I66" i="11"/>
  <c r="J65" i="11"/>
  <c r="H63" i="11"/>
  <c r="H77" i="11"/>
  <c r="J25" i="11"/>
  <c r="I25" i="11"/>
  <c r="J24" i="11"/>
  <c r="I24" i="11"/>
  <c r="I22" i="11"/>
  <c r="I20" i="11"/>
  <c r="H23" i="11"/>
  <c r="J21" i="11"/>
  <c r="H22" i="11"/>
  <c r="I21" i="11"/>
  <c r="J23" i="11"/>
  <c r="J18" i="11"/>
  <c r="H20" i="11"/>
  <c r="I19" i="11"/>
  <c r="H19" i="11"/>
  <c r="I18" i="11"/>
  <c r="J20" i="11"/>
  <c r="K76" i="11" l="1"/>
  <c r="K92" i="11"/>
  <c r="K77" i="11"/>
  <c r="K68" i="11"/>
  <c r="K90" i="11"/>
  <c r="K91" i="11"/>
  <c r="K84" i="11"/>
  <c r="K86" i="11"/>
  <c r="K88" i="11"/>
  <c r="K87" i="11"/>
  <c r="K93" i="11"/>
  <c r="K94" i="11"/>
  <c r="K78" i="11"/>
  <c r="K80" i="11"/>
  <c r="K85" i="11"/>
  <c r="K89" i="11"/>
  <c r="K74" i="11"/>
  <c r="K64" i="11"/>
  <c r="K75" i="11"/>
  <c r="K63" i="11"/>
  <c r="K71" i="11"/>
  <c r="K70" i="11"/>
  <c r="K72" i="11"/>
  <c r="K79" i="11"/>
  <c r="K65" i="11"/>
  <c r="K67" i="11"/>
  <c r="K83" i="11"/>
  <c r="K66" i="11"/>
  <c r="K82" i="11"/>
  <c r="K69" i="11"/>
  <c r="K73" i="11"/>
  <c r="K81" i="11"/>
  <c r="K18" i="11"/>
  <c r="K25" i="11"/>
  <c r="K21" i="11"/>
  <c r="K24" i="11"/>
  <c r="K22" i="11"/>
  <c r="K23" i="11"/>
  <c r="K20" i="11"/>
  <c r="D32" i="11" l="1"/>
  <c r="J32" i="11" s="1"/>
  <c r="E32" i="11"/>
  <c r="G32" i="11"/>
  <c r="D33" i="11"/>
  <c r="H33" i="11" s="1"/>
  <c r="E33" i="11"/>
  <c r="G33" i="11"/>
  <c r="J19" i="11"/>
  <c r="K19" i="11" s="1"/>
  <c r="C6" i="62"/>
  <c r="F31" i="11"/>
  <c r="F30" i="11"/>
  <c r="F29" i="11"/>
  <c r="F28" i="11"/>
  <c r="F27" i="11"/>
  <c r="D26" i="11"/>
  <c r="H26" i="11" s="1"/>
  <c r="E26" i="11"/>
  <c r="G26" i="11"/>
  <c r="D27" i="11"/>
  <c r="H27" i="11" s="1"/>
  <c r="E27" i="11"/>
  <c r="G27" i="11"/>
  <c r="D28" i="11"/>
  <c r="H28" i="11" s="1"/>
  <c r="E28" i="11"/>
  <c r="G28" i="11"/>
  <c r="D29" i="11"/>
  <c r="H29" i="11" s="1"/>
  <c r="E29" i="11"/>
  <c r="G29" i="11"/>
  <c r="D30" i="11"/>
  <c r="H30" i="11" s="1"/>
  <c r="E30" i="11"/>
  <c r="G30" i="11"/>
  <c r="D31" i="11"/>
  <c r="H31" i="11" s="1"/>
  <c r="E31" i="11"/>
  <c r="G31" i="11"/>
  <c r="G17" i="11"/>
  <c r="D17" i="11"/>
  <c r="H17" i="11" s="1"/>
  <c r="E17" i="11"/>
  <c r="F108" i="11"/>
  <c r="F107" i="11"/>
  <c r="F106" i="11"/>
  <c r="F105" i="11"/>
  <c r="F104" i="11"/>
  <c r="F103" i="11"/>
  <c r="F102" i="11"/>
  <c r="K12" i="60"/>
  <c r="G61" i="11"/>
  <c r="I32" i="11" l="1"/>
  <c r="H32" i="11"/>
  <c r="I33" i="11"/>
  <c r="J33" i="11"/>
  <c r="J28" i="11"/>
  <c r="I26" i="11"/>
  <c r="J29" i="11"/>
  <c r="I30" i="11"/>
  <c r="I29" i="11"/>
  <c r="I31" i="11"/>
  <c r="J30" i="11"/>
  <c r="I28" i="11"/>
  <c r="I27" i="11"/>
  <c r="J26" i="11"/>
  <c r="J31" i="11"/>
  <c r="J27" i="11"/>
  <c r="J17" i="11"/>
  <c r="I17" i="11"/>
  <c r="K32" i="11" l="1"/>
  <c r="K33" i="11"/>
  <c r="K28" i="11"/>
  <c r="K26" i="11"/>
  <c r="K27" i="11"/>
  <c r="K30" i="11"/>
  <c r="K29" i="11"/>
  <c r="K31" i="11"/>
  <c r="K17" i="11"/>
  <c r="K13" i="60" l="1"/>
  <c r="G6" i="11" l="1"/>
  <c r="G36" i="11"/>
  <c r="G37" i="11"/>
  <c r="D36" i="11"/>
  <c r="H36" i="11" s="1"/>
  <c r="E36" i="11"/>
  <c r="D37" i="11"/>
  <c r="J37" i="11" s="1"/>
  <c r="E37" i="11"/>
  <c r="F115" i="11"/>
  <c r="F114" i="11"/>
  <c r="F113" i="11"/>
  <c r="F112" i="11"/>
  <c r="F111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10" i="11"/>
  <c r="G111" i="11"/>
  <c r="G112" i="11"/>
  <c r="G113" i="11"/>
  <c r="G114" i="11"/>
  <c r="G115" i="11"/>
  <c r="G116" i="11"/>
  <c r="G117" i="11"/>
  <c r="G118" i="11"/>
  <c r="D95" i="11"/>
  <c r="E95" i="11"/>
  <c r="D96" i="11"/>
  <c r="E96" i="11"/>
  <c r="D97" i="11"/>
  <c r="J97" i="11" s="1"/>
  <c r="E97" i="11"/>
  <c r="D98" i="11"/>
  <c r="E98" i="11"/>
  <c r="D99" i="11"/>
  <c r="E99" i="11"/>
  <c r="D100" i="11"/>
  <c r="I100" i="11" s="1"/>
  <c r="E100" i="11"/>
  <c r="D101" i="11"/>
  <c r="H101" i="11" s="1"/>
  <c r="E101" i="11"/>
  <c r="D102" i="11"/>
  <c r="H102" i="11" s="1"/>
  <c r="E102" i="11"/>
  <c r="D103" i="11"/>
  <c r="J103" i="11" s="1"/>
  <c r="E103" i="11"/>
  <c r="D104" i="11"/>
  <c r="E104" i="11"/>
  <c r="D105" i="11"/>
  <c r="H105" i="11" s="1"/>
  <c r="E105" i="11"/>
  <c r="D106" i="11"/>
  <c r="H106" i="11" s="1"/>
  <c r="E106" i="11"/>
  <c r="D107" i="11"/>
  <c r="J107" i="11" s="1"/>
  <c r="E107" i="11"/>
  <c r="D108" i="11"/>
  <c r="E108" i="11"/>
  <c r="D110" i="11"/>
  <c r="H110" i="11" s="1"/>
  <c r="E110" i="11"/>
  <c r="D111" i="11"/>
  <c r="H111" i="11" s="1"/>
  <c r="E111" i="11"/>
  <c r="D112" i="11"/>
  <c r="J112" i="11" s="1"/>
  <c r="E112" i="11"/>
  <c r="D113" i="11"/>
  <c r="E113" i="11"/>
  <c r="D114" i="11"/>
  <c r="H114" i="11" s="1"/>
  <c r="E114" i="11"/>
  <c r="D115" i="11"/>
  <c r="H115" i="11" s="1"/>
  <c r="E115" i="11"/>
  <c r="D116" i="11"/>
  <c r="J116" i="11" s="1"/>
  <c r="E116" i="11"/>
  <c r="D61" i="11"/>
  <c r="E61" i="11"/>
  <c r="D62" i="11"/>
  <c r="E62" i="11"/>
  <c r="G62" i="11"/>
  <c r="D117" i="11"/>
  <c r="I117" i="11" s="1"/>
  <c r="E117" i="11"/>
  <c r="D118" i="11"/>
  <c r="H118" i="11" s="1"/>
  <c r="E118" i="11"/>
  <c r="D119" i="11"/>
  <c r="I119" i="11" s="1"/>
  <c r="E119" i="11"/>
  <c r="G119" i="11"/>
  <c r="D34" i="11"/>
  <c r="J34" i="11" s="1"/>
  <c r="E34" i="11"/>
  <c r="G34" i="11"/>
  <c r="D35" i="11"/>
  <c r="E35" i="11"/>
  <c r="G35" i="11"/>
  <c r="D16" i="11"/>
  <c r="H16" i="11" s="1"/>
  <c r="E16" i="11"/>
  <c r="G16" i="11"/>
  <c r="H95" i="11" l="1"/>
  <c r="I95" i="11"/>
  <c r="J95" i="11"/>
  <c r="I61" i="11"/>
  <c r="J61" i="11"/>
  <c r="H61" i="11"/>
  <c r="I37" i="11"/>
  <c r="H37" i="11"/>
  <c r="J36" i="11"/>
  <c r="I113" i="11"/>
  <c r="I108" i="11"/>
  <c r="I104" i="11"/>
  <c r="I36" i="11"/>
  <c r="H96" i="11"/>
  <c r="H99" i="11"/>
  <c r="I98" i="11"/>
  <c r="J115" i="11"/>
  <c r="I107" i="11"/>
  <c r="H100" i="11"/>
  <c r="I112" i="11"/>
  <c r="H104" i="11"/>
  <c r="J102" i="11"/>
  <c r="I97" i="11"/>
  <c r="I116" i="11"/>
  <c r="H108" i="11"/>
  <c r="J106" i="11"/>
  <c r="H113" i="11"/>
  <c r="J111" i="11"/>
  <c r="I103" i="11"/>
  <c r="H98" i="11"/>
  <c r="J96" i="11"/>
  <c r="H117" i="11"/>
  <c r="J118" i="11"/>
  <c r="H116" i="11"/>
  <c r="I115" i="11"/>
  <c r="J114" i="11"/>
  <c r="H112" i="11"/>
  <c r="I111" i="11"/>
  <c r="J110" i="11"/>
  <c r="H107" i="11"/>
  <c r="I106" i="11"/>
  <c r="J105" i="11"/>
  <c r="H103" i="11"/>
  <c r="I102" i="11"/>
  <c r="J101" i="11"/>
  <c r="J99" i="11"/>
  <c r="H97" i="11"/>
  <c r="I96" i="11"/>
  <c r="I118" i="11"/>
  <c r="J117" i="11"/>
  <c r="I114" i="11"/>
  <c r="J113" i="11"/>
  <c r="I110" i="11"/>
  <c r="J108" i="11"/>
  <c r="I105" i="11"/>
  <c r="J104" i="11"/>
  <c r="I101" i="11"/>
  <c r="J100" i="11"/>
  <c r="I99" i="11"/>
  <c r="J98" i="11"/>
  <c r="J119" i="11"/>
  <c r="H62" i="11"/>
  <c r="I62" i="11"/>
  <c r="J62" i="11"/>
  <c r="H119" i="11"/>
  <c r="I34" i="11"/>
  <c r="J35" i="11"/>
  <c r="H34" i="11"/>
  <c r="I35" i="11"/>
  <c r="H35" i="11"/>
  <c r="J16" i="11"/>
  <c r="I16" i="11"/>
  <c r="K37" i="11" l="1"/>
  <c r="K95" i="11"/>
  <c r="K61" i="11"/>
  <c r="K100" i="11"/>
  <c r="K114" i="11"/>
  <c r="K36" i="11"/>
  <c r="K111" i="11"/>
  <c r="K116" i="11"/>
  <c r="K104" i="11"/>
  <c r="K112" i="11"/>
  <c r="K99" i="11"/>
  <c r="K110" i="11"/>
  <c r="K108" i="11"/>
  <c r="K103" i="11"/>
  <c r="K115" i="11"/>
  <c r="K101" i="11"/>
  <c r="K118" i="11"/>
  <c r="K98" i="11"/>
  <c r="K106" i="11"/>
  <c r="K105" i="11"/>
  <c r="K102" i="11"/>
  <c r="K107" i="11"/>
  <c r="K119" i="11"/>
  <c r="K96" i="11"/>
  <c r="K113" i="11"/>
  <c r="K97" i="11"/>
  <c r="K117" i="11"/>
  <c r="K62" i="11"/>
  <c r="K34" i="11"/>
  <c r="K35" i="11"/>
  <c r="K16" i="11"/>
  <c r="D21" i="59" l="1"/>
  <c r="K6" i="60"/>
  <c r="D15" i="11" l="1"/>
  <c r="H15" i="11" s="1"/>
  <c r="E15" i="11"/>
  <c r="G15" i="11"/>
  <c r="J15" i="11" l="1"/>
  <c r="I15" i="11"/>
  <c r="K15" i="11" l="1"/>
  <c r="D14" i="11" l="1"/>
  <c r="J14" i="11" s="1"/>
  <c r="J120" i="11" s="1"/>
  <c r="E14" i="11"/>
  <c r="G14" i="11"/>
  <c r="K19" i="60"/>
  <c r="D19" i="60"/>
  <c r="H14" i="11" l="1"/>
  <c r="H120" i="11" s="1"/>
  <c r="I14" i="11"/>
  <c r="I120" i="11" s="1"/>
  <c r="K120" i="11" l="1"/>
  <c r="K14" i="1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A22" i="11" l="1"/>
  <c r="D5" i="60" l="1"/>
  <c r="K5" i="60" s="1"/>
  <c r="F3" i="54" l="1"/>
  <c r="D8" i="59" l="1"/>
  <c r="C8" i="54" l="1"/>
  <c r="D9" i="59"/>
  <c r="K7" i="54" s="1"/>
  <c r="H8" i="54" l="1"/>
  <c r="I8" i="54"/>
  <c r="H7" i="54"/>
  <c r="I7" i="54"/>
  <c r="A15" i="11" l="1"/>
  <c r="D120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120" i="11"/>
  <c r="D121" i="11"/>
  <c r="H121" i="11" s="1"/>
  <c r="E121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L90" i="10" s="1"/>
  <c r="N90" i="10" s="1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L31" i="10" s="1"/>
  <c r="N31" i="10" s="1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N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P184" i="10" s="1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N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N698" i="10" s="1"/>
  <c r="K698" i="10"/>
  <c r="M698" i="10" s="1"/>
  <c r="O698" i="10"/>
  <c r="P698" i="10" s="1"/>
  <c r="J699" i="10"/>
  <c r="L699" i="10" s="1"/>
  <c r="K699" i="10"/>
  <c r="M699" i="10" s="1"/>
  <c r="N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N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N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N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N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N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N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N855" i="10" s="1"/>
  <c r="O855" i="10"/>
  <c r="P855" i="10"/>
  <c r="J856" i="10"/>
  <c r="L856" i="10" s="1"/>
  <c r="K856" i="10"/>
  <c r="M856" i="10" s="1"/>
  <c r="N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N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N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N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N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N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N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N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N893" i="10" s="1"/>
  <c r="K893" i="10"/>
  <c r="M893" i="10" s="1"/>
  <c r="O893" i="10"/>
  <c r="P893" i="10" s="1"/>
  <c r="J894" i="10"/>
  <c r="L894" i="10" s="1"/>
  <c r="K894" i="10"/>
  <c r="M894" i="10" s="1"/>
  <c r="N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N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N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N905" i="10" s="1"/>
  <c r="K905" i="10"/>
  <c r="M905" i="10" s="1"/>
  <c r="O905" i="10"/>
  <c r="P905" i="10" s="1"/>
  <c r="J906" i="10"/>
  <c r="L906" i="10" s="1"/>
  <c r="K906" i="10"/>
  <c r="M906" i="10" s="1"/>
  <c r="N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 s="1"/>
  <c r="N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N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N940" i="10" s="1"/>
  <c r="K940" i="10"/>
  <c r="M940" i="10" s="1"/>
  <c r="O940" i="10"/>
  <c r="P940" i="10" s="1"/>
  <c r="J941" i="10"/>
  <c r="L941" i="10" s="1"/>
  <c r="K941" i="10"/>
  <c r="M941" i="10" s="1"/>
  <c r="N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N945" i="10" s="1"/>
  <c r="K945" i="10"/>
  <c r="M945" i="10" s="1"/>
  <c r="O945" i="10"/>
  <c r="P945" i="10" s="1"/>
  <c r="J946" i="10"/>
  <c r="L946" i="10" s="1"/>
  <c r="K946" i="10"/>
  <c r="M946" i="10" s="1"/>
  <c r="N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N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N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N962" i="10" s="1"/>
  <c r="K962" i="10"/>
  <c r="M962" i="10" s="1"/>
  <c r="O962" i="10"/>
  <c r="P962" i="10" s="1"/>
  <c r="J963" i="10"/>
  <c r="L963" i="10" s="1"/>
  <c r="K963" i="10"/>
  <c r="M963" i="10" s="1"/>
  <c r="N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N966" i="10" s="1"/>
  <c r="K966" i="10"/>
  <c r="M966" i="10" s="1"/>
  <c r="O966" i="10"/>
  <c r="P966" i="10" s="1"/>
  <c r="J967" i="10"/>
  <c r="L967" i="10" s="1"/>
  <c r="K967" i="10"/>
  <c r="M967" i="10" s="1"/>
  <c r="N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N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N974" i="10" s="1"/>
  <c r="K974" i="10"/>
  <c r="M974" i="10" s="1"/>
  <c r="O974" i="10"/>
  <c r="P974" i="10" s="1"/>
  <c r="J975" i="10"/>
  <c r="L975" i="10" s="1"/>
  <c r="K975" i="10"/>
  <c r="M975" i="10" s="1"/>
  <c r="N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N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N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N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N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N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N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N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N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N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N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N1112" i="10" s="1"/>
  <c r="K1112" i="10"/>
  <c r="M1112" i="10" s="1"/>
  <c r="O1112" i="10"/>
  <c r="P1112" i="10" s="1"/>
  <c r="J1113" i="10"/>
  <c r="L1113" i="10" s="1"/>
  <c r="K1113" i="10"/>
  <c r="M1113" i="10" s="1"/>
  <c r="N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N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N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N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N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N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N1210" i="10" s="1"/>
  <c r="K1210" i="10"/>
  <c r="M1210" i="10" s="1"/>
  <c r="O1210" i="10"/>
  <c r="P1210" i="10" s="1"/>
  <c r="J1211" i="10"/>
  <c r="L1211" i="10" s="1"/>
  <c r="K1211" i="10"/>
  <c r="M1211" i="10" s="1"/>
  <c r="N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N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N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 s="1"/>
  <c r="N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N1245" i="10" s="1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N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N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739" i="10"/>
  <c r="N874" i="10"/>
  <c r="N857" i="10"/>
  <c r="N1070" i="10"/>
  <c r="N700" i="10"/>
  <c r="N775" i="10"/>
  <c r="N889" i="10"/>
  <c r="N983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815" i="10"/>
  <c r="N664" i="10"/>
  <c r="N986" i="10"/>
  <c r="N922" i="10"/>
  <c r="N921" i="10"/>
  <c r="N908" i="10"/>
  <c r="N892" i="10"/>
  <c r="N884" i="10"/>
  <c r="N763" i="10"/>
  <c r="N645" i="10"/>
  <c r="N993" i="10"/>
  <c r="N964" i="10"/>
  <c r="N1040" i="10"/>
  <c r="N1085" i="10"/>
  <c r="N1053" i="10"/>
  <c r="N1045" i="10"/>
  <c r="N989" i="10"/>
  <c r="N977" i="10"/>
  <c r="N937" i="10"/>
  <c r="N845" i="10"/>
  <c r="N813" i="10"/>
  <c r="N925" i="10"/>
  <c r="N909" i="10"/>
  <c r="N896" i="10"/>
  <c r="N840" i="10"/>
  <c r="N712" i="10"/>
  <c r="N701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K14" i="29" s="1"/>
  <c r="I14" i="29"/>
  <c r="H14" i="29"/>
  <c r="G14" i="29"/>
  <c r="G15" i="29"/>
  <c r="C2" i="29"/>
  <c r="N1464" i="10"/>
  <c r="N1463" i="10"/>
  <c r="G121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128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N1454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36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223" i="10"/>
  <c r="N1129" i="10"/>
  <c r="N1128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31" i="10"/>
  <c r="L228" i="10" l="1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C294" i="29" s="1"/>
  <c r="D294" i="29" s="1"/>
  <c r="E294" i="29" s="1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120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313" i="29"/>
  <c r="D313" i="29" s="1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121" i="11"/>
  <c r="I121" i="11"/>
  <c r="C246" i="29" l="1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67" i="29"/>
  <c r="E247" i="29"/>
  <c r="F302" i="29"/>
  <c r="F284" i="29"/>
  <c r="F266" i="29"/>
  <c r="E245" i="29"/>
  <c r="F289" i="29"/>
  <c r="E299" i="29"/>
  <c r="E268" i="29"/>
  <c r="E273" i="29"/>
  <c r="E236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121" i="11"/>
  <c r="K123" i="11" s="1"/>
  <c r="F278" i="29" l="1"/>
  <c r="E227" i="29"/>
  <c r="F246" i="29"/>
  <c r="F244" i="29"/>
  <c r="F287" i="29"/>
  <c r="E309" i="29"/>
  <c r="F292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123" i="11"/>
  <c r="H124" i="11" s="1"/>
  <c r="I123" i="11"/>
  <c r="I124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88" i="29" l="1"/>
  <c r="F293" i="29"/>
  <c r="F294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125" i="11"/>
  <c r="I125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K124" i="1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123" i="11"/>
  <c r="J124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/>
  <c r="J16" i="29"/>
  <c r="G16" i="29" l="1"/>
  <c r="H16" i="29" s="1"/>
  <c r="K16" i="29" s="1"/>
  <c r="B16" i="29"/>
  <c r="E16" i="29" s="1"/>
  <c r="K125" i="11"/>
  <c r="B126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125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F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851" i="41" s="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F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F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778" i="41" l="1"/>
  <c r="F783" i="41"/>
  <c r="F784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S7" i="54"/>
  <c r="Q8" i="54"/>
  <c r="N14" i="54" l="1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<sst xmlns="http://schemas.openxmlformats.org/spreadsheetml/2006/main" count="4792" uniqueCount="1647">
  <si>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</si>
  <si>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</si>
  <si>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</si>
  <si>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</si>
  <si>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</si>
  <si>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</si>
  <si>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</si>
  <si>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</si>
  <si>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</si>
  <si>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</si>
  <si>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</si>
  <si>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</si>
  <si>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</si>
  <si>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</si>
  <si>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</si>
  <si>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</si>
  <si>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</si>
  <si>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</si>
  <si>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</si>
  <si>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</si>
  <si>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</si>
  <si>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</si>
  <si>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</si>
  <si>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</si>
  <si>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</si>
  <si>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</si>
  <si>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</si>
  <si>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</si>
  <si>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</si>
  <si>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</si>
  <si>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</si>
  <si>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</si>
  <si>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</si>
  <si>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</si>
  <si>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</si>
  <si>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</si>
  <si>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</si>
  <si>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</si>
  <si>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</si>
  <si>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</si>
  <si>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</si>
  <si>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</si>
  <si>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</si>
  <si>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</si>
  <si>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</si>
  <si>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</si>
  <si>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</si>
  <si>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</si>
  <si>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</si>
  <si>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</si>
  <si>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</si>
  <si>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</si>
  <si>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</si>
  <si>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</si>
  <si>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</si>
  <si>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</si>
  <si>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</si>
  <si>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</si>
  <si>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</si>
  <si>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</si>
  <si>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</si>
  <si>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</si>
  <si>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</si>
  <si>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</si>
  <si>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</si>
  <si>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</si>
  <si>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</si>
  <si>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</si>
  <si>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</si>
  <si>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</si>
  <si>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</si>
  <si>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</si>
  <si>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</si>
  <si>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</si>
  <si>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</si>
  <si>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</si>
  <si>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</si>
  <si>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</si>
  <si>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</si>
  <si>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</si>
  <si>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</si>
  <si>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</si>
  <si>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</si>
  <si>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</si>
  <si>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</si>
  <si>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</si>
  <si>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</si>
  <si>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</si>
  <si>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</si>
  <si>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</si>
  <si>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</si>
  <si>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</si>
  <si>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</si>
  <si>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</si>
  <si>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</si>
  <si>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</si>
  <si>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</si>
  <si>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</si>
  <si>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</si>
  <si>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</si>
  <si>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</si>
  <si>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</si>
  <si>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</si>
  <si>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</si>
  <si>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</si>
  <si>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</si>
  <si>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</si>
  <si>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</si>
  <si>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</si>
  <si>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</si>
  <si>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</si>
  <si>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</si>
  <si>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</si>
  <si>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</si>
  <si>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</si>
  <si>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</si>
  <si>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</si>
  <si>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</si>
  <si>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</si>
  <si>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</si>
  <si>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</si>
  <si>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</si>
  <si>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</si>
  <si>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</si>
  <si>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</si>
  <si>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</si>
  <si>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</si>
  <si>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</si>
  <si>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</si>
  <si>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</si>
  <si>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</si>
  <si>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</si>
  <si>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</si>
  <si>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</si>
  <si>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</si>
  <si>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</si>
  <si>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</si>
  <si>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</si>
  <si>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</si>
  <si>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</si>
  <si>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</si>
  <si>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</si>
  <si>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</si>
  <si>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</si>
  <si>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</si>
  <si>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</si>
  <si>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</si>
  <si>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</si>
  <si>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</si>
  <si>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</si>
  <si>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</si>
  <si>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</si>
  <si>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</si>
  <si>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</si>
  <si>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</si>
  <si>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</si>
  <si>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</si>
  <si>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</si>
  <si>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</si>
  <si>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</si>
  <si>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</si>
  <si>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</si>
  <si>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</si>
  <si>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</si>
  <si>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</si>
  <si>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</si>
  <si>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</si>
  <si>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</si>
  <si>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</si>
  <si>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</si>
  <si>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</si>
  <si>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</si>
  <si>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</si>
  <si>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</si>
  <si>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</si>
  <si>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</si>
  <si>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</si>
  <si>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</si>
  <si>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</si>
  <si>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</si>
  <si>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</si>
  <si>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</si>
  <si>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</si>
  <si>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</si>
  <si>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</si>
  <si>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</si>
  <si>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</si>
  <si>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</si>
  <si>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</si>
  <si>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</si>
  <si>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</si>
  <si>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</si>
  <si>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</si>
  <si>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</si>
  <si>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</si>
  <si>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</si>
  <si>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</si>
  <si>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</si>
  <si>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</si>
  <si>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</si>
  <si>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</si>
  <si>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</si>
  <si>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</si>
  <si>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</si>
  <si>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</si>
  <si>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</si>
  <si>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</si>
  <si>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</si>
  <si>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</si>
  <si>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</si>
  <si>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</si>
  <si>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</si>
  <si>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</si>
  <si>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</si>
  <si>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</si>
  <si>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</si>
  <si>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</si>
  <si>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</si>
  <si>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</si>
  <si>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</si>
  <si>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</si>
  <si>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</si>
  <si>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</si>
  <si>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</si>
  <si>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</si>
  <si>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</si>
  <si>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</si>
  <si>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</si>
  <si>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</si>
  <si>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</si>
  <si>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</si>
  <si>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</si>
  <si>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</si>
  <si>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</si>
  <si>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</si>
  <si>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</si>
  <si>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</si>
  <si>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</si>
  <si>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</si>
  <si>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</si>
  <si>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</si>
  <si>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</si>
  <si>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</si>
  <si>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</si>
  <si>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</si>
  <si>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</si>
  <si>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</si>
  <si>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</si>
  <si>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</si>
  <si>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</si>
  <si>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</si>
  <si>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</si>
  <si>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</si>
  <si>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</si>
  <si>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</si>
  <si>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</si>
  <si>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</si>
  <si>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</si>
  <si>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</si>
  <si>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</si>
  <si>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</si>
  <si>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</si>
  <si>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</si>
  <si>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</si>
  <si>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</si>
  <si>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</si>
  <si>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</si>
  <si>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</si>
  <si>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</si>
  <si>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</si>
  <si>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</si>
  <si>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</si>
  <si>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</si>
  <si>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</si>
  <si>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</si>
  <si>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</si>
  <si>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</si>
  <si>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</si>
  <si>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</si>
  <si>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</si>
  <si>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</si>
  <si>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</si>
  <si>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</si>
  <si>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</si>
  <si>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</si>
  <si>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</si>
  <si>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</si>
  <si>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</si>
  <si>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</si>
  <si>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</si>
  <si>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</si>
  <si>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</si>
  <si>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</si>
  <si>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</si>
  <si>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</si>
  <si>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</si>
  <si>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</si>
  <si>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</si>
  <si>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</si>
  <si>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</si>
  <si>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</si>
  <si>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</si>
  <si>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</si>
  <si>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</si>
  <si>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</si>
  <si>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</si>
  <si>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</si>
  <si>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</si>
  <si>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</si>
  <si>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</si>
  <si>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</si>
  <si>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</si>
  <si>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</si>
  <si>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</si>
  <si>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</si>
  <si>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</si>
  <si>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</si>
  <si>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</si>
  <si>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</si>
  <si>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</si>
  <si>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</si>
  <si>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</si>
  <si>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</si>
  <si>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</si>
  <si>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</si>
  <si>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</si>
  <si>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</si>
  <si>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</si>
  <si>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</si>
  <si>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</si>
  <si>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</si>
  <si>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</si>
  <si>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</si>
  <si>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</si>
  <si>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</si>
  <si>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</si>
  <si>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</si>
  <si>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</si>
  <si>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</si>
  <si>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</si>
  <si>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</si>
  <si>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</si>
  <si>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</si>
  <si>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</si>
  <si>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</si>
  <si>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</si>
  <si>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</si>
  <si>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</si>
  <si>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</si>
  <si>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</si>
  <si>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</si>
  <si>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</si>
  <si>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</si>
  <si>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</si>
  <si>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</si>
  <si>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</si>
  <si>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</si>
  <si>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</si>
  <si>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</si>
  <si>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</si>
  <si>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</si>
  <si>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</si>
  <si>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</si>
  <si>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</si>
  <si>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</si>
  <si>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</si>
  <si>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</si>
  <si>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</si>
  <si>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</si>
  <si>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</si>
  <si>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</si>
  <si>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</si>
  <si>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</si>
  <si>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</si>
  <si>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</si>
  <si>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</si>
  <si>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</si>
  <si>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</si>
  <si>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</si>
  <si>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</si>
  <si>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</si>
  <si>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</si>
  <si>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</si>
  <si>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</si>
  <si>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</si>
  <si>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</si>
  <si>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</si>
  <si>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</si>
  <si>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</si>
  <si>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</si>
  <si>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</si>
  <si>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</si>
  <si>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</si>
  <si>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</si>
  <si>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</si>
  <si>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</si>
  <si>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</si>
  <si>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</si>
  <si>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</si>
  <si>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</si>
  <si>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</si>
  <si>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</si>
  <si>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</si>
  <si>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</si>
  <si>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</si>
  <si>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</si>
  <si>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</si>
  <si>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</si>
  <si>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</si>
  <si>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</si>
  <si>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</si>
  <si>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</si>
  <si>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</si>
  <si>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</si>
  <si>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</si>
  <si>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</si>
  <si>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</si>
  <si>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</si>
  <si>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</si>
  <si>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</si>
  <si>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</si>
  <si>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</si>
  <si>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</si>
  <si>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</si>
  <si>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</si>
  <si>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</si>
  <si>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</si>
  <si>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</si>
  <si>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</si>
  <si>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</si>
  <si>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</si>
  <si>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</si>
  <si>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</si>
  <si>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</si>
  <si>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</si>
  <si>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</si>
  <si>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</si>
  <si>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</si>
  <si>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</si>
  <si>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</si>
  <si>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</si>
  <si>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</si>
  <si>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</si>
  <si>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</si>
  <si>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</si>
  <si>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</si>
  <si>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</si>
  <si>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</si>
  <si>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</si>
  <si>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</si>
  <si>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</si>
  <si>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</si>
  <si>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</si>
  <si>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</si>
  <si>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</si>
  <si>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</si>
  <si>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</si>
  <si>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</si>
  <si>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</si>
  <si>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</si>
  <si>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</si>
  <si>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</si>
  <si>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</si>
  <si>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</si>
  <si>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</si>
  <si>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</si>
  <si>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</si>
  <si>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</si>
  <si>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</si>
  <si>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</si>
  <si>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</si>
  <si>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</si>
  <si>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</si>
  <si>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</si>
  <si>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</si>
  <si>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</si>
  <si>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</si>
  <si>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</si>
  <si>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</si>
  <si>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</si>
  <si>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</si>
  <si>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</si>
  <si>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</si>
  <si>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</si>
  <si>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</si>
  <si>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</si>
  <si>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</si>
  <si>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</si>
  <si>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</si>
  <si>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</si>
  <si>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</si>
  <si>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</si>
  <si>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</si>
  <si>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</si>
  <si>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</si>
  <si>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</si>
  <si>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</si>
  <si>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</si>
  <si>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</si>
  <si>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</si>
  <si>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</si>
  <si>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</si>
  <si>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</si>
  <si>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</si>
  <si>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</si>
  <si>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</si>
  <si>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</si>
  <si>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</si>
  <si>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</si>
  <si>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</si>
  <si>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</si>
  <si>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</si>
  <si>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</si>
  <si>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</si>
  <si>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</si>
  <si>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</si>
  <si>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</si>
  <si>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</si>
  <si>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</si>
  <si>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</si>
  <si>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</si>
  <si>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</si>
  <si>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</si>
  <si>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</si>
  <si>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</si>
  <si>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</si>
  <si>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</si>
  <si>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</si>
  <si>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</si>
  <si>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</si>
  <si>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</si>
  <si>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</si>
  <si>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</si>
  <si>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</si>
  <si>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</si>
  <si>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</si>
  <si>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</si>
  <si>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</si>
  <si>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</si>
  <si>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</si>
  <si>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</si>
  <si>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</si>
  <si>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</si>
  <si>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</si>
  <si>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</si>
  <si>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</si>
  <si>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</si>
  <si>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</si>
  <si>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</si>
  <si>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</si>
  <si>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</si>
  <si>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</si>
  <si>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</si>
  <si>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</si>
  <si>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</si>
  <si>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</si>
  <si>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</si>
  <si>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</si>
  <si>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</si>
  <si>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</si>
  <si>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</si>
  <si>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</si>
  <si>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</si>
  <si>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</si>
  <si>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</si>
  <si>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</si>
  <si>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</si>
  <si>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</si>
  <si>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</si>
  <si>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</si>
  <si>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</si>
  <si>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</si>
  <si>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</si>
  <si>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</si>
  <si>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</si>
  <si>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</si>
  <si>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</si>
  <si>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</si>
  <si>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</si>
  <si>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</si>
  <si>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</si>
  <si>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</si>
  <si>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</si>
  <si>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</si>
  <si>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</si>
  <si>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</si>
  <si>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</si>
  <si>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</si>
  <si>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</si>
  <si>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</si>
  <si>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</si>
  <si>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</si>
  <si>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</si>
  <si>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</si>
  <si>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</si>
  <si>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</si>
  <si>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</si>
  <si>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</si>
  <si>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</si>
  <si>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</si>
  <si>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</si>
  <si>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</si>
  <si>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</si>
  <si>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</si>
  <si>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</si>
  <si>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</si>
  <si>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</si>
  <si>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</si>
  <si>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</si>
  <si>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</si>
  <si>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</si>
  <si>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</si>
  <si>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</si>
  <si>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</si>
  <si>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</si>
  <si>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</si>
  <si>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</si>
  <si>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</si>
  <si>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</si>
  <si>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</si>
  <si>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</si>
  <si>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</si>
  <si>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</si>
  <si>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</si>
  <si>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</si>
  <si>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</si>
  <si>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</si>
  <si>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</si>
  <si>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</si>
  <si>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</si>
  <si>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</si>
  <si>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</si>
  <si>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</si>
  <si>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</si>
  <si>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</si>
  <si>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</si>
  <si>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</si>
  <si>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</si>
  <si>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</si>
  <si>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</si>
  <si>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</si>
  <si>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</si>
  <si>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</si>
  <si>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</si>
  <si>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</si>
  <si>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</si>
  <si>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</si>
  <si>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</si>
  <si>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</si>
  <si>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</si>
  <si>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</si>
  <si>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</si>
  <si>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</si>
  <si>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</si>
  <si>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</si>
  <si>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</si>
  <si>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</si>
  <si>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</si>
  <si>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</si>
  <si>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</si>
  <si>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</si>
  <si>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</si>
  <si>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</si>
  <si>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</si>
  <si>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</si>
  <si>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</si>
  <si>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</si>
  <si>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</si>
  <si>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</si>
  <si>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</si>
  <si>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</si>
  <si>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</si>
  <si>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</si>
  <si>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</si>
  <si>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</si>
  <si>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</si>
  <si>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</si>
  <si>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</si>
  <si>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</si>
  <si>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</si>
  <si>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</si>
  <si>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</si>
  <si>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</si>
  <si>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</si>
  <si>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</si>
  <si>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</si>
  <si>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</si>
  <si>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</si>
  <si>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</si>
  <si>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</si>
  <si>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</si>
  <si>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</si>
  <si>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</si>
  <si>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</si>
  <si>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</si>
  <si>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</si>
  <si>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</si>
  <si>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</si>
  <si>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</si>
  <si>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</si>
  <si>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</si>
  <si>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</si>
  <si>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</si>
  <si>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</si>
  <si>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</si>
  <si>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</si>
  <si>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</si>
  <si>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</si>
  <si>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</si>
  <si>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</si>
  <si>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</si>
  <si>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</si>
  <si>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</si>
  <si>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</si>
  <si>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</si>
  <si>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</si>
  <si>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</si>
  <si>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</si>
  <si>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</si>
  <si>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</si>
  <si>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</si>
  <si>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</si>
  <si>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</si>
  <si>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</si>
  <si>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</si>
  <si>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</si>
  <si>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</si>
  <si>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</si>
  <si>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</si>
  <si>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</si>
  <si>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</si>
  <si>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</si>
  <si>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</si>
  <si>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</si>
  <si>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</si>
  <si>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</si>
  <si>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</si>
  <si>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</si>
  <si>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</si>
  <si>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</si>
  <si>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</si>
  <si>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</si>
  <si>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</si>
  <si>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</si>
  <si>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</si>
  <si>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</si>
  <si>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</si>
  <si>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</si>
  <si>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</si>
  <si>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</si>
  <si>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</si>
  <si>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</si>
  <si>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</si>
  <si>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</si>
  <si>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</si>
  <si>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</si>
  <si>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</si>
  <si>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</si>
  <si>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</si>
  <si>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</si>
  <si>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</si>
  <si>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</si>
  <si>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</si>
  <si>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</si>
  <si>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</si>
  <si>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</si>
  <si>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</si>
  <si>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</si>
  <si>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</si>
  <si>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</si>
  <si>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</si>
  <si>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</si>
  <si>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</si>
  <si>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</si>
  <si>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</si>
  <si>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</si>
  <si>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</si>
  <si>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</si>
  <si>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</si>
  <si>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</si>
  <si>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</si>
  <si>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</si>
  <si>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</si>
  <si>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</si>
  <si>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</si>
  <si>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</si>
  <si>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</si>
  <si>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</si>
  <si>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</si>
  <si>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</si>
  <si>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</si>
  <si>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</si>
  <si>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</si>
  <si>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</si>
  <si>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</si>
  <si>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</si>
  <si>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</si>
  <si>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</si>
  <si>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</si>
  <si>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</si>
  <si>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</si>
  <si>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</si>
  <si>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</si>
  <si>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</si>
  <si>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</si>
  <si>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</si>
  <si>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</si>
  <si>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</si>
  <si>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</si>
  <si>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</si>
  <si>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</si>
  <si>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</si>
  <si>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</si>
  <si>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</si>
  <si>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</si>
  <si>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</si>
  <si>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</si>
  <si>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</si>
  <si>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</si>
  <si>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</si>
  <si>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</si>
  <si>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</si>
  <si>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</si>
  <si>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</si>
  <si>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</si>
  <si>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</si>
  <si>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</si>
  <si>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</si>
  <si>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</si>
  <si>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</si>
  <si>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</si>
  <si>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</si>
  <si>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</si>
  <si>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</si>
  <si>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</si>
  <si>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</si>
  <si>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</si>
  <si>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</si>
  <si>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</si>
  <si>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</si>
  <si>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</si>
  <si>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</si>
  <si>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</si>
  <si>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</si>
  <si>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</si>
  <si>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</si>
  <si>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</si>
  <si>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</si>
  <si>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</si>
  <si>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</si>
  <si>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</si>
  <si>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</si>
  <si>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</si>
  <si>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</si>
  <si>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</si>
  <si>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</si>
  <si>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</si>
  <si>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</si>
  <si>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</si>
  <si>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</si>
  <si>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</si>
  <si>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</si>
  <si>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</si>
  <si>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</si>
  <si>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</si>
  <si>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</si>
  <si>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</si>
  <si>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</si>
  <si>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</si>
  <si>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</si>
  <si>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</si>
  <si>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</si>
  <si>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</si>
  <si>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</si>
  <si>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</si>
  <si>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</si>
  <si>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</si>
  <si>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</si>
  <si>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</si>
  <si>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</si>
  <si>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</si>
  <si>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</si>
  <si>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</si>
  <si>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</si>
  <si>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</si>
  <si>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</si>
  <si>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</si>
  <si>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</si>
  <si>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</si>
  <si>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</si>
  <si>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</si>
  <si>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</si>
  <si>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</si>
  <si>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</si>
  <si>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</si>
  <si>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</si>
  <si>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</si>
  <si>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</si>
  <si>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</si>
  <si>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</si>
  <si>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</si>
  <si>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</si>
  <si>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</si>
  <si>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</si>
  <si>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</si>
  <si>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</si>
  <si>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</si>
  <si>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</si>
  <si>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</si>
  <si>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</si>
  <si>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</si>
  <si>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</si>
  <si>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</si>
  <si>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</si>
  <si>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</si>
  <si>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</si>
  <si>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</si>
  <si>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</si>
  <si>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</si>
  <si>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</si>
  <si>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</si>
  <si>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</si>
  <si>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</si>
  <si>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</si>
  <si>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</si>
  <si>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</si>
  <si>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</si>
  <si>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</si>
  <si>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</si>
  <si>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</si>
  <si>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</si>
  <si>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</si>
  <si>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</si>
  <si>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</si>
  <si>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</si>
  <si>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</si>
  <si>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</si>
  <si>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</si>
  <si>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</si>
  <si>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</si>
  <si>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</si>
  <si>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</si>
  <si>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</si>
  <si>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</si>
  <si>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</si>
  <si>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</si>
  <si>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</si>
  <si>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</si>
  <si>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</si>
  <si>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</si>
  <si>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</si>
  <si>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</si>
  <si>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</si>
  <si>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</si>
  <si>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</si>
  <si>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</si>
  <si>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</si>
  <si>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</si>
  <si>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</si>
  <si>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</si>
  <si>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</si>
  <si>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</si>
  <si>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</si>
  <si>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</si>
  <si>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</si>
  <si>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</si>
  <si>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</si>
  <si>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</si>
  <si>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</si>
  <si>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</si>
  <si>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</si>
  <si>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</si>
  <si>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</si>
  <si>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</si>
  <si>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</si>
  <si>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</si>
  <si>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</si>
  <si>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</si>
  <si>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</si>
  <si>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</si>
  <si>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</si>
  <si>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</si>
  <si>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</si>
  <si>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</si>
  <si>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</si>
  <si>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</si>
  <si>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</si>
  <si>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</si>
  <si>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</si>
  <si>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</si>
  <si>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</si>
  <si>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</si>
  <si>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</si>
  <si>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</si>
  <si>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</si>
  <si>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</si>
  <si>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</si>
  <si>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</si>
  <si>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</si>
  <si>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</si>
  <si>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</si>
  <si>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</si>
  <si>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</si>
  <si>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</si>
  <si>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</si>
  <si>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</si>
  <si>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</si>
  <si>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</si>
  <si>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</si>
  <si>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</si>
  <si>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</si>
  <si>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</si>
  <si>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</si>
  <si>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</si>
  <si>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</si>
  <si>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</si>
  <si>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</si>
  <si>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</si>
  <si>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</si>
  <si>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</si>
  <si>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</si>
  <si>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</si>
  <si>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</si>
  <si>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</si>
  <si>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</si>
  <si>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</si>
  <si>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</si>
  <si>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</si>
  <si>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</si>
  <si>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</si>
  <si>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</si>
  <si>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</si>
  <si>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</si>
  <si>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</si>
  <si>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</si>
  <si>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</si>
  <si>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</si>
  <si>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</si>
  <si>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</si>
  <si>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</si>
  <si>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</si>
  <si>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</si>
  <si>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</si>
  <si>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</si>
  <si>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</si>
  <si>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</si>
  <si>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</si>
  <si>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</si>
  <si>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</si>
  <si>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</si>
  <si>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</si>
  <si>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</si>
  <si>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</si>
  <si>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</si>
  <si>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</si>
  <si>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</si>
  <si>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</si>
  <si>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</si>
  <si>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</si>
  <si>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</si>
  <si>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</si>
  <si>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</si>
  <si>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</si>
  <si>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</si>
  <si>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</si>
  <si>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</si>
  <si>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</si>
  <si>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</si>
  <si>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</si>
  <si>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</si>
  <si>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</si>
  <si>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</si>
  <si>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</si>
  <si>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</si>
  <si>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</si>
  <si>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</si>
  <si>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</si>
  <si>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</si>
  <si>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</si>
  <si>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</si>
  <si>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</si>
  <si>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</si>
  <si>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</si>
  <si>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</si>
  <si>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</si>
  <si>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</si>
  <si>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</si>
  <si>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</si>
  <si>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</si>
  <si>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</si>
  <si>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</si>
  <si>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</si>
  <si>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</si>
  <si>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</si>
  <si>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</si>
  <si>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</si>
  <si>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</si>
  <si>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</si>
  <si>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</si>
  <si>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</si>
  <si>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</si>
  <si>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</si>
  <si>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</si>
  <si>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</si>
  <si>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</si>
  <si>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</si>
  <si>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</si>
  <si>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</si>
  <si>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</si>
  <si>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</si>
  <si>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</si>
  <si>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</si>
  <si>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</si>
  <si>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</si>
  <si>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</si>
  <si>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</si>
  <si>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</si>
  <si>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</si>
  <si>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</si>
  <si>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</si>
  <si>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</si>
  <si>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</si>
  <si>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</si>
  <si>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</si>
  <si>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</si>
  <si>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</si>
  <si>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</si>
  <si>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</si>
  <si>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</si>
  <si>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</si>
  <si>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</si>
  <si>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</si>
  <si>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</si>
  <si>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</si>
  <si>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</si>
  <si>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</si>
  <si>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</si>
  <si>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</si>
  <si>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</si>
  <si>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</si>
  <si>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</si>
  <si>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</si>
  <si>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</si>
  <si>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</si>
  <si>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</si>
  <si>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</si>
  <si>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</si>
  <si>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</si>
  <si>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</si>
  <si>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</si>
  <si>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</si>
  <si>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</si>
  <si>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</si>
  <si>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</si>
  <si>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</si>
  <si>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</si>
  <si>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</si>
  <si>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</si>
  <si>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</si>
  <si>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</si>
  <si>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</si>
  <si>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</si>
  <si>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</si>
  <si>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</si>
  <si>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</si>
  <si>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</si>
  <si>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</si>
  <si>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</si>
  <si>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</si>
  <si>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</si>
  <si>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</si>
  <si>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</si>
  <si>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</si>
  <si>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</si>
  <si>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</si>
  <si>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</si>
  <si>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</si>
  <si>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</si>
  <si>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</si>
  <si>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</si>
  <si>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</si>
  <si>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</si>
  <si>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</si>
  <si>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</si>
  <si>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</si>
  <si>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</si>
  <si>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</si>
  <si>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</si>
  <si>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</si>
  <si>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</si>
  <si>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</si>
  <si>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</si>
  <si>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</si>
  <si>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</si>
  <si>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</si>
  <si>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</si>
  <si>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</si>
  <si>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</si>
  <si>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</si>
  <si>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</si>
  <si>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</si>
  <si>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</si>
  <si>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</si>
  <si>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</si>
  <si>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</si>
  <si>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</si>
  <si>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</si>
  <si>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</si>
  <si>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</si>
  <si>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</si>
  <si>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</si>
  <si>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</si>
  <si>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</si>
  <si>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</si>
  <si>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</si>
  <si>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</si>
  <si>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</si>
  <si>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</si>
  <si>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</si>
  <si>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</si>
  <si>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</si>
  <si>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</si>
  <si>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</si>
  <si>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</si>
  <si>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</si>
  <si>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</si>
  <si>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</si>
  <si>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</si>
  <si>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</si>
  <si>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</si>
  <si>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</si>
  <si>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</si>
  <si>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</si>
  <si>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</si>
  <si>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</si>
  <si>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</si>
  <si>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</si>
  <si>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</si>
  <si>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</si>
  <si>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</si>
  <si>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</si>
  <si>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</si>
  <si>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</si>
  <si>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</si>
  <si>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</si>
  <si>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</si>
  <si>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</si>
  <si>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</si>
  <si>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</si>
  <si>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</si>
  <si>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</si>
  <si>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</si>
  <si>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</si>
  <si>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</si>
  <si>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</si>
  <si>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</si>
  <si>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</si>
  <si>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</si>
  <si>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</si>
  <si>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</si>
  <si>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</si>
  <si>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</si>
  <si>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</si>
  <si>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</si>
  <si>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</si>
  <si>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</si>
  <si>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</si>
  <si>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</si>
  <si>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</si>
  <si>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</si>
  <si>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</si>
  <si>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</si>
  <si>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</si>
  <si>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</si>
  <si>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</si>
  <si>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</si>
  <si>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</si>
  <si>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</si>
  <si>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</si>
  <si>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</si>
  <si>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</si>
  <si>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</si>
  <si>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</si>
  <si>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</si>
  <si>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</si>
  <si>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</si>
  <si>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</si>
  <si>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</si>
  <si>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</si>
  <si>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</si>
  <si>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</si>
  <si>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</si>
  <si>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</si>
  <si>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</si>
  <si>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</si>
  <si>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</si>
  <si>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</si>
  <si>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</si>
  <si>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</si>
  <si>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</si>
  <si>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</si>
  <si>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</si>
  <si>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</si>
  <si>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</si>
  <si>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</si>
  <si>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</si>
  <si>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</si>
  <si>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</si>
  <si>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</si>
  <si>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</si>
  <si>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</si>
  <si>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</si>
  <si>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</si>
  <si>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</si>
  <si>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</si>
  <si>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</si>
  <si>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</si>
  <si>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</si>
  <si>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</si>
  <si>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</si>
  <si>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</si>
  <si>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</si>
  <si>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</si>
  <si>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</si>
  <si>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</si>
  <si>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</si>
  <si>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</si>
  <si>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</si>
  <si>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</si>
  <si>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</si>
  <si>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</si>
  <si>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</si>
  <si>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</si>
  <si>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</si>
  <si>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</si>
  <si>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</si>
  <si>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</si>
  <si>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</si>
  <si>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</si>
  <si>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</si>
  <si>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</si>
  <si>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</si>
  <si>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</si>
  <si>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</si>
  <si>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</si>
  <si>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</si>
  <si>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</si>
  <si>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</si>
  <si>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</si>
  <si>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</si>
  <si>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</si>
  <si>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</si>
  <si>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</si>
  <si>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</si>
  <si>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</si>
  <si>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</si>
  <si>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</si>
  <si>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</si>
  <si>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</si>
  <si>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</si>
  <si>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</si>
  <si>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</si>
  <si>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</si>
  <si>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</si>
  <si>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</si>
  <si>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</si>
  <si>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</si>
  <si>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</si>
  <si>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</si>
  <si>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</si>
  <si>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</si>
  <si>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</si>
  <si>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</si>
  <si>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</si>
  <si>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</si>
  <si>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</si>
  <si>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</si>
  <si>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</si>
  <si>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</si>
  <si>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</si>
  <si>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</si>
  <si>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</si>
  <si>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</si>
  <si>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</si>
  <si>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</si>
  <si>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</si>
  <si>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</si>
  <si>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</si>
  <si>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</si>
  <si>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</si>
  <si>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</si>
  <si>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</si>
  <si>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</si>
  <si>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</si>
  <si>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</si>
  <si>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</si>
  <si>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</si>
  <si>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</si>
  <si>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</si>
  <si>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</si>
  <si>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</si>
  <si>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</si>
  <si>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</si>
  <si>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</si>
  <si>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</si>
  <si>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</si>
  <si>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</si>
  <si>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</si>
  <si>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</si>
  <si>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</si>
  <si>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</si>
  <si>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</si>
  <si>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</si>
  <si>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</si>
  <si>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</si>
  <si>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</si>
  <si>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</si>
  <si>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</si>
  <si>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</si>
  <si>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</si>
  <si>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</si>
  <si>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</si>
  <si>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</si>
  <si>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</si>
  <si>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</si>
  <si>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</si>
  <si>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</si>
  <si>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</si>
  <si>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</si>
  <si>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</si>
  <si>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</si>
  <si>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</si>
  <si>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</si>
  <si>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</si>
  <si>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</si>
  <si>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</si>
  <si>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</si>
  <si>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</si>
  <si>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</si>
  <si>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</si>
  <si>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</si>
  <si>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</si>
  <si>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</si>
  <si>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</si>
  <si>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</si>
  <si>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</si>
  <si>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</si>
  <si>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</si>
  <si>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</si>
  <si>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</si>
  <si>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</si>
  <si>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</si>
  <si>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</si>
  <si>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</si>
  <si>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</si>
  <si>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PEKERJAAN PEMASANGAN TIANG</t>
  </si>
  <si>
    <t>II</t>
  </si>
  <si>
    <t>PEMASANGAN APP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</si>
  <si>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</si>
  <si>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</si>
  <si>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</si>
  <si>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</si>
  <si>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</si>
  <si>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</si>
  <si>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</si>
  <si>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</si>
  <si>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</si>
  <si>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</si>
  <si>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</si>
  <si>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</si>
  <si>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</si>
  <si>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</si>
  <si>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</si>
  <si>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</si>
  <si>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</si>
  <si>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</si>
  <si>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</si>
  <si>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</si>
  <si>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</si>
  <si>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</si>
  <si>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</si>
  <si>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</si>
  <si>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</si>
  <si>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</si>
  <si>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</si>
  <si>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</si>
  <si>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</si>
  <si>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</si>
  <si>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</si>
  <si>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</si>
  <si>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</si>
  <si>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</si>
  <si>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</si>
  <si>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</si>
  <si>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</si>
  <si>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</si>
  <si>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</si>
  <si>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</si>
  <si>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</si>
  <si>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</si>
  <si>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</si>
  <si>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</si>
  <si>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</si>
  <si>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</si>
  <si>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</si>
  <si>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</si>
  <si>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</si>
  <si>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</si>
  <si>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</si>
  <si>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</si>
  <si>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</si>
  <si>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</si>
  <si>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</si>
  <si>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</si>
  <si>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</si>
  <si>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</si>
  <si>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</si>
  <si>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</si>
  <si>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</si>
  <si>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</si>
  <si>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</si>
  <si>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</si>
  <si>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</si>
  <si>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</si>
  <si>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</si>
  <si>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</si>
  <si>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</si>
  <si>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</si>
  <si>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</si>
  <si>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</si>
  <si>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</si>
  <si>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</si>
  <si>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</si>
  <si>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</si>
  <si>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</si>
  <si>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</si>
  <si>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</si>
  <si>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</si>
  <si>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</si>
  <si>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</si>
  <si>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</si>
  <si>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</si>
  <si>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</si>
  <si>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</si>
  <si>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</si>
  <si>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</si>
  <si>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</si>
  <si>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</si>
  <si>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</si>
  <si>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III</t>
  </si>
  <si>
    <t>IV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</si>
  <si>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</si>
  <si>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</si>
  <si>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</si>
  <si>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</si>
  <si>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</si>
  <si>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</si>
  <si>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</si>
  <si>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</si>
  <si>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</si>
  <si>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</si>
  <si>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</si>
  <si>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</si>
  <si>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</si>
  <si>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</si>
  <si>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</si>
  <si>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</si>
  <si>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</si>
  <si>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</si>
  <si>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</si>
  <si>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</si>
  <si>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</si>
  <si>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</si>
  <si>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</si>
  <si>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</si>
  <si>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</si>
  <si>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</si>
  <si>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</si>
  <si>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</si>
  <si>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</si>
  <si>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</si>
  <si>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</si>
  <si>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</si>
  <si>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</si>
  <si>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</si>
  <si>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</si>
  <si>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</si>
  <si>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</si>
  <si>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</si>
  <si>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</si>
  <si>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</si>
  <si>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</si>
  <si>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</si>
  <si>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</si>
  <si>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</si>
  <si>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</si>
  <si>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</si>
  <si>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</si>
  <si>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</si>
  <si>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</si>
  <si>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</si>
  <si>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</si>
  <si>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</si>
  <si>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</si>
  <si>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</si>
  <si>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</si>
  <si>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</si>
  <si>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</si>
  <si>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</si>
  <si>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</si>
  <si>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</si>
  <si>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</si>
  <si>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UPAH LAIN-LAIN</t>
  </si>
  <si>
    <t>Staff Teknik</t>
  </si>
  <si>
    <t>TL. Teknik</t>
  </si>
  <si>
    <t>MULP</t>
  </si>
  <si>
    <t>PEMASANGAN TRAFO</t>
  </si>
  <si>
    <t>CONDUKTOR</t>
  </si>
  <si>
    <t>CM2-11</t>
  </si>
  <si>
    <t>SCHOOR</t>
  </si>
  <si>
    <t>CE1-3</t>
  </si>
  <si>
    <t>F1-3</t>
  </si>
  <si>
    <t>CM2-12A</t>
  </si>
  <si>
    <t>PEMBANGUNAN JARINGAN TR</t>
  </si>
  <si>
    <t>Pemasangan APP 3 Fasa Di Bangunan</t>
  </si>
  <si>
    <t>CJ6-T</t>
  </si>
  <si>
    <t>K3-169/19/56/68/4</t>
  </si>
  <si>
    <t>KDS 16</t>
  </si>
  <si>
    <t>C12-200</t>
  </si>
  <si>
    <t>CM2-11M</t>
  </si>
  <si>
    <t>PEMBANGUNAN JARINGAN TM</t>
  </si>
  <si>
    <t xml:space="preserve">Jumper Wire : </t>
  </si>
  <si>
    <t>NFA2X-T 3 x 70 + N 50 mm²</t>
  </si>
  <si>
    <t>Sepatu Kabel AL/CU Ring-70 mm²</t>
  </si>
  <si>
    <t>Stainless Steel Strap 20 X 0.7 mm</t>
  </si>
  <si>
    <t>CG312-A</t>
  </si>
  <si>
    <t>CM2-12</t>
  </si>
  <si>
    <t>C9-200</t>
  </si>
  <si>
    <t>Trafo 3 Fasa 50 KVA 1 Tiang (G312-A)</t>
  </si>
  <si>
    <t>Daya 13.200 VA</t>
  </si>
  <si>
    <t>CANKRING REMBANG, DEMAK</t>
  </si>
  <si>
    <t>KOORDINAT : -6.861254, 110.776325</t>
  </si>
  <si>
    <t>PERCETAKAN HAMDAN</t>
  </si>
  <si>
    <t>Demak, 15 Agustus 2023</t>
  </si>
  <si>
    <t>MANAGER ULP</t>
  </si>
  <si>
    <t>ACHMAD SUHENDRO</t>
  </si>
  <si>
    <t>B2T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</si>
</sst>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1" fillId="0" borderId="0">
      <alignment horizontal="centerContinuous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63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4" fontId="35" fillId="0" borderId="0" applyFill="0" applyBorder="0" applyAlignment="0"/>
    <xf numFmtId="174" fontId="21" fillId="0" borderId="0" applyFill="0" applyBorder="0" applyAlignment="0"/>
    <xf numFmtId="175" fontId="35" fillId="0" borderId="0" applyFill="0" applyBorder="0" applyAlignment="0"/>
    <xf numFmtId="175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7" fontId="10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16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1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1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8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6" fillId="0" borderId="0" applyFont="0" applyFill="0" applyBorder="0" applyAlignment="0" applyProtection="0"/>
    <xf numFmtId="185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64" fillId="0" borderId="0"/>
    <xf numFmtId="0" fontId="64" fillId="0" borderId="0"/>
    <xf numFmtId="186" fontId="35" fillId="0" borderId="3"/>
    <xf numFmtId="186" fontId="21" fillId="0" borderId="3"/>
    <xf numFmtId="164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71" fillId="0" borderId="0">
      <protection locked="0"/>
    </xf>
    <xf numFmtId="14" fontId="63" fillId="0" borderId="0" applyFill="0" applyBorder="0" applyAlignment="0"/>
    <xf numFmtId="189" fontId="72" fillId="0" borderId="0">
      <protection locked="0"/>
    </xf>
    <xf numFmtId="0" fontId="73" fillId="0" borderId="0"/>
    <xf numFmtId="0" fontId="73" fillId="0" borderId="4"/>
    <xf numFmtId="0" fontId="73" fillId="0" borderId="4"/>
    <xf numFmtId="0" fontId="73" fillId="0" borderId="4"/>
    <xf numFmtId="0" fontId="73" fillId="0" borderId="4"/>
    <xf numFmtId="0" fontId="74" fillId="22" borderId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5" fillId="0" borderId="0" applyNumberFormat="0" applyAlignment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190" fontId="71" fillId="0" borderId="0">
      <protection locked="0"/>
    </xf>
    <xf numFmtId="0" fontId="78" fillId="0" borderId="5"/>
    <xf numFmtId="0" fontId="78" fillId="0" borderId="5"/>
    <xf numFmtId="0" fontId="78" fillId="0" borderId="5"/>
    <xf numFmtId="0" fontId="78" fillId="0" borderId="5"/>
    <xf numFmtId="0" fontId="78" fillId="0" borderId="4"/>
    <xf numFmtId="0" fontId="78" fillId="0" borderId="4"/>
    <xf numFmtId="0" fontId="78" fillId="23" borderId="4"/>
    <xf numFmtId="0" fontId="78" fillId="23" borderId="4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79" fillId="0" borderId="0" applyNumberFormat="0"/>
    <xf numFmtId="38" fontId="40" fillId="24" borderId="0" applyNumberFormat="0" applyBorder="0" applyAlignment="0" applyProtection="0"/>
    <xf numFmtId="0" fontId="80" fillId="0" borderId="6" applyNumberFormat="0" applyAlignment="0" applyProtection="0">
      <alignment horizontal="left" vertical="center"/>
    </xf>
    <xf numFmtId="0" fontId="80" fillId="0" borderId="7">
      <alignment horizontal="left" vertical="center"/>
    </xf>
    <xf numFmtId="0" fontId="80" fillId="0" borderId="7">
      <alignment horizontal="left" vertical="center"/>
    </xf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1" fontId="76" fillId="0" borderId="0">
      <protection locked="0"/>
    </xf>
    <xf numFmtId="191" fontId="76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10" fontId="40" fillId="25" borderId="3" applyNumberFormat="0" applyBorder="0" applyAlignment="0" applyProtection="0"/>
    <xf numFmtId="10" fontId="40" fillId="25" borderId="3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192" fontId="35" fillId="0" borderId="0" applyFont="0" applyFill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37" fontId="81" fillId="0" borderId="0"/>
    <xf numFmtId="193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21" fillId="0" borderId="0"/>
    <xf numFmtId="193" fontId="35" fillId="0" borderId="0"/>
    <xf numFmtId="172" fontId="82" fillId="0" borderId="0"/>
    <xf numFmtId="172" fontId="83" fillId="0" borderId="0"/>
    <xf numFmtId="172" fontId="83" fillId="0" borderId="0"/>
    <xf numFmtId="0" fontId="65" fillId="0" borderId="0"/>
    <xf numFmtId="0" fontId="111" fillId="0" borderId="0"/>
    <xf numFmtId="0" fontId="35" fillId="0" borderId="0"/>
    <xf numFmtId="0" fontId="21" fillId="0" borderId="0"/>
    <xf numFmtId="0" fontId="68" fillId="0" borderId="0"/>
    <xf numFmtId="0" fontId="35" fillId="0" borderId="0"/>
    <xf numFmtId="12" fontId="35" fillId="0" borderId="0"/>
    <xf numFmtId="12" fontId="2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4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68" fillId="0" borderId="0"/>
    <xf numFmtId="0" fontId="35" fillId="0" borderId="0"/>
    <xf numFmtId="0" fontId="11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6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22" fillId="0" borderId="0"/>
    <xf numFmtId="0" fontId="22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63" fillId="0" borderId="0">
      <alignment vertical="top"/>
    </xf>
    <xf numFmtId="0" fontId="22" fillId="0" borderId="0"/>
    <xf numFmtId="194" fontId="42" fillId="0" borderId="0"/>
    <xf numFmtId="0" fontId="111" fillId="0" borderId="0"/>
    <xf numFmtId="0" fontId="1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 applyNumberFormat="0" applyFont="0" applyFill="0" applyAlignment="0" applyProtection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 applyNumberFormat="0" applyFont="0" applyFill="0" applyAlignment="0" applyProtection="0"/>
    <xf numFmtId="0" fontId="83" fillId="0" borderId="0"/>
    <xf numFmtId="0" fontId="83" fillId="0" borderId="0"/>
    <xf numFmtId="0" fontId="21" fillId="0" borderId="0" applyNumberFormat="0" applyFont="0" applyFill="0" applyAlignment="0" applyProtection="0"/>
    <xf numFmtId="0" fontId="35" fillId="0" borderId="0"/>
    <xf numFmtId="0" fontId="111" fillId="0" borderId="0"/>
    <xf numFmtId="182" fontId="83" fillId="0" borderId="0"/>
    <xf numFmtId="0" fontId="83" fillId="0" borderId="0"/>
    <xf numFmtId="195" fontId="83" fillId="0" borderId="0"/>
    <xf numFmtId="196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5" fontId="83" fillId="0" borderId="0"/>
    <xf numFmtId="0" fontId="83" fillId="0" borderId="0"/>
    <xf numFmtId="0" fontId="35" fillId="0" borderId="0"/>
    <xf numFmtId="0" fontId="21" fillId="0" borderId="0"/>
    <xf numFmtId="182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 applyNumberFormat="0" applyFont="0" applyFill="0" applyAlignment="0" applyProtection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198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7" fontId="83" fillId="0" borderId="0"/>
    <xf numFmtId="199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2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194" fontId="42" fillId="0" borderId="0"/>
    <xf numFmtId="0" fontId="21" fillId="0" borderId="0"/>
    <xf numFmtId="0" fontId="21" fillId="0" borderId="0" applyProtection="0"/>
    <xf numFmtId="0" fontId="111" fillId="0" borderId="0"/>
    <xf numFmtId="0" fontId="111" fillId="0" borderId="0"/>
    <xf numFmtId="0" fontId="111" fillId="0" borderId="0"/>
    <xf numFmtId="0" fontId="21" fillId="0" borderId="0"/>
    <xf numFmtId="0" fontId="21" fillId="0" borderId="0" applyProtection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4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35" fillId="0" borderId="0"/>
    <xf numFmtId="0" fontId="21" fillId="0" borderId="0"/>
    <xf numFmtId="0" fontId="11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113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2" fillId="0" borderId="0"/>
    <xf numFmtId="0" fontId="112" fillId="0" borderId="0"/>
    <xf numFmtId="0" fontId="6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21" fillId="0" borderId="0"/>
    <xf numFmtId="194" fontId="42" fillId="0" borderId="0"/>
    <xf numFmtId="194" fontId="42" fillId="0" borderId="0"/>
    <xf numFmtId="0" fontId="1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176" fontId="35" fillId="0" borderId="0" applyFont="0" applyFill="0" applyBorder="0" applyAlignment="0" applyProtection="0"/>
    <xf numFmtId="176" fontId="21" fillId="0" borderId="0" applyFont="0" applyFill="0" applyBorder="0" applyAlignment="0" applyProtection="0"/>
    <xf numFmtId="200" fontId="35" fillId="0" borderId="0" applyFont="0" applyFill="0" applyBorder="0" applyAlignment="0" applyProtection="0"/>
    <xf numFmtId="200" fontId="21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3" fillId="0" borderId="0"/>
    <xf numFmtId="201" fontId="86" fillId="0" borderId="0" applyNumberFormat="0" applyFill="0" applyBorder="0" applyAlignment="0" applyProtection="0">
      <alignment horizontal="left"/>
    </xf>
    <xf numFmtId="0" fontId="87" fillId="0" borderId="14"/>
    <xf numFmtId="0" fontId="87" fillId="0" borderId="14"/>
    <xf numFmtId="0" fontId="88" fillId="0" borderId="15"/>
    <xf numFmtId="0" fontId="88" fillId="0" borderId="15"/>
    <xf numFmtId="40" fontId="89" fillId="0" borderId="0" applyBorder="0">
      <alignment horizontal="right"/>
    </xf>
    <xf numFmtId="49" fontId="63" fillId="0" borderId="0" applyFill="0" applyBorder="0" applyAlignment="0"/>
    <xf numFmtId="202" fontId="35" fillId="0" borderId="0" applyFill="0" applyBorder="0" applyAlignment="0"/>
    <xf numFmtId="202" fontId="21" fillId="0" borderId="0" applyFill="0" applyBorder="0" applyAlignment="0"/>
    <xf numFmtId="203" fontId="35" fillId="0" borderId="0" applyFill="0" applyBorder="0" applyAlignment="0"/>
    <xf numFmtId="203" fontId="21" fillId="0" borderId="0" applyFill="0" applyBorder="0" applyAlignment="0"/>
    <xf numFmtId="204" fontId="90" fillId="0" borderId="16" applyFont="0" applyBorder="0" applyAlignment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/>
    <xf numFmtId="0" fontId="9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8" fillId="0" borderId="0"/>
    <xf numFmtId="41" fontId="21" fillId="0" borderId="0" applyFont="0" applyFill="0" applyBorder="0" applyAlignment="0" applyProtection="0"/>
    <xf numFmtId="9" fontId="162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21" fillId="0" borderId="0"/>
    <xf numFmtId="0" fontId="176" fillId="0" borderId="0" applyNumberFormat="0" applyFill="0" applyBorder="0" applyAlignment="0" applyProtection="0"/>
  </cellStyleXfs>
  <cellXfs count="713">
    <xf numFmtId="0" fontId="0" fillId="0" borderId="0" xfId="0"/>
    <xf numFmtId="0" fontId="44" fillId="0" borderId="0" xfId="1448" applyFont="1" applyAlignment="1">
      <alignment horizontal="center" wrapText="1"/>
    </xf>
    <xf numFmtId="0" fontId="43" fillId="0" borderId="0" xfId="1448" applyFont="1" applyAlignment="1">
      <alignment horizontal="left" vertical="center" wrapText="1"/>
    </xf>
    <xf numFmtId="0" fontId="53" fillId="0" borderId="0" xfId="1448" applyFont="1" applyAlignment="1">
      <alignment horizontal="center" wrapText="1"/>
    </xf>
    <xf numFmtId="3" fontId="44" fillId="0" borderId="0" xfId="1448" applyNumberFormat="1" applyFont="1" applyAlignment="1">
      <alignment horizontal="center" vertical="center" wrapText="1"/>
    </xf>
    <xf numFmtId="0" fontId="53" fillId="0" borderId="0" xfId="1448" applyFont="1" applyAlignment="1">
      <alignment wrapText="1"/>
    </xf>
    <xf numFmtId="0" fontId="54" fillId="0" borderId="0" xfId="1448" applyFont="1" applyAlignment="1">
      <alignment wrapText="1"/>
    </xf>
    <xf numFmtId="0" fontId="43" fillId="0" borderId="0" xfId="1448" applyFont="1" applyAlignment="1">
      <alignment horizontal="center" wrapText="1"/>
    </xf>
    <xf numFmtId="0" fontId="43" fillId="0" borderId="0" xfId="1448" applyFont="1" applyAlignment="1">
      <alignment horizontal="center" vertical="center" wrapText="1"/>
    </xf>
    <xf numFmtId="3" fontId="43" fillId="0" borderId="0" xfId="1448" applyNumberFormat="1" applyFont="1" applyAlignment="1">
      <alignment horizontal="center" vertical="center" wrapText="1"/>
    </xf>
    <xf numFmtId="0" fontId="43" fillId="0" borderId="18" xfId="1448" applyFont="1" applyBorder="1" applyAlignment="1">
      <alignment horizontal="center" vertical="center" wrapText="1"/>
    </xf>
    <xf numFmtId="0" fontId="44" fillId="0" borderId="0" xfId="1448" applyFont="1" applyAlignment="1">
      <alignment horizontal="center" vertical="center" wrapText="1"/>
    </xf>
    <xf numFmtId="0" fontId="53" fillId="0" borderId="0" xfId="1448" applyFont="1" applyAlignment="1">
      <alignment horizontal="center" vertical="center" wrapText="1"/>
    </xf>
    <xf numFmtId="0" fontId="56" fillId="0" borderId="18" xfId="1448" applyFont="1" applyBorder="1" applyAlignment="1">
      <alignment horizontal="center" wrapText="1"/>
    </xf>
    <xf numFmtId="0" fontId="57" fillId="0" borderId="0" xfId="1448" applyFont="1" applyAlignment="1">
      <alignment wrapText="1"/>
    </xf>
    <xf numFmtId="0" fontId="44" fillId="0" borderId="18" xfId="1448" applyFont="1" applyBorder="1" applyAlignment="1">
      <alignment horizontal="center" vertical="center" wrapText="1"/>
    </xf>
    <xf numFmtId="165" fontId="44" fillId="0" borderId="0" xfId="527" applyNumberFormat="1" applyFont="1" applyFill="1" applyBorder="1" applyAlignment="1">
      <alignment horizontal="center" wrapText="1"/>
    </xf>
    <xf numFmtId="0" fontId="44" fillId="0" borderId="18" xfId="1448" quotePrefix="1" applyFont="1" applyBorder="1" applyAlignment="1">
      <alignment horizontal="center" vertical="center" wrapText="1"/>
    </xf>
    <xf numFmtId="18" fontId="44" fillId="0" borderId="18" xfId="1448" quotePrefix="1" applyNumberFormat="1" applyFont="1" applyBorder="1" applyAlignment="1">
      <alignment horizontal="center" vertical="center" wrapText="1"/>
    </xf>
    <xf numFmtId="0" fontId="53" fillId="0" borderId="0" xfId="1448" applyFont="1" applyAlignment="1">
      <alignment vertical="top" wrapText="1"/>
    </xf>
    <xf numFmtId="165" fontId="44" fillId="0" borderId="18" xfId="1448" applyNumberFormat="1" applyFont="1" applyBorder="1" applyAlignment="1">
      <alignment horizontal="center" vertical="center" wrapText="1"/>
    </xf>
    <xf numFmtId="17" fontId="44" fillId="0" borderId="18" xfId="1448" quotePrefix="1" applyNumberFormat="1" applyFont="1" applyBorder="1" applyAlignment="1">
      <alignment horizontal="center" vertical="center" wrapText="1"/>
    </xf>
    <xf numFmtId="165" fontId="44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8" fillId="0" borderId="0" xfId="1614" applyFont="1" applyAlignment="1">
      <alignment horizontal="center" vertical="center"/>
    </xf>
    <xf numFmtId="0" fontId="43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/>
    </xf>
    <xf numFmtId="167" fontId="52" fillId="0" borderId="0" xfId="1652" applyNumberFormat="1" applyFont="1"/>
    <xf numFmtId="0" fontId="111" fillId="0" borderId="19" xfId="1614" applyBorder="1" applyAlignment="1">
      <alignment horizontal="center"/>
    </xf>
    <xf numFmtId="0" fontId="52" fillId="0" borderId="0" xfId="1614" applyFont="1" applyAlignment="1">
      <alignment horizontal="center"/>
    </xf>
    <xf numFmtId="0" fontId="52" fillId="0" borderId="0" xfId="1614" applyFont="1" applyAlignment="1">
      <alignment horizontal="center" vertical="center" wrapText="1"/>
    </xf>
    <xf numFmtId="3" fontId="44" fillId="0" borderId="0" xfId="1614" applyNumberFormat="1" applyFont="1" applyAlignment="1">
      <alignment vertical="center"/>
    </xf>
    <xf numFmtId="0" fontId="20" fillId="0" borderId="0" xfId="1614" applyFont="1" applyAlignment="1">
      <alignment horizontal="center"/>
    </xf>
    <xf numFmtId="0" fontId="44" fillId="0" borderId="20" xfId="1614" applyFont="1" applyBorder="1" applyAlignment="1">
      <alignment horizontal="center" vertical="center"/>
    </xf>
    <xf numFmtId="0" fontId="44" fillId="0" borderId="21" xfId="1614" applyFont="1" applyBorder="1" applyAlignment="1">
      <alignment horizontal="left" vertical="center" wrapText="1"/>
    </xf>
    <xf numFmtId="0" fontId="44" fillId="0" borderId="21" xfId="1614" applyFont="1" applyBorder="1" applyAlignment="1">
      <alignment horizontal="center" vertical="center" wrapText="1"/>
    </xf>
    <xf numFmtId="0" fontId="46" fillId="0" borderId="21" xfId="1614" applyFont="1" applyBorder="1" applyAlignment="1">
      <alignment horizontal="center" vertical="center"/>
    </xf>
    <xf numFmtId="3" fontId="46" fillId="0" borderId="21" xfId="1614" applyNumberFormat="1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4" fillId="0" borderId="22" xfId="1614" applyNumberFormat="1" applyFont="1" applyBorder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3" fontId="61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/>
    </xf>
    <xf numFmtId="0" fontId="49" fillId="0" borderId="23" xfId="1614" applyFont="1" applyBorder="1" applyAlignment="1">
      <alignment horizontal="center" vertical="center"/>
    </xf>
    <xf numFmtId="0" fontId="49" fillId="0" borderId="24" xfId="1614" applyFont="1" applyBorder="1" applyAlignment="1">
      <alignment horizontal="left" vertical="center"/>
    </xf>
    <xf numFmtId="0" fontId="49" fillId="0" borderId="24" xfId="1614" applyFont="1" applyBorder="1" applyAlignment="1">
      <alignment vertical="center"/>
    </xf>
    <xf numFmtId="0" fontId="20" fillId="0" borderId="24" xfId="1614" applyFont="1" applyBorder="1" applyAlignment="1">
      <alignment horizontal="center" vertical="center"/>
    </xf>
    <xf numFmtId="3" fontId="44" fillId="0" borderId="24" xfId="1614" applyNumberFormat="1" applyFont="1" applyBorder="1" applyAlignment="1">
      <alignment horizontal="center" vertical="center"/>
    </xf>
    <xf numFmtId="3" fontId="44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0" fillId="0" borderId="0" xfId="1614" applyNumberFormat="1" applyFont="1" applyAlignment="1">
      <alignment horizontal="center"/>
    </xf>
    <xf numFmtId="37" fontId="62" fillId="0" borderId="0" xfId="1614" applyNumberFormat="1" applyFont="1" applyAlignment="1">
      <alignment horizontal="center"/>
    </xf>
    <xf numFmtId="37" fontId="52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2" fillId="0" borderId="30" xfId="1614" applyNumberFormat="1" applyFont="1" applyBorder="1" applyAlignment="1">
      <alignment horizontal="center"/>
    </xf>
    <xf numFmtId="0" fontId="51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49" fillId="0" borderId="0" xfId="1614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0" fontId="49" fillId="0" borderId="0" xfId="1614" applyFont="1" applyAlignment="1">
      <alignment vertical="center"/>
    </xf>
    <xf numFmtId="0" fontId="20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8" fillId="0" borderId="0" xfId="1614" applyFont="1" applyAlignment="1">
      <alignment vertical="center"/>
    </xf>
    <xf numFmtId="0" fontId="48" fillId="0" borderId="0" xfId="1614" applyFont="1" applyAlignment="1">
      <alignment horizontal="center"/>
    </xf>
    <xf numFmtId="0" fontId="91" fillId="0" borderId="0" xfId="1614" applyFont="1" applyAlignment="1">
      <alignment horizontal="center" vertical="center" wrapText="1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37" fontId="52" fillId="0" borderId="27" xfId="1614" applyNumberFormat="1" applyFont="1" applyBorder="1" applyAlignment="1">
      <alignment horizontal="center"/>
    </xf>
    <xf numFmtId="37" fontId="62" fillId="0" borderId="32" xfId="1614" applyNumberFormat="1" applyFont="1" applyBorder="1" applyAlignment="1">
      <alignment horizontal="center"/>
    </xf>
    <xf numFmtId="0" fontId="20" fillId="0" borderId="21" xfId="1652" applyFont="1" applyBorder="1" applyAlignment="1">
      <alignment horizontal="center" vertical="center"/>
    </xf>
    <xf numFmtId="0" fontId="43" fillId="0" borderId="0" xfId="1448" applyFont="1" applyAlignment="1">
      <alignment horizontal="left" vertical="center"/>
    </xf>
    <xf numFmtId="0" fontId="53" fillId="0" borderId="0" xfId="1448" applyFont="1" applyAlignment="1">
      <alignment horizontal="left" wrapText="1"/>
    </xf>
    <xf numFmtId="3" fontId="60" fillId="0" borderId="0" xfId="1614" applyNumberFormat="1" applyFont="1" applyAlignment="1">
      <alignment horizontal="center"/>
    </xf>
    <xf numFmtId="0" fontId="52" fillId="0" borderId="0" xfId="1614" applyFont="1"/>
    <xf numFmtId="0" fontId="44" fillId="0" borderId="21" xfId="1448" applyFont="1" applyBorder="1" applyAlignment="1">
      <alignment horizontal="center" vertical="center"/>
    </xf>
    <xf numFmtId="0" fontId="44" fillId="0" borderId="21" xfId="1448" applyFont="1" applyBorder="1" applyAlignment="1">
      <alignment horizontal="left" wrapText="1"/>
    </xf>
    <xf numFmtId="0" fontId="53" fillId="0" borderId="21" xfId="1448" applyFont="1" applyBorder="1" applyAlignment="1">
      <alignment horizontal="center" wrapText="1"/>
    </xf>
    <xf numFmtId="0" fontId="44" fillId="0" borderId="21" xfId="1448" applyFont="1" applyBorder="1" applyAlignment="1">
      <alignment horizontal="center" vertical="center" wrapText="1"/>
    </xf>
    <xf numFmtId="3" fontId="44" fillId="0" borderId="21" xfId="1448" applyNumberFormat="1" applyFont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62" fillId="0" borderId="34" xfId="1614" applyFont="1" applyBorder="1" applyAlignment="1">
      <alignment vertical="center"/>
    </xf>
    <xf numFmtId="169" fontId="44" fillId="0" borderId="0" xfId="714" applyFont="1" applyFill="1" applyAlignment="1">
      <alignment horizontal="center" wrapText="1"/>
    </xf>
    <xf numFmtId="169" fontId="43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4" fillId="0" borderId="0" xfId="1448" applyFont="1" applyAlignment="1">
      <alignment vertical="center" wrapText="1"/>
    </xf>
    <xf numFmtId="169" fontId="44" fillId="0" borderId="21" xfId="715" applyNumberFormat="1" applyFont="1" applyFill="1" applyBorder="1" applyAlignment="1">
      <alignment horizontal="center" vertical="center" wrapText="1"/>
    </xf>
    <xf numFmtId="169" fontId="44" fillId="0" borderId="21" xfId="714" applyFont="1" applyFill="1" applyBorder="1" applyAlignment="1">
      <alignment horizontal="center" vertical="center" wrapText="1"/>
    </xf>
    <xf numFmtId="169" fontId="44" fillId="0" borderId="33" xfId="714" applyFont="1" applyFill="1" applyBorder="1" applyAlignment="1">
      <alignment horizontal="center" vertical="center" wrapText="1"/>
    </xf>
    <xf numFmtId="167" fontId="43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8" fillId="0" borderId="20" xfId="1652" applyFont="1" applyBorder="1" applyAlignment="1">
      <alignment horizontal="center" vertical="center"/>
    </xf>
    <xf numFmtId="0" fontId="18" fillId="0" borderId="21" xfId="1652" applyFont="1" applyBorder="1" applyAlignment="1">
      <alignment horizontal="center" vertical="center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3" fontId="43" fillId="0" borderId="0" xfId="1614" applyNumberFormat="1" applyFont="1" applyAlignment="1">
      <alignment horizontal="left" vertical="center"/>
    </xf>
    <xf numFmtId="3" fontId="43" fillId="0" borderId="3" xfId="1448" applyNumberFormat="1" applyFont="1" applyBorder="1" applyAlignment="1">
      <alignment horizontal="center" vertical="center" wrapText="1"/>
    </xf>
    <xf numFmtId="0" fontId="44" fillId="0" borderId="21" xfId="1451" applyFont="1" applyBorder="1" applyAlignment="1">
      <alignment horizontal="left" vertical="center" wrapText="1"/>
    </xf>
    <xf numFmtId="0" fontId="56" fillId="0" borderId="18" xfId="1448" quotePrefix="1" applyFont="1" applyBorder="1" applyAlignment="1">
      <alignment horizontal="center" vertical="center" wrapText="1"/>
    </xf>
    <xf numFmtId="0" fontId="48" fillId="0" borderId="0" xfId="1505" applyFont="1"/>
    <xf numFmtId="0" fontId="60" fillId="0" borderId="0" xfId="1615" applyFont="1" applyAlignment="1">
      <alignment horizontal="center"/>
    </xf>
    <xf numFmtId="0" fontId="48" fillId="0" borderId="0" xfId="1615" applyFont="1" applyAlignment="1">
      <alignment horizontal="center" vertical="center"/>
    </xf>
    <xf numFmtId="0" fontId="43" fillId="0" borderId="0" xfId="1615" applyFont="1" applyAlignment="1">
      <alignment horizontal="left" vertical="center"/>
    </xf>
    <xf numFmtId="0" fontId="43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5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167" fontId="43" fillId="0" borderId="0" xfId="1615" applyNumberFormat="1" applyFont="1" applyAlignment="1">
      <alignment horizontal="left" vertical="center"/>
    </xf>
    <xf numFmtId="167" fontId="52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4" fillId="0" borderId="35" xfId="1615" applyFont="1" applyBorder="1" applyAlignment="1">
      <alignment horizontal="center" vertical="center"/>
    </xf>
    <xf numFmtId="0" fontId="44" fillId="0" borderId="35" xfId="1615" applyFont="1" applyBorder="1" applyAlignment="1">
      <alignment horizontal="left" vertical="center" wrapText="1"/>
    </xf>
    <xf numFmtId="0" fontId="44" fillId="0" borderId="35" xfId="1615" applyFont="1" applyBorder="1" applyAlignment="1">
      <alignment horizontal="center" vertical="center" wrapText="1"/>
    </xf>
    <xf numFmtId="0" fontId="46" fillId="0" borderId="35" xfId="1615" applyFont="1" applyBorder="1" applyAlignment="1">
      <alignment horizontal="center" vertical="center"/>
    </xf>
    <xf numFmtId="0" fontId="13" fillId="0" borderId="35" xfId="1653" applyFont="1" applyBorder="1" applyAlignment="1">
      <alignment horizontal="center" vertical="center"/>
    </xf>
    <xf numFmtId="3" fontId="46" fillId="0" borderId="35" xfId="1615" applyNumberFormat="1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0" fontId="13" fillId="0" borderId="0" xfId="1615" applyFont="1" applyAlignment="1">
      <alignment horizontal="center"/>
    </xf>
    <xf numFmtId="0" fontId="52" fillId="0" borderId="21" xfId="1653" applyFont="1" applyBorder="1" applyAlignment="1">
      <alignment horizontal="center" vertical="center"/>
    </xf>
    <xf numFmtId="0" fontId="52" fillId="0" borderId="21" xfId="1653" applyFont="1" applyBorder="1" applyAlignment="1">
      <alignment vertical="center" wrapText="1"/>
    </xf>
    <xf numFmtId="0" fontId="44" fillId="0" borderId="21" xfId="1615" applyFont="1" applyBorder="1" applyAlignment="1">
      <alignment horizontal="center" vertical="center" wrapText="1"/>
    </xf>
    <xf numFmtId="0" fontId="46" fillId="0" borderId="21" xfId="1615" applyFont="1" applyBorder="1" applyAlignment="1">
      <alignment horizontal="center" vertical="center"/>
    </xf>
    <xf numFmtId="0" fontId="13" fillId="0" borderId="21" xfId="1653" applyFont="1" applyBorder="1" applyAlignment="1">
      <alignment horizontal="center" vertical="center"/>
    </xf>
    <xf numFmtId="3" fontId="46" fillId="0" borderId="21" xfId="1615" applyNumberFormat="1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0" fontId="61" fillId="0" borderId="0" xfId="1615" applyFont="1" applyAlignment="1">
      <alignment horizontal="center"/>
    </xf>
    <xf numFmtId="3" fontId="13" fillId="0" borderId="21" xfId="1653" applyNumberFormat="1" applyFont="1" applyBorder="1" applyAlignment="1">
      <alignment horizontal="center" vertical="center"/>
    </xf>
    <xf numFmtId="0" fontId="48" fillId="0" borderId="0" xfId="1615" applyFont="1" applyAlignment="1">
      <alignment vertical="center"/>
    </xf>
    <xf numFmtId="0" fontId="48" fillId="0" borderId="33" xfId="1615" applyFont="1" applyBorder="1" applyAlignment="1">
      <alignment horizontal="center" vertical="center"/>
    </xf>
    <xf numFmtId="0" fontId="48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5" fillId="0" borderId="33" xfId="1615" applyNumberFormat="1" applyFont="1" applyBorder="1" applyAlignment="1">
      <alignment horizontal="center" vertical="center"/>
    </xf>
    <xf numFmtId="0" fontId="52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0" fillId="0" borderId="0" xfId="1614" applyFont="1" applyAlignment="1">
      <alignment vertical="center"/>
    </xf>
    <xf numFmtId="0" fontId="60" fillId="0" borderId="0" xfId="1614" applyFont="1" applyAlignment="1">
      <alignment horizontal="center" vertical="center"/>
    </xf>
    <xf numFmtId="0" fontId="60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19" fillId="0" borderId="0" xfId="1614" applyFont="1" applyAlignment="1">
      <alignment horizontal="center"/>
    </xf>
    <xf numFmtId="0" fontId="91" fillId="0" borderId="0" xfId="1614" applyFont="1" applyAlignment="1">
      <alignment horizontal="center" vertical="center"/>
    </xf>
    <xf numFmtId="0" fontId="91" fillId="0" borderId="0" xfId="1614" applyFont="1" applyAlignment="1">
      <alignment vertical="center"/>
    </xf>
    <xf numFmtId="207" fontId="44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165" fontId="95" fillId="0" borderId="0" xfId="1448" applyNumberFormat="1" applyFont="1" applyAlignment="1">
      <alignment wrapText="1"/>
    </xf>
    <xf numFmtId="165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9" fontId="44" fillId="0" borderId="21" xfId="717" applyNumberFormat="1" applyFont="1" applyFill="1" applyBorder="1" applyAlignment="1" applyProtection="1">
      <alignment horizontal="center" vertical="center" wrapText="1"/>
    </xf>
    <xf numFmtId="165" fontId="44" fillId="0" borderId="21" xfId="1451" applyNumberFormat="1" applyFont="1" applyBorder="1" applyAlignment="1">
      <alignment horizontal="center" vertical="center" wrapText="1"/>
    </xf>
    <xf numFmtId="169" fontId="56" fillId="0" borderId="21" xfId="717" applyNumberFormat="1" applyFont="1" applyFill="1" applyBorder="1" applyAlignment="1" applyProtection="1">
      <alignment horizontal="center" vertical="center" wrapText="1"/>
    </xf>
    <xf numFmtId="0" fontId="44" fillId="0" borderId="21" xfId="1451" applyFont="1" applyBorder="1" applyAlignment="1">
      <alignment horizontal="center" vertical="center" wrapText="1"/>
    </xf>
    <xf numFmtId="169" fontId="44" fillId="0" borderId="21" xfId="728" applyFont="1" applyFill="1" applyBorder="1" applyAlignment="1" applyProtection="1">
      <alignment horizontal="center" vertical="center" wrapText="1"/>
    </xf>
    <xf numFmtId="3" fontId="44" fillId="0" borderId="21" xfId="1450" applyNumberFormat="1" applyFont="1" applyBorder="1" applyAlignment="1">
      <alignment horizontal="center" vertical="center" wrapText="1"/>
    </xf>
    <xf numFmtId="169" fontId="44" fillId="0" borderId="21" xfId="728" applyFont="1" applyFill="1" applyBorder="1" applyAlignment="1">
      <alignment horizontal="center" vertical="center" wrapText="1"/>
    </xf>
    <xf numFmtId="0" fontId="121" fillId="0" borderId="26" xfId="1451" applyFont="1" applyBorder="1"/>
    <xf numFmtId="0" fontId="121" fillId="0" borderId="36" xfId="1451" applyFont="1" applyBorder="1"/>
    <xf numFmtId="0" fontId="121" fillId="0" borderId="48" xfId="1451" applyFont="1" applyBorder="1"/>
    <xf numFmtId="0" fontId="121" fillId="0" borderId="28" xfId="1451" applyFont="1" applyBorder="1"/>
    <xf numFmtId="0" fontId="121" fillId="0" borderId="37" xfId="1451" applyFont="1" applyBorder="1"/>
    <xf numFmtId="0" fontId="116" fillId="0" borderId="37" xfId="1451" applyFont="1" applyBorder="1" applyAlignment="1">
      <alignment vertical="center"/>
    </xf>
    <xf numFmtId="0" fontId="121" fillId="0" borderId="34" xfId="1451" applyFont="1" applyBorder="1"/>
    <xf numFmtId="0" fontId="121" fillId="0" borderId="19" xfId="1451" applyFont="1" applyBorder="1"/>
    <xf numFmtId="0" fontId="116" fillId="0" borderId="19" xfId="1451" applyFont="1" applyBorder="1" applyAlignment="1">
      <alignment vertical="center"/>
    </xf>
    <xf numFmtId="0" fontId="116" fillId="0" borderId="19" xfId="1451" applyFont="1" applyBorder="1" applyAlignment="1">
      <alignment horizontal="center" vertical="center"/>
    </xf>
    <xf numFmtId="0" fontId="116" fillId="0" borderId="31" xfId="1451" applyFont="1" applyBorder="1" applyAlignment="1">
      <alignment vertical="center"/>
    </xf>
    <xf numFmtId="0" fontId="43" fillId="0" borderId="3" xfId="1448" applyFont="1" applyBorder="1" applyAlignment="1">
      <alignment horizontal="center" vertical="center"/>
    </xf>
    <xf numFmtId="0" fontId="43" fillId="0" borderId="3" xfId="1448" applyFont="1" applyBorder="1" applyAlignment="1">
      <alignment horizontal="left" vertical="center" wrapText="1"/>
    </xf>
    <xf numFmtId="0" fontId="43" fillId="0" borderId="3" xfId="1448" applyFont="1" applyBorder="1" applyAlignment="1">
      <alignment horizontal="center" vertical="center" wrapText="1"/>
    </xf>
    <xf numFmtId="169" fontId="43" fillId="0" borderId="3" xfId="715" applyNumberFormat="1" applyFont="1" applyFill="1" applyBorder="1" applyAlignment="1">
      <alignment horizontal="center" vertical="center" wrapText="1"/>
    </xf>
    <xf numFmtId="3" fontId="130" fillId="32" borderId="3" xfId="1448" applyNumberFormat="1" applyFont="1" applyFill="1" applyBorder="1" applyAlignment="1">
      <alignment horizontal="center" vertical="center" wrapText="1"/>
    </xf>
    <xf numFmtId="0" fontId="44" fillId="0" borderId="21" xfId="1451" applyFont="1" applyBorder="1" applyAlignment="1">
      <alignment horizontal="center" vertical="center"/>
    </xf>
    <xf numFmtId="0" fontId="136" fillId="0" borderId="21" xfId="1451" applyFont="1" applyBorder="1" applyAlignment="1">
      <alignment horizontal="left" vertical="center" wrapText="1"/>
    </xf>
    <xf numFmtId="0" fontId="44" fillId="33" borderId="21" xfId="1451" applyFont="1" applyFill="1" applyBorder="1" applyAlignment="1">
      <alignment horizontal="left" vertical="center" wrapText="1"/>
    </xf>
    <xf numFmtId="0" fontId="44" fillId="0" borderId="21" xfId="1451" applyFont="1" applyBorder="1" applyAlignment="1">
      <alignment horizontal="left" wrapText="1"/>
    </xf>
    <xf numFmtId="0" fontId="44" fillId="0" borderId="21" xfId="1450" applyFont="1" applyBorder="1" applyAlignment="1">
      <alignment horizontal="center" vertical="center"/>
    </xf>
    <xf numFmtId="0" fontId="44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167" fontId="129" fillId="0" borderId="0" xfId="523" applyFont="1" applyFill="1" applyAlignment="1">
      <alignment horizontal="left" wrapText="1"/>
    </xf>
    <xf numFmtId="0" fontId="8" fillId="0" borderId="0" xfId="2673" applyAlignment="1">
      <alignment vertical="center" wrapText="1"/>
    </xf>
    <xf numFmtId="0" fontId="8" fillId="0" borderId="0" xfId="2673" applyAlignment="1">
      <alignment horizontal="center" vertical="center" wrapText="1"/>
    </xf>
    <xf numFmtId="0" fontId="8" fillId="0" borderId="28" xfId="2673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4" fillId="0" borderId="28" xfId="2673" applyFont="1" applyBorder="1" applyAlignment="1">
      <alignment vertical="center" wrapText="1"/>
    </xf>
    <xf numFmtId="0" fontId="10" fillId="0" borderId="21" xfId="1615" applyFont="1" applyBorder="1" applyAlignment="1">
      <alignment horizontal="center" vertical="center"/>
    </xf>
    <xf numFmtId="0" fontId="121" fillId="33" borderId="0" xfId="1451" applyFont="1" applyFill="1"/>
    <xf numFmtId="0" fontId="121" fillId="33" borderId="26" xfId="1451" applyFont="1" applyFill="1" applyBorder="1"/>
    <xf numFmtId="0" fontId="121" fillId="33" borderId="36" xfId="1451" applyFont="1" applyFill="1" applyBorder="1"/>
    <xf numFmtId="0" fontId="121" fillId="33" borderId="48" xfId="1451" applyFont="1" applyFill="1" applyBorder="1"/>
    <xf numFmtId="0" fontId="121" fillId="33" borderId="28" xfId="1451" applyFont="1" applyFill="1" applyBorder="1"/>
    <xf numFmtId="0" fontId="121" fillId="33" borderId="37" xfId="1451" applyFont="1" applyFill="1" applyBorder="1"/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horizontal="center" vertical="center"/>
    </xf>
    <xf numFmtId="0" fontId="125" fillId="33" borderId="0" xfId="1451" applyFont="1" applyFill="1"/>
    <xf numFmtId="0" fontId="126" fillId="33" borderId="0" xfId="1451" applyFont="1" applyFill="1"/>
    <xf numFmtId="0" fontId="116" fillId="33" borderId="0" xfId="1451" applyFont="1" applyFill="1" applyAlignment="1">
      <alignment vertical="center"/>
    </xf>
    <xf numFmtId="0" fontId="116" fillId="33" borderId="37" xfId="1451" applyFont="1" applyFill="1" applyBorder="1" applyAlignment="1">
      <alignment vertical="center"/>
    </xf>
    <xf numFmtId="0" fontId="126" fillId="33" borderId="0" xfId="1451" applyFont="1" applyFill="1" applyAlignment="1">
      <alignment horizontal="center"/>
    </xf>
    <xf numFmtId="0" fontId="116" fillId="33" borderId="0" xfId="1451" applyFont="1" applyFill="1" applyAlignment="1">
      <alignment horizontal="center" vertical="center"/>
    </xf>
    <xf numFmtId="0" fontId="116" fillId="33" borderId="37" xfId="1451" applyFont="1" applyFill="1" applyBorder="1" applyAlignment="1">
      <alignment horizontal="center" vertical="center"/>
    </xf>
    <xf numFmtId="0" fontId="127" fillId="33" borderId="0" xfId="1451" applyFont="1" applyFill="1" applyAlignment="1">
      <alignment vertical="center"/>
    </xf>
    <xf numFmtId="0" fontId="127" fillId="33" borderId="37" xfId="1451" applyFont="1" applyFill="1" applyBorder="1" applyAlignment="1">
      <alignment vertical="center"/>
    </xf>
    <xf numFmtId="0" fontId="121" fillId="33" borderId="34" xfId="1451" applyFont="1" applyFill="1" applyBorder="1"/>
    <xf numFmtId="0" fontId="121" fillId="33" borderId="19" xfId="1451" applyFont="1" applyFill="1" applyBorder="1"/>
    <xf numFmtId="0" fontId="116" fillId="33" borderId="19" xfId="1451" applyFont="1" applyFill="1" applyBorder="1" applyAlignment="1">
      <alignment vertical="center"/>
    </xf>
    <xf numFmtId="0" fontId="116" fillId="33" borderId="19" xfId="1451" applyFont="1" applyFill="1" applyBorder="1" applyAlignment="1">
      <alignment horizontal="center" vertical="center"/>
    </xf>
    <xf numFmtId="0" fontId="116" fillId="33" borderId="31" xfId="1451" applyFont="1" applyFill="1" applyBorder="1" applyAlignment="1">
      <alignment vertical="center"/>
    </xf>
    <xf numFmtId="0" fontId="121" fillId="33" borderId="31" xfId="1451" applyFont="1" applyFill="1" applyBorder="1"/>
    <xf numFmtId="0" fontId="115" fillId="33" borderId="0" xfId="0" applyFont="1" applyFill="1" applyAlignment="1">
      <alignment horizontal="center"/>
    </xf>
    <xf numFmtId="0" fontId="115" fillId="33" borderId="26" xfId="0" applyFont="1" applyFill="1" applyBorder="1" applyAlignment="1">
      <alignment horizontal="center"/>
    </xf>
    <xf numFmtId="0" fontId="115" fillId="33" borderId="36" xfId="0" applyFont="1" applyFill="1" applyBorder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5" fillId="33" borderId="37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37" fillId="33" borderId="0" xfId="0" applyFont="1" applyFill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5" fillId="33" borderId="38" xfId="0" applyFont="1" applyFill="1" applyBorder="1" applyAlignment="1">
      <alignment horizontal="center"/>
    </xf>
    <xf numFmtId="0" fontId="92" fillId="33" borderId="40" xfId="0" applyFont="1" applyFill="1" applyBorder="1" applyAlignment="1">
      <alignment horizontal="center" vertical="center"/>
    </xf>
    <xf numFmtId="0" fontId="92" fillId="33" borderId="47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 vertical="center"/>
    </xf>
    <xf numFmtId="0" fontId="115" fillId="33" borderId="39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/>
    </xf>
    <xf numFmtId="0" fontId="92" fillId="33" borderId="68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vertical="top" wrapText="1"/>
    </xf>
    <xf numFmtId="0" fontId="115" fillId="33" borderId="39" xfId="0" applyFont="1" applyFill="1" applyBorder="1" applyAlignment="1">
      <alignment vertical="top" wrapText="1"/>
    </xf>
    <xf numFmtId="0" fontId="119" fillId="33" borderId="69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20" fillId="33" borderId="71" xfId="0" applyFont="1" applyFill="1" applyBorder="1" applyAlignment="1">
      <alignment horizontal="center" vertical="top" wrapText="1"/>
    </xf>
    <xf numFmtId="0" fontId="120" fillId="33" borderId="72" xfId="0" applyFont="1" applyFill="1" applyBorder="1" applyAlignment="1">
      <alignment horizontal="center" vertical="top" wrapText="1"/>
    </xf>
    <xf numFmtId="0" fontId="115" fillId="33" borderId="0" xfId="0" applyFont="1" applyFill="1" applyAlignment="1">
      <alignment vertical="top" wrapText="1"/>
    </xf>
    <xf numFmtId="0" fontId="115" fillId="33" borderId="37" xfId="0" applyFont="1" applyFill="1" applyBorder="1" applyAlignment="1">
      <alignment vertical="top" wrapText="1"/>
    </xf>
    <xf numFmtId="0" fontId="115" fillId="33" borderId="42" xfId="0" applyFont="1" applyFill="1" applyBorder="1" applyAlignment="1">
      <alignment horizontal="center"/>
    </xf>
    <xf numFmtId="0" fontId="115" fillId="33" borderId="43" xfId="0" applyFont="1" applyFill="1" applyBorder="1" applyAlignment="1">
      <alignment vertical="top" wrapText="1"/>
    </xf>
    <xf numFmtId="0" fontId="115" fillId="33" borderId="44" xfId="0" applyFont="1" applyFill="1" applyBorder="1" applyAlignment="1">
      <alignment vertical="top" wrapText="1"/>
    </xf>
    <xf numFmtId="0" fontId="115" fillId="33" borderId="45" xfId="0" applyFont="1" applyFill="1" applyBorder="1" applyAlignment="1">
      <alignment vertical="top" wrapText="1"/>
    </xf>
    <xf numFmtId="0" fontId="120" fillId="33" borderId="28" xfId="0" applyFont="1" applyFill="1" applyBorder="1" applyAlignment="1">
      <alignment horizontal="center"/>
    </xf>
    <xf numFmtId="0" fontId="120" fillId="33" borderId="0" xfId="0" applyFont="1" applyFill="1" applyAlignment="1">
      <alignment horizontal="center"/>
    </xf>
    <xf numFmtId="0" fontId="115" fillId="33" borderId="39" xfId="0" applyFont="1" applyFill="1" applyBorder="1" applyAlignment="1">
      <alignment horizontal="center"/>
    </xf>
    <xf numFmtId="20" fontId="115" fillId="33" borderId="39" xfId="0" applyNumberFormat="1" applyFont="1" applyFill="1" applyBorder="1" applyAlignment="1">
      <alignment horizontal="center"/>
    </xf>
    <xf numFmtId="0" fontId="115" fillId="33" borderId="42" xfId="0" applyFont="1" applyFill="1" applyBorder="1" applyAlignment="1">
      <alignment horizontal="center" vertical="center" wrapText="1"/>
    </xf>
    <xf numFmtId="0" fontId="120" fillId="33" borderId="34" xfId="0" applyFont="1" applyFill="1" applyBorder="1" applyAlignment="1">
      <alignment horizontal="center"/>
    </xf>
    <xf numFmtId="0" fontId="120" fillId="33" borderId="19" xfId="0" applyFont="1" applyFill="1" applyBorder="1" applyAlignment="1">
      <alignment horizontal="center"/>
    </xf>
    <xf numFmtId="0" fontId="115" fillId="33" borderId="19" xfId="0" applyFont="1" applyFill="1" applyBorder="1" applyAlignment="1">
      <alignment horizontal="center"/>
    </xf>
    <xf numFmtId="0" fontId="115" fillId="33" borderId="46" xfId="0" applyFont="1" applyFill="1" applyBorder="1" applyAlignment="1">
      <alignment horizontal="center"/>
    </xf>
    <xf numFmtId="0" fontId="147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3" fillId="0" borderId="21" xfId="1450" applyFont="1" applyBorder="1" applyAlignment="1">
      <alignment horizontal="center" wrapText="1"/>
    </xf>
    <xf numFmtId="0" fontId="44" fillId="0" borderId="21" xfId="1450" applyFont="1" applyBorder="1" applyAlignment="1">
      <alignment horizontal="center" vertical="center" wrapText="1"/>
    </xf>
    <xf numFmtId="3" fontId="44" fillId="0" borderId="21" xfId="1451" applyNumberFormat="1" applyFont="1" applyBorder="1" applyAlignment="1">
      <alignment horizontal="center" vertical="center" wrapText="1"/>
    </xf>
    <xf numFmtId="165" fontId="44" fillId="0" borderId="21" xfId="1450" applyNumberFormat="1" applyFont="1" applyBorder="1" applyAlignment="1">
      <alignment horizontal="center" vertical="center" wrapText="1"/>
    </xf>
    <xf numFmtId="3" fontId="44" fillId="0" borderId="0" xfId="1451" applyNumberFormat="1" applyFont="1" applyAlignment="1">
      <alignment horizontal="center" vertical="center" wrapText="1"/>
    </xf>
    <xf numFmtId="0" fontId="21" fillId="0" borderId="0" xfId="1649"/>
    <xf numFmtId="3" fontId="136" fillId="0" borderId="21" xfId="1451" applyNumberFormat="1" applyFont="1" applyBorder="1" applyAlignment="1">
      <alignment horizontal="center" vertical="center" wrapText="1"/>
    </xf>
    <xf numFmtId="3" fontId="10" fillId="0" borderId="21" xfId="1615" applyNumberFormat="1" applyFont="1" applyBorder="1" applyAlignment="1">
      <alignment horizontal="center" vertical="center"/>
    </xf>
    <xf numFmtId="0" fontId="9" fillId="0" borderId="0" xfId="2670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right" vertical="center"/>
    </xf>
    <xf numFmtId="9" fontId="146" fillId="36" borderId="0" xfId="2671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0" fontId="146" fillId="36" borderId="0" xfId="2671" applyNumberFormat="1" applyFont="1" applyFill="1" applyBorder="1" applyAlignment="1" applyProtection="1">
      <alignment horizontal="right" vertical="center"/>
    </xf>
    <xf numFmtId="169" fontId="145" fillId="36" borderId="0" xfId="2672" applyNumberFormat="1" applyFont="1" applyFill="1" applyBorder="1" applyAlignment="1" applyProtection="1">
      <alignment horizontal="right" vertical="center"/>
    </xf>
    <xf numFmtId="0" fontId="139" fillId="0" borderId="0" xfId="2670" applyFont="1" applyAlignment="1">
      <alignment horizontal="left" vertical="center"/>
    </xf>
    <xf numFmtId="0" fontId="142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2" fillId="0" borderId="0" xfId="1538"/>
    <xf numFmtId="167" fontId="112" fillId="0" borderId="0" xfId="1538" applyNumberFormat="1"/>
    <xf numFmtId="0" fontId="61" fillId="0" borderId="0" xfId="1538" applyFont="1"/>
    <xf numFmtId="0" fontId="128" fillId="0" borderId="0" xfId="1538" applyFont="1"/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1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167" fontId="0" fillId="0" borderId="3" xfId="1026" applyFont="1" applyFill="1" applyBorder="1" applyProtection="1"/>
    <xf numFmtId="167" fontId="112" fillId="0" borderId="3" xfId="1538" applyNumberFormat="1" applyBorder="1"/>
    <xf numFmtId="167" fontId="140" fillId="0" borderId="3" xfId="1026" applyFont="1" applyBorder="1" applyProtection="1"/>
    <xf numFmtId="167" fontId="0" fillId="0" borderId="3" xfId="1026" applyFont="1" applyBorder="1" applyProtection="1"/>
    <xf numFmtId="167" fontId="128" fillId="0" borderId="3" xfId="1538" applyNumberFormat="1" applyFont="1" applyBorder="1"/>
    <xf numFmtId="0" fontId="61" fillId="0" borderId="3" xfId="1538" applyFont="1" applyBorder="1"/>
    <xf numFmtId="165" fontId="112" fillId="0" borderId="3" xfId="1538" applyNumberFormat="1" applyBorder="1"/>
    <xf numFmtId="167" fontId="104" fillId="0" borderId="3" xfId="1026" applyFont="1" applyFill="1" applyBorder="1" applyProtection="1"/>
    <xf numFmtId="0" fontId="49" fillId="0" borderId="0" xfId="1538" applyFont="1"/>
    <xf numFmtId="0" fontId="49" fillId="0" borderId="3" xfId="1538" applyFont="1" applyBorder="1" applyAlignment="1">
      <alignment horizontal="center"/>
    </xf>
    <xf numFmtId="167" fontId="49" fillId="0" borderId="3" xfId="1538" applyNumberFormat="1" applyFont="1" applyBorder="1"/>
    <xf numFmtId="0" fontId="112" fillId="29" borderId="0" xfId="1538" applyFill="1"/>
    <xf numFmtId="0" fontId="49" fillId="0" borderId="0" xfId="1538" applyFont="1" applyAlignment="1">
      <alignment horizontal="center"/>
    </xf>
    <xf numFmtId="167" fontId="49" fillId="0" borderId="0" xfId="1538" applyNumberFormat="1" applyFont="1"/>
    <xf numFmtId="0" fontId="112" fillId="29" borderId="3" xfId="1538" applyFill="1" applyBorder="1"/>
    <xf numFmtId="169" fontId="112" fillId="29" borderId="3" xfId="1538" applyNumberFormat="1" applyFill="1" applyBorder="1" applyAlignment="1">
      <alignment horizontal="right"/>
    </xf>
    <xf numFmtId="43" fontId="112" fillId="0" borderId="0" xfId="1538" applyNumberFormat="1"/>
    <xf numFmtId="167" fontId="112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49" fillId="0" borderId="0" xfId="1614" applyFont="1" applyAlignment="1">
      <alignment horizontal="center"/>
    </xf>
    <xf numFmtId="0" fontId="150" fillId="0" borderId="0" xfId="1614" applyFont="1" applyAlignment="1">
      <alignment horizontal="center" vertical="center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3" fontId="149" fillId="0" borderId="0" xfId="1614" applyNumberFormat="1" applyFont="1" applyAlignment="1">
      <alignment horizontal="center"/>
    </xf>
    <xf numFmtId="0" fontId="154" fillId="0" borderId="0" xfId="1614" applyFont="1"/>
    <xf numFmtId="167" fontId="154" fillId="0" borderId="0" xfId="1652" applyNumberFormat="1" applyFont="1"/>
    <xf numFmtId="0" fontId="154" fillId="0" borderId="0" xfId="1614" applyFont="1" applyAlignment="1">
      <alignment horizontal="left" vertical="center"/>
    </xf>
    <xf numFmtId="0" fontId="154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left" vertical="center"/>
    </xf>
    <xf numFmtId="0" fontId="154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0" fontId="154" fillId="0" borderId="0" xfId="1614" applyFont="1" applyAlignment="1">
      <alignment horizontal="center" vertical="center" wrapText="1"/>
    </xf>
    <xf numFmtId="0" fontId="151" fillId="0" borderId="0" xfId="1614" applyFont="1" applyAlignment="1">
      <alignment horizontal="center" vertical="center" wrapText="1"/>
    </xf>
    <xf numFmtId="3" fontId="150" fillId="0" borderId="0" xfId="1614" applyNumberFormat="1" applyFont="1" applyAlignment="1">
      <alignment vertical="center"/>
    </xf>
    <xf numFmtId="0" fontId="151" fillId="0" borderId="20" xfId="1615" applyFont="1" applyBorder="1" applyAlignment="1">
      <alignment horizontal="center" vertical="center"/>
    </xf>
    <xf numFmtId="0" fontId="151" fillId="0" borderId="21" xfId="1615" applyFont="1" applyBorder="1" applyAlignment="1">
      <alignment horizontal="left" vertical="center" wrapText="1"/>
    </xf>
    <xf numFmtId="0" fontId="150" fillId="0" borderId="21" xfId="1614" applyFont="1" applyBorder="1" applyAlignment="1">
      <alignment horizontal="center" vertical="center" wrapText="1"/>
    </xf>
    <xf numFmtId="0" fontId="157" fillId="0" borderId="21" xfId="1614" applyFont="1" applyBorder="1" applyAlignment="1">
      <alignment horizontal="center" vertical="center"/>
    </xf>
    <xf numFmtId="3" fontId="157" fillId="0" borderId="21" xfId="1614" applyNumberFormat="1" applyFont="1" applyBorder="1" applyAlignment="1">
      <alignment horizontal="center" vertical="center"/>
    </xf>
    <xf numFmtId="3" fontId="150" fillId="0" borderId="21" xfId="1614" applyNumberFormat="1" applyFont="1" applyBorder="1" applyAlignment="1">
      <alignment horizontal="center" vertical="center"/>
    </xf>
    <xf numFmtId="3" fontId="150" fillId="0" borderId="22" xfId="1614" applyNumberFormat="1" applyFont="1" applyBorder="1" applyAlignment="1">
      <alignment horizontal="center" vertical="center"/>
    </xf>
    <xf numFmtId="3" fontId="150" fillId="0" borderId="0" xfId="1614" applyNumberFormat="1" applyFont="1" applyAlignment="1">
      <alignment horizontal="center"/>
    </xf>
    <xf numFmtId="3" fontId="149" fillId="0" borderId="0" xfId="1614" applyNumberFormat="1" applyFont="1" applyAlignment="1">
      <alignment horizontal="center" vertical="center"/>
    </xf>
    <xf numFmtId="0" fontId="157" fillId="0" borderId="0" xfId="1614" applyFont="1" applyAlignment="1">
      <alignment horizontal="center"/>
    </xf>
    <xf numFmtId="0" fontId="151" fillId="0" borderId="20" xfId="1653" applyFont="1" applyBorder="1" applyAlignment="1">
      <alignment horizontal="center" vertical="center"/>
    </xf>
    <xf numFmtId="0" fontId="151" fillId="0" borderId="21" xfId="1451" applyFont="1" applyBorder="1" applyAlignment="1">
      <alignment horizontal="left" vertical="center" wrapText="1"/>
    </xf>
    <xf numFmtId="0" fontId="152" fillId="0" borderId="21" xfId="1653" applyFont="1" applyBorder="1" applyAlignment="1">
      <alignment horizontal="center" vertical="center"/>
    </xf>
    <xf numFmtId="3" fontId="153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6" fillId="0" borderId="20" xfId="1653" applyFont="1" applyBorder="1" applyAlignment="1">
      <alignment horizontal="center" vertical="center"/>
    </xf>
    <xf numFmtId="0" fontId="156" fillId="0" borderId="21" xfId="1653" applyFont="1" applyBorder="1" applyAlignment="1">
      <alignment vertical="center" wrapText="1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50" fillId="0" borderId="20" xfId="1652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57" fillId="0" borderId="21" xfId="1652" applyFont="1" applyBorder="1" applyAlignment="1">
      <alignment horizontal="center" vertical="center"/>
    </xf>
    <xf numFmtId="0" fontId="157" fillId="0" borderId="49" xfId="1652" applyFont="1" applyBorder="1" applyAlignment="1">
      <alignment horizontal="center" vertical="center"/>
    </xf>
    <xf numFmtId="0" fontId="157" fillId="0" borderId="3" xfId="1652" applyFont="1" applyBorder="1" applyAlignment="1">
      <alignment vertical="center" wrapText="1"/>
    </xf>
    <xf numFmtId="0" fontId="150" fillId="0" borderId="3" xfId="1614" applyFont="1" applyBorder="1" applyAlignment="1">
      <alignment horizontal="center" vertical="center" wrapText="1"/>
    </xf>
    <xf numFmtId="0" fontId="157" fillId="0" borderId="3" xfId="1614" applyFont="1" applyBorder="1" applyAlignment="1">
      <alignment horizontal="center" vertical="center"/>
    </xf>
    <xf numFmtId="0" fontId="157" fillId="0" borderId="3" xfId="1652" applyFont="1" applyBorder="1" applyAlignment="1">
      <alignment horizontal="center" vertical="center"/>
    </xf>
    <xf numFmtId="207" fontId="157" fillId="0" borderId="3" xfId="1614" applyNumberFormat="1" applyFont="1" applyBorder="1" applyAlignment="1">
      <alignment horizontal="center" vertical="center"/>
    </xf>
    <xf numFmtId="3" fontId="150" fillId="0" borderId="3" xfId="1614" applyNumberFormat="1" applyFont="1" applyBorder="1" applyAlignment="1">
      <alignment horizontal="center" vertical="center"/>
    </xf>
    <xf numFmtId="3" fontId="150" fillId="0" borderId="39" xfId="1614" applyNumberFormat="1" applyFont="1" applyBorder="1" applyAlignment="1">
      <alignment horizontal="center" vertical="center"/>
    </xf>
    <xf numFmtId="0" fontId="157" fillId="0" borderId="20" xfId="1652" applyFont="1" applyBorder="1" applyAlignment="1">
      <alignment horizontal="center" vertical="center"/>
    </xf>
    <xf numFmtId="0" fontId="157" fillId="0" borderId="21" xfId="1652" applyFont="1" applyBorder="1" applyAlignment="1">
      <alignment vertical="center" wrapText="1"/>
    </xf>
    <xf numFmtId="0" fontId="150" fillId="0" borderId="23" xfId="1614" applyFont="1" applyBorder="1" applyAlignment="1">
      <alignment horizontal="center" vertical="center"/>
    </xf>
    <xf numFmtId="0" fontId="150" fillId="0" borderId="24" xfId="1614" applyFont="1" applyBorder="1" applyAlignment="1">
      <alignment horizontal="left" vertical="center"/>
    </xf>
    <xf numFmtId="0" fontId="150" fillId="0" borderId="24" xfId="1614" applyFont="1" applyBorder="1" applyAlignment="1">
      <alignment vertical="center"/>
    </xf>
    <xf numFmtId="0" fontId="157" fillId="0" borderId="24" xfId="1614" applyFont="1" applyBorder="1" applyAlignment="1">
      <alignment horizontal="center" vertical="center"/>
    </xf>
    <xf numFmtId="3" fontId="150" fillId="0" borderId="24" xfId="1614" applyNumberFormat="1" applyFont="1" applyBorder="1" applyAlignment="1">
      <alignment horizontal="center" vertical="center"/>
    </xf>
    <xf numFmtId="3" fontId="150" fillId="0" borderId="25" xfId="1614" applyNumberFormat="1" applyFont="1" applyBorder="1" applyAlignment="1">
      <alignment horizontal="center" vertical="center"/>
    </xf>
    <xf numFmtId="0" fontId="152" fillId="0" borderId="26" xfId="1614" applyFont="1" applyBorder="1" applyAlignment="1">
      <alignment horizontal="center" vertical="center"/>
    </xf>
    <xf numFmtId="37" fontId="154" fillId="0" borderId="27" xfId="1614" applyNumberFormat="1" applyFont="1" applyBorder="1" applyAlignment="1">
      <alignment horizontal="center"/>
    </xf>
    <xf numFmtId="37" fontId="152" fillId="0" borderId="27" xfId="1614" applyNumberFormat="1" applyFont="1" applyBorder="1" applyAlignment="1">
      <alignment horizontal="center"/>
    </xf>
    <xf numFmtId="37" fontId="150" fillId="0" borderId="0" xfId="1614" applyNumberFormat="1" applyFont="1" applyAlignment="1">
      <alignment horizontal="center"/>
    </xf>
    <xf numFmtId="37" fontId="152" fillId="0" borderId="0" xfId="1614" applyNumberFormat="1" applyFont="1" applyAlignment="1">
      <alignment horizontal="center"/>
    </xf>
    <xf numFmtId="0" fontId="152" fillId="0" borderId="28" xfId="1614" applyFont="1" applyBorder="1" applyAlignment="1">
      <alignment horizontal="center" vertical="center"/>
    </xf>
    <xf numFmtId="37" fontId="154" fillId="0" borderId="29" xfId="1614" applyNumberFormat="1" applyFont="1" applyBorder="1" applyAlignment="1">
      <alignment horizontal="center"/>
    </xf>
    <xf numFmtId="37" fontId="152" fillId="0" borderId="29" xfId="1614" applyNumberFormat="1" applyFont="1" applyBorder="1" applyAlignment="1">
      <alignment horizontal="center"/>
    </xf>
    <xf numFmtId="37" fontId="158" fillId="0" borderId="0" xfId="1614" applyNumberFormat="1" applyFont="1" applyAlignment="1">
      <alignment horizontal="center"/>
    </xf>
    <xf numFmtId="37" fontId="158" fillId="0" borderId="30" xfId="1614" applyNumberFormat="1" applyFont="1" applyBorder="1" applyAlignment="1">
      <alignment horizontal="center"/>
    </xf>
    <xf numFmtId="37" fontId="158" fillId="0" borderId="32" xfId="1614" applyNumberFormat="1" applyFont="1" applyBorder="1" applyAlignment="1">
      <alignment horizontal="center"/>
    </xf>
    <xf numFmtId="0" fontId="158" fillId="0" borderId="34" xfId="1614" applyFont="1" applyBorder="1" applyAlignment="1">
      <alignment vertical="center"/>
    </xf>
    <xf numFmtId="0" fontId="152" fillId="0" borderId="19" xfId="1614" applyFont="1" applyBorder="1"/>
    <xf numFmtId="0" fontId="152" fillId="0" borderId="19" xfId="1614" applyFont="1" applyBorder="1" applyAlignment="1">
      <alignment horizontal="center"/>
    </xf>
    <xf numFmtId="0" fontId="152" fillId="0" borderId="19" xfId="1614" applyFont="1" applyBorder="1" applyAlignment="1">
      <alignment horizontal="right"/>
    </xf>
    <xf numFmtId="0" fontId="152" fillId="0" borderId="31" xfId="1614" applyFont="1" applyBorder="1" applyAlignment="1">
      <alignment horizontal="right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7" fillId="0" borderId="0" xfId="1614" applyFont="1" applyAlignment="1">
      <alignment horizontal="center" vertical="center"/>
    </xf>
    <xf numFmtId="165" fontId="157" fillId="0" borderId="0" xfId="1652" applyNumberFormat="1" applyFont="1" applyAlignment="1">
      <alignment vertical="center"/>
    </xf>
    <xf numFmtId="0" fontId="152" fillId="0" borderId="0" xfId="1652" applyFont="1" applyAlignment="1">
      <alignment horizontal="right"/>
    </xf>
    <xf numFmtId="0" fontId="159" fillId="0" borderId="0" xfId="1644" applyFont="1" applyAlignment="1">
      <alignment horizontal="center" vertical="center"/>
    </xf>
    <xf numFmtId="0" fontId="157" fillId="0" borderId="0" xfId="1652" applyFont="1" applyAlignment="1">
      <alignment vertical="center"/>
    </xf>
    <xf numFmtId="0" fontId="160" fillId="39" borderId="79" xfId="2670" applyFont="1" applyFill="1" applyBorder="1" applyAlignment="1">
      <alignment horizontal="left" vertical="center"/>
    </xf>
    <xf numFmtId="0" fontId="160" fillId="39" borderId="80" xfId="2670" applyFont="1" applyFill="1" applyBorder="1" applyAlignment="1">
      <alignment horizontal="center" vertical="center"/>
    </xf>
    <xf numFmtId="0" fontId="160" fillId="39" borderId="82" xfId="2670" applyFont="1" applyFill="1" applyBorder="1" applyAlignment="1">
      <alignment horizontal="left" vertical="center"/>
    </xf>
    <xf numFmtId="0" fontId="160" fillId="39" borderId="78" xfId="2670" applyFont="1" applyFill="1" applyBorder="1" applyAlignment="1">
      <alignment horizontal="center" vertical="center"/>
    </xf>
    <xf numFmtId="0" fontId="160" fillId="39" borderId="84" xfId="2670" applyFont="1" applyFill="1" applyBorder="1" applyAlignment="1">
      <alignment horizontal="left" vertical="center"/>
    </xf>
    <xf numFmtId="0" fontId="160" fillId="39" borderId="85" xfId="2670" applyFont="1" applyFill="1" applyBorder="1" applyAlignment="1">
      <alignment horizontal="center" vertical="center"/>
    </xf>
    <xf numFmtId="167" fontId="141" fillId="40" borderId="81" xfId="2672" applyFont="1" applyFill="1" applyBorder="1" applyAlignment="1" applyProtection="1">
      <alignment horizontal="right" vertical="center" wrapText="1"/>
      <protection locked="0"/>
    </xf>
    <xf numFmtId="167" fontId="141" fillId="40" borderId="83" xfId="2672" applyFont="1" applyFill="1" applyBorder="1" applyAlignment="1" applyProtection="1">
      <alignment horizontal="right" vertical="center"/>
      <protection locked="0"/>
    </xf>
    <xf numFmtId="169" fontId="141" fillId="40" borderId="83" xfId="2672" applyNumberFormat="1" applyFont="1" applyFill="1" applyBorder="1" applyAlignment="1" applyProtection="1">
      <alignment horizontal="right" vertical="center"/>
      <protection locked="0"/>
    </xf>
    <xf numFmtId="169" fontId="141" fillId="40" borderId="86" xfId="2672" applyNumberFormat="1" applyFont="1" applyFill="1" applyBorder="1" applyAlignment="1" applyProtection="1">
      <alignment horizontal="right" vertical="center"/>
      <protection locked="0"/>
    </xf>
    <xf numFmtId="0" fontId="121" fillId="0" borderId="0" xfId="1451" applyFont="1"/>
    <xf numFmtId="0" fontId="122" fillId="0" borderId="0" xfId="1451" applyFont="1" applyAlignment="1">
      <alignment vertical="center"/>
    </xf>
    <xf numFmtId="0" fontId="148" fillId="0" borderId="0" xfId="1451" applyFont="1"/>
    <xf numFmtId="0" fontId="123" fillId="0" borderId="0" xfId="1451" applyFont="1" applyAlignment="1">
      <alignment vertical="center"/>
    </xf>
    <xf numFmtId="0" fontId="124" fillId="0" borderId="0" xfId="1451" applyFont="1" applyAlignment="1">
      <alignment horizontal="center" vertical="center"/>
    </xf>
    <xf numFmtId="0" fontId="125" fillId="0" borderId="0" xfId="1451" applyFont="1"/>
    <xf numFmtId="0" fontId="126" fillId="0" borderId="0" xfId="1451" applyFont="1"/>
    <xf numFmtId="0" fontId="116" fillId="0" borderId="0" xfId="1451" applyFont="1" applyAlignment="1">
      <alignment vertical="center"/>
    </xf>
    <xf numFmtId="0" fontId="116" fillId="0" borderId="0" xfId="1451" applyFont="1" applyAlignment="1">
      <alignment horizontal="center" vertical="center"/>
    </xf>
    <xf numFmtId="0" fontId="121" fillId="0" borderId="0" xfId="1451" applyFont="1" applyAlignment="1">
      <alignment horizontal="center" vertical="center"/>
    </xf>
    <xf numFmtId="0" fontId="121" fillId="0" borderId="0" xfId="1451" applyFont="1" applyAlignment="1">
      <alignment horizontal="center"/>
    </xf>
    <xf numFmtId="0" fontId="123" fillId="35" borderId="0" xfId="1451" applyFont="1" applyFill="1" applyAlignment="1">
      <alignment vertical="center"/>
    </xf>
    <xf numFmtId="0" fontId="126" fillId="0" borderId="19" xfId="1451" applyFont="1" applyBorder="1" applyAlignment="1">
      <alignment horizontal="center"/>
    </xf>
    <xf numFmtId="0" fontId="126" fillId="0" borderId="19" xfId="1451" applyFont="1" applyBorder="1"/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62" xfId="2673" applyFont="1" applyBorder="1" applyAlignment="1">
      <alignment horizontal="center" vertical="center" wrapText="1"/>
    </xf>
    <xf numFmtId="0" fontId="164" fillId="0" borderId="0" xfId="2673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66" fillId="0" borderId="0" xfId="2673" applyFont="1" applyAlignment="1">
      <alignment vertical="center" wrapText="1"/>
    </xf>
    <xf numFmtId="0" fontId="147" fillId="35" borderId="90" xfId="2673" applyFont="1" applyFill="1" applyBorder="1" applyAlignment="1">
      <alignment vertical="center" wrapText="1"/>
    </xf>
    <xf numFmtId="0" fontId="147" fillId="43" borderId="90" xfId="2673" applyFont="1" applyFill="1" applyBorder="1" applyAlignment="1">
      <alignment vertical="center" wrapText="1"/>
    </xf>
    <xf numFmtId="0" fontId="163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5" fillId="35" borderId="32" xfId="2673" applyFont="1" applyFill="1" applyBorder="1" applyAlignment="1">
      <alignment vertical="center" wrapText="1"/>
    </xf>
    <xf numFmtId="0" fontId="135" fillId="43" borderId="32" xfId="2673" applyFont="1" applyFill="1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2" fontId="135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47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8" fillId="0" borderId="0" xfId="2673" applyNumberFormat="1" applyAlignment="1">
      <alignment vertical="center" wrapText="1"/>
    </xf>
    <xf numFmtId="1" fontId="8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5" fillId="0" borderId="0" xfId="2675" applyFont="1" applyFill="1" applyBorder="1" applyAlignment="1">
      <alignment horizontal="center" vertical="center" wrapText="1"/>
    </xf>
    <xf numFmtId="1" fontId="135" fillId="0" borderId="50" xfId="2673" applyNumberFormat="1" applyFont="1" applyBorder="1" applyAlignment="1">
      <alignment vertical="center" wrapText="1"/>
    </xf>
    <xf numFmtId="0" fontId="171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2" fontId="171" fillId="0" borderId="0" xfId="2673" applyNumberFormat="1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72" fillId="0" borderId="0" xfId="2673" applyFont="1" applyAlignment="1">
      <alignment vertical="center" wrapText="1"/>
    </xf>
    <xf numFmtId="0" fontId="147" fillId="35" borderId="51" xfId="2673" applyFont="1" applyFill="1" applyBorder="1" applyAlignment="1">
      <alignment vertical="center" wrapText="1"/>
    </xf>
    <xf numFmtId="0" fontId="147" fillId="0" borderId="53" xfId="2673" applyFont="1" applyBorder="1" applyAlignment="1">
      <alignment horizontal="center" vertical="center" wrapText="1"/>
    </xf>
    <xf numFmtId="0" fontId="147" fillId="35" borderId="49" xfId="2673" applyFont="1" applyFill="1" applyBorder="1" applyAlignment="1">
      <alignment vertical="center" wrapText="1"/>
    </xf>
    <xf numFmtId="1" fontId="135" fillId="0" borderId="58" xfId="2673" applyNumberFormat="1" applyFont="1" applyBorder="1" applyAlignment="1">
      <alignment vertical="center" wrapText="1"/>
    </xf>
    <xf numFmtId="0" fontId="135" fillId="35" borderId="49" xfId="2673" applyFont="1" applyFill="1" applyBorder="1" applyAlignment="1">
      <alignment vertical="center" wrapText="1"/>
    </xf>
    <xf numFmtId="0" fontId="135" fillId="35" borderId="94" xfId="2673" applyFont="1" applyFill="1" applyBorder="1" applyAlignment="1">
      <alignment vertical="center" wrapText="1"/>
    </xf>
    <xf numFmtId="0" fontId="106" fillId="0" borderId="64" xfId="2673" applyFont="1" applyBorder="1" applyAlignment="1">
      <alignment horizontal="center" vertical="center" wrapText="1"/>
    </xf>
    <xf numFmtId="0" fontId="147" fillId="0" borderId="51" xfId="2673" applyFont="1" applyBorder="1" applyAlignment="1">
      <alignment vertical="center" wrapText="1"/>
    </xf>
    <xf numFmtId="0" fontId="147" fillId="0" borderId="49" xfId="2673" applyFont="1" applyBorder="1" applyAlignment="1">
      <alignment vertical="center" wrapText="1"/>
    </xf>
    <xf numFmtId="0" fontId="135" fillId="0" borderId="49" xfId="2673" applyFont="1" applyBorder="1" applyAlignment="1">
      <alignment vertical="center" wrapText="1"/>
    </xf>
    <xf numFmtId="0" fontId="135" fillId="0" borderId="94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0" fontId="10" fillId="0" borderId="21" xfId="1614" applyFont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41" fontId="153" fillId="0" borderId="0" xfId="2676" applyFont="1" applyAlignment="1">
      <alignment horizontal="center" vertical="center"/>
    </xf>
    <xf numFmtId="0" fontId="7" fillId="0" borderId="0" xfId="2670" applyFont="1" applyAlignment="1">
      <alignment horizontal="center" vertical="center"/>
    </xf>
    <xf numFmtId="0" fontId="128" fillId="0" borderId="0" xfId="2670" applyFont="1" applyAlignment="1">
      <alignment horizontal="left" vertical="center"/>
    </xf>
    <xf numFmtId="0" fontId="7" fillId="0" borderId="21" xfId="1653" applyFont="1" applyBorder="1" applyAlignment="1">
      <alignment horizontal="left" vertical="center" wrapText="1"/>
    </xf>
    <xf numFmtId="207" fontId="44" fillId="0" borderId="21" xfId="2549" applyNumberFormat="1" applyFont="1" applyBorder="1" applyAlignment="1">
      <alignment horizontal="center" vertical="center" wrapText="1"/>
    </xf>
    <xf numFmtId="0" fontId="44" fillId="0" borderId="21" xfId="2677" applyFont="1" applyBorder="1" applyAlignment="1">
      <alignment horizontal="left" vertical="center" wrapText="1"/>
    </xf>
    <xf numFmtId="0" fontId="116" fillId="33" borderId="0" xfId="0" applyFont="1" applyFill="1" applyAlignment="1">
      <alignment horizontal="left"/>
    </xf>
    <xf numFmtId="169" fontId="145" fillId="47" borderId="0" xfId="2672" applyNumberFormat="1" applyFont="1" applyFill="1" applyBorder="1" applyAlignment="1" applyProtection="1">
      <alignment horizontal="right" vertical="center"/>
    </xf>
    <xf numFmtId="0" fontId="175" fillId="0" borderId="69" xfId="1450" applyFont="1" applyBorder="1" applyAlignment="1">
      <alignment horizontal="center" vertical="center"/>
    </xf>
    <xf numFmtId="0" fontId="6" fillId="0" borderId="20" xfId="1652" applyFont="1" applyBorder="1" applyAlignment="1">
      <alignment horizontal="center" vertical="center"/>
    </xf>
    <xf numFmtId="0" fontId="6" fillId="0" borderId="21" xfId="1652" applyFont="1" applyBorder="1" applyAlignment="1">
      <alignment vertical="center" wrapText="1"/>
    </xf>
    <xf numFmtId="0" fontId="128" fillId="0" borderId="20" xfId="1652" applyFont="1" applyBorder="1" applyAlignment="1">
      <alignment horizontal="center" vertical="center"/>
    </xf>
    <xf numFmtId="0" fontId="128" fillId="0" borderId="21" xfId="1652" applyFont="1" applyBorder="1" applyAlignment="1">
      <alignment horizontal="left" vertical="center" wrapText="1"/>
    </xf>
    <xf numFmtId="0" fontId="120" fillId="0" borderId="95" xfId="1450" applyFont="1" applyBorder="1" applyAlignment="1">
      <alignment horizontal="center" vertical="center"/>
    </xf>
    <xf numFmtId="0" fontId="5" fillId="0" borderId="20" xfId="1652" applyFont="1" applyBorder="1" applyAlignment="1">
      <alignment horizontal="center" vertical="center"/>
    </xf>
    <xf numFmtId="0" fontId="176" fillId="33" borderId="0" xfId="2678" applyFill="1"/>
    <xf numFmtId="0" fontId="4" fillId="0" borderId="21" xfId="1652" applyFont="1" applyBorder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44" fillId="0" borderId="21" xfId="1450" applyFont="1" applyBorder="1" applyAlignment="1">
      <alignment vertical="center" wrapText="1"/>
    </xf>
    <xf numFmtId="0" fontId="156" fillId="48" borderId="21" xfId="1652" applyFont="1" applyFill="1" applyBorder="1" applyAlignment="1">
      <alignment vertical="center" wrapText="1"/>
    </xf>
    <xf numFmtId="0" fontId="114" fillId="0" borderId="20" xfId="1652" applyFont="1" applyBorder="1" applyAlignment="1">
      <alignment horizontal="center" vertical="center"/>
    </xf>
    <xf numFmtId="0" fontId="114" fillId="0" borderId="21" xfId="1652" applyFont="1" applyBorder="1" applyAlignment="1">
      <alignment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92" fillId="33" borderId="77" xfId="0" applyFont="1" applyFill="1" applyBorder="1" applyAlignment="1">
      <alignment horizontal="left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44" fillId="0" borderId="21" xfId="0" applyFont="1" applyBorder="1" applyAlignment="1">
      <alignment horizontal="left" vertical="center" wrapText="1"/>
    </xf>
    <xf numFmtId="3" fontId="10" fillId="0" borderId="21" xfId="1599" applyNumberFormat="1" applyFont="1" applyBorder="1" applyAlignment="1">
      <alignment horizontal="center" vertical="center"/>
    </xf>
    <xf numFmtId="0" fontId="116" fillId="33" borderId="0" xfId="0" applyFont="1" applyFill="1" applyAlignment="1">
      <alignment horizontal="center"/>
    </xf>
    <xf numFmtId="0" fontId="1" fillId="0" borderId="21" xfId="1652" applyFont="1" applyBorder="1" applyAlignment="1">
      <alignment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  <xf numFmtId="0" fontId="44" fillId="0" borderId="20" xfId="1652" applyFont="1" applyBorder="1" applyAlignment="1">
      <alignment horizontal="center" vertical="center"/>
    </xf>
    <xf numFmtId="0" fontId="44" fillId="0" borderId="21" xfId="1652" applyFont="1" applyBorder="1" applyAlignment="1">
      <alignment vertical="center"/>
    </xf>
    <xf numFmtId="3" fontId="43" fillId="31" borderId="38" xfId="1615" applyNumberFormat="1" applyFont="1" applyFill="1" applyBorder="1" applyAlignment="1">
      <alignment horizontal="center" vertical="center"/>
    </xf>
    <xf numFmtId="3" fontId="43" fillId="31" borderId="66" xfId="1615" applyNumberFormat="1" applyFont="1" applyFill="1" applyBorder="1" applyAlignment="1">
      <alignment horizontal="center" vertical="center"/>
    </xf>
    <xf numFmtId="3" fontId="43" fillId="31" borderId="18" xfId="1615" applyNumberFormat="1" applyFont="1" applyFill="1" applyBorder="1" applyAlignment="1">
      <alignment horizontal="center" vertical="center"/>
    </xf>
    <xf numFmtId="3" fontId="43" fillId="31" borderId="42" xfId="1615" applyNumberFormat="1" applyFont="1" applyFill="1" applyBorder="1" applyAlignment="1">
      <alignment horizontal="center" vertical="center"/>
    </xf>
    <xf numFmtId="3" fontId="43" fillId="31" borderId="43" xfId="1615" applyNumberFormat="1" applyFont="1" applyFill="1" applyBorder="1" applyAlignment="1">
      <alignment horizontal="center" vertical="center"/>
    </xf>
    <xf numFmtId="3" fontId="43" fillId="31" borderId="67" xfId="1615" applyNumberFormat="1" applyFont="1" applyFill="1" applyBorder="1" applyAlignment="1">
      <alignment horizontal="center" vertical="center"/>
    </xf>
    <xf numFmtId="3" fontId="43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52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0" fillId="0" borderId="51" xfId="1614" applyFont="1" applyBorder="1" applyAlignment="1">
      <alignment horizontal="center" vertical="center"/>
    </xf>
    <xf numFmtId="0" fontId="50" fillId="0" borderId="49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/>
    </xf>
    <xf numFmtId="0" fontId="50" fillId="0" borderId="21" xfId="1614" applyFont="1" applyBorder="1" applyAlignment="1">
      <alignment horizontal="center" vertical="center"/>
    </xf>
    <xf numFmtId="0" fontId="50" fillId="0" borderId="33" xfId="1614" applyFont="1" applyBorder="1" applyAlignment="1">
      <alignment horizontal="center" vertical="center"/>
    </xf>
    <xf numFmtId="0" fontId="52" fillId="0" borderId="53" xfId="1614" applyFont="1" applyBorder="1" applyAlignment="1">
      <alignment horizontal="center" vertical="center"/>
    </xf>
    <xf numFmtId="0" fontId="52" fillId="0" borderId="3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 wrapText="1"/>
    </xf>
    <xf numFmtId="0" fontId="50" fillId="0" borderId="21" xfId="1614" applyFont="1" applyBorder="1" applyAlignment="1">
      <alignment horizontal="center" vertical="center" wrapText="1"/>
    </xf>
    <xf numFmtId="0" fontId="50" fillId="0" borderId="33" xfId="1614" applyFont="1" applyBorder="1" applyAlignment="1">
      <alignment horizontal="center" vertical="center" wrapText="1"/>
    </xf>
    <xf numFmtId="0" fontId="52" fillId="0" borderId="54" xfId="1614" applyFont="1" applyBorder="1" applyAlignment="1">
      <alignment horizontal="center" vertical="center"/>
    </xf>
    <xf numFmtId="0" fontId="47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52" fillId="0" borderId="39" xfId="1614" applyFont="1" applyBorder="1" applyAlignment="1">
      <alignment horizontal="center" vertical="center"/>
    </xf>
    <xf numFmtId="0" fontId="52" fillId="0" borderId="35" xfId="1652" applyFont="1" applyBorder="1" applyAlignment="1">
      <alignment horizontal="center" vertical="center" wrapText="1"/>
    </xf>
    <xf numFmtId="0" fontId="52" fillId="0" borderId="33" xfId="1652" applyFont="1" applyBorder="1" applyAlignment="1">
      <alignment horizontal="center" vertical="center" wrapText="1"/>
    </xf>
    <xf numFmtId="37" fontId="62" fillId="0" borderId="19" xfId="1614" applyNumberFormat="1" applyFont="1" applyBorder="1" applyAlignment="1">
      <alignment horizontal="center"/>
    </xf>
    <xf numFmtId="0" fontId="62" fillId="0" borderId="26" xfId="1614" applyFont="1" applyBorder="1" applyAlignment="1">
      <alignment horizontal="left" vertical="center"/>
    </xf>
    <xf numFmtId="0" fontId="62" fillId="0" borderId="36" xfId="1614" applyFont="1" applyBorder="1" applyAlignment="1">
      <alignment horizontal="left" vertical="center"/>
    </xf>
    <xf numFmtId="0" fontId="62" fillId="0" borderId="48" xfId="1614" applyFont="1" applyBorder="1" applyAlignment="1">
      <alignment horizontal="left" vertical="center"/>
    </xf>
    <xf numFmtId="0" fontId="62" fillId="0" borderId="28" xfId="1614" applyFont="1" applyBorder="1" applyAlignment="1">
      <alignment horizontal="left" vertical="center"/>
    </xf>
    <xf numFmtId="0" fontId="62" fillId="0" borderId="0" xfId="1614" applyFont="1" applyAlignment="1">
      <alignment horizontal="left" vertical="center"/>
    </xf>
    <xf numFmtId="0" fontId="62" fillId="0" borderId="37" xfId="1614" applyFont="1" applyBorder="1" applyAlignment="1">
      <alignment horizontal="left" vertical="center"/>
    </xf>
    <xf numFmtId="0" fontId="52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169" fontId="43" fillId="0" borderId="3" xfId="714" applyFont="1" applyFill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43" fillId="0" borderId="3" xfId="1448" applyFont="1" applyBorder="1" applyAlignment="1">
      <alignment horizontal="center" vertical="center" wrapText="1"/>
    </xf>
    <xf numFmtId="0" fontId="55" fillId="0" borderId="3" xfId="1448" applyFont="1" applyBorder="1" applyAlignment="1">
      <alignment horizontal="center" vertical="center" wrapText="1"/>
    </xf>
    <xf numFmtId="0" fontId="164" fillId="42" borderId="87" xfId="2673" applyFont="1" applyFill="1" applyBorder="1" applyAlignment="1">
      <alignment horizontal="center" vertical="center" wrapText="1"/>
    </xf>
    <xf numFmtId="0" fontId="164" fillId="42" borderId="88" xfId="2673" applyFont="1" applyFill="1" applyBorder="1" applyAlignment="1">
      <alignment horizontal="center" vertical="center" wrapText="1"/>
    </xf>
    <xf numFmtId="0" fontId="164" fillId="42" borderId="89" xfId="2673" applyFont="1" applyFill="1" applyBorder="1" applyAlignment="1">
      <alignment horizontal="center" vertical="center" wrapText="1"/>
    </xf>
    <xf numFmtId="43" fontId="147" fillId="43" borderId="7" xfId="2673" applyNumberFormat="1" applyFont="1" applyFill="1" applyBorder="1" applyAlignment="1">
      <alignment horizontal="center" vertical="center" wrapText="1"/>
    </xf>
    <xf numFmtId="0" fontId="147" fillId="43" borderId="58" xfId="2673" applyFont="1" applyFill="1" applyBorder="1" applyAlignment="1">
      <alignment horizontal="center" vertical="center" wrapText="1"/>
    </xf>
    <xf numFmtId="1" fontId="135" fillId="43" borderId="7" xfId="2673" applyNumberFormat="1" applyFont="1" applyFill="1" applyBorder="1" applyAlignment="1">
      <alignment horizontal="center" vertical="center" wrapText="1"/>
    </xf>
    <xf numFmtId="1" fontId="135" fillId="43" borderId="58" xfId="2673" applyNumberFormat="1" applyFont="1" applyFill="1" applyBorder="1" applyAlignment="1">
      <alignment horizontal="center" vertical="center" wrapText="1"/>
    </xf>
    <xf numFmtId="0" fontId="135" fillId="43" borderId="7" xfId="2673" applyFont="1" applyFill="1" applyBorder="1" applyAlignment="1">
      <alignment horizontal="center" vertical="center" wrapText="1"/>
    </xf>
    <xf numFmtId="0" fontId="135" fillId="43" borderId="58" xfId="2673" applyFont="1" applyFill="1" applyBorder="1" applyAlignment="1">
      <alignment horizontal="center" vertical="center" wrapText="1"/>
    </xf>
    <xf numFmtId="1" fontId="147" fillId="0" borderId="3" xfId="2673" applyNumberFormat="1" applyFont="1" applyBorder="1" applyAlignment="1">
      <alignment horizontal="center" vertical="center" wrapText="1"/>
    </xf>
    <xf numFmtId="1" fontId="147" fillId="0" borderId="39" xfId="2673" applyNumberFormat="1" applyFont="1" applyBorder="1" applyAlignment="1">
      <alignment horizontal="center" vertical="center" wrapText="1"/>
    </xf>
    <xf numFmtId="2" fontId="135" fillId="43" borderId="62" xfId="2673" applyNumberFormat="1" applyFont="1" applyFill="1" applyBorder="1" applyAlignment="1">
      <alignment horizontal="center" vertical="center" wrapText="1"/>
    </xf>
    <xf numFmtId="2" fontId="135" fillId="43" borderId="91" xfId="2673" applyNumberFormat="1" applyFont="1" applyFill="1" applyBorder="1" applyAlignment="1">
      <alignment horizontal="center" vertical="center" wrapText="1"/>
    </xf>
    <xf numFmtId="0" fontId="167" fillId="0" borderId="50" xfId="2673" applyFont="1" applyBorder="1" applyAlignment="1">
      <alignment horizontal="center" vertical="center" wrapText="1"/>
    </xf>
    <xf numFmtId="0" fontId="167" fillId="0" borderId="58" xfId="2673" applyFont="1" applyBorder="1" applyAlignment="1">
      <alignment horizontal="center" vertical="center" wrapText="1"/>
    </xf>
    <xf numFmtId="0" fontId="167" fillId="44" borderId="3" xfId="2673" applyFont="1" applyFill="1" applyBorder="1" applyAlignment="1">
      <alignment horizontal="center" vertical="center" wrapText="1"/>
    </xf>
    <xf numFmtId="0" fontId="167" fillId="44" borderId="39" xfId="2673" applyFont="1" applyFill="1" applyBorder="1" applyAlignment="1">
      <alignment horizontal="center" vertical="center" wrapText="1"/>
    </xf>
    <xf numFmtId="1" fontId="135" fillId="0" borderId="3" xfId="2673" applyNumberFormat="1" applyFont="1" applyBorder="1" applyAlignment="1">
      <alignment horizontal="center" vertical="center" wrapText="1"/>
    </xf>
    <xf numFmtId="1" fontId="135" fillId="0" borderId="39" xfId="2673" applyNumberFormat="1" applyFont="1" applyBorder="1" applyAlignment="1">
      <alignment horizontal="center" vertical="center" wrapText="1"/>
    </xf>
    <xf numFmtId="2" fontId="135" fillId="0" borderId="3" xfId="2673" applyNumberFormat="1" applyFont="1" applyBorder="1" applyAlignment="1">
      <alignment horizontal="center" vertical="center" wrapText="1"/>
    </xf>
    <xf numFmtId="2" fontId="135" fillId="0" borderId="39" xfId="2673" applyNumberFormat="1" applyFont="1" applyBorder="1" applyAlignment="1">
      <alignment horizontal="center" vertical="center" wrapText="1"/>
    </xf>
    <xf numFmtId="2" fontId="135" fillId="45" borderId="3" xfId="2673" applyNumberFormat="1" applyFont="1" applyFill="1" applyBorder="1" applyAlignment="1">
      <alignment horizontal="center" vertical="center" wrapText="1"/>
    </xf>
    <xf numFmtId="2" fontId="135" fillId="45" borderId="39" xfId="2673" applyNumberFormat="1" applyFont="1" applyFill="1" applyBorder="1" applyAlignment="1">
      <alignment horizontal="center" vertical="center" wrapText="1"/>
    </xf>
    <xf numFmtId="9" fontId="135" fillId="35" borderId="64" xfId="2675" applyFont="1" applyFill="1" applyBorder="1" applyAlignment="1">
      <alignment horizontal="center" vertical="center" wrapText="1"/>
    </xf>
    <xf numFmtId="9" fontId="135" fillId="35" borderId="65" xfId="2675" applyFont="1" applyFill="1" applyBorder="1" applyAlignment="1">
      <alignment horizontal="center" vertical="center" wrapText="1"/>
    </xf>
    <xf numFmtId="2" fontId="135" fillId="35" borderId="3" xfId="2673" applyNumberFormat="1" applyFont="1" applyFill="1" applyBorder="1" applyAlignment="1">
      <alignment horizontal="center" vertical="center" wrapText="1"/>
    </xf>
    <xf numFmtId="2" fontId="135" fillId="35" borderId="39" xfId="2673" applyNumberFormat="1" applyFont="1" applyFill="1" applyBorder="1" applyAlignment="1">
      <alignment horizontal="center" vertical="center" wrapText="1"/>
    </xf>
    <xf numFmtId="0" fontId="8" fillId="0" borderId="92" xfId="2673" applyBorder="1" applyAlignment="1">
      <alignment horizontal="center" vertical="center" wrapText="1"/>
    </xf>
    <xf numFmtId="0" fontId="8" fillId="0" borderId="6" xfId="2673" applyBorder="1" applyAlignment="1">
      <alignment horizontal="center" vertical="center" wrapText="1"/>
    </xf>
    <xf numFmtId="0" fontId="8" fillId="0" borderId="93" xfId="2673" applyBorder="1" applyAlignment="1">
      <alignment horizontal="center" vertical="center" wrapText="1"/>
    </xf>
    <xf numFmtId="9" fontId="171" fillId="0" borderId="0" xfId="2675" applyFont="1" applyFill="1" applyBorder="1" applyAlignment="1">
      <alignment horizontal="center" vertical="center" wrapText="1"/>
    </xf>
    <xf numFmtId="0" fontId="168" fillId="37" borderId="0" xfId="2673" applyFont="1" applyFill="1" applyAlignment="1">
      <alignment horizontal="left" vertical="center" wrapText="1"/>
    </xf>
    <xf numFmtId="43" fontId="147" fillId="35" borderId="7" xfId="2673" applyNumberFormat="1" applyFont="1" applyFill="1" applyBorder="1" applyAlignment="1">
      <alignment horizontal="center" vertical="center" wrapText="1"/>
    </xf>
    <xf numFmtId="0" fontId="147" fillId="35" borderId="58" xfId="2673" applyFont="1" applyFill="1" applyBorder="1" applyAlignment="1">
      <alignment horizontal="center" vertical="center" wrapText="1"/>
    </xf>
    <xf numFmtId="2" fontId="135" fillId="35" borderId="62" xfId="2673" applyNumberFormat="1" applyFont="1" applyFill="1" applyBorder="1" applyAlignment="1">
      <alignment horizontal="center" vertical="center" wrapText="1"/>
    </xf>
    <xf numFmtId="2" fontId="135" fillId="35" borderId="91" xfId="2673" applyNumberFormat="1" applyFont="1" applyFill="1" applyBorder="1" applyAlignment="1">
      <alignment horizontal="center" vertical="center" wrapText="1"/>
    </xf>
    <xf numFmtId="0" fontId="164" fillId="41" borderId="87" xfId="2673" applyFont="1" applyFill="1" applyBorder="1" applyAlignment="1">
      <alignment horizontal="center" vertical="center" wrapText="1"/>
    </xf>
    <xf numFmtId="0" fontId="164" fillId="41" borderId="88" xfId="2673" applyFont="1" applyFill="1" applyBorder="1" applyAlignment="1">
      <alignment horizontal="center" vertical="center" wrapText="1"/>
    </xf>
    <xf numFmtId="0" fontId="164" fillId="41" borderId="89" xfId="2673" applyFont="1" applyFill="1" applyBorder="1" applyAlignment="1">
      <alignment horizontal="center" vertical="center" wrapText="1"/>
    </xf>
    <xf numFmtId="0" fontId="135" fillId="35" borderId="7" xfId="2673" applyFont="1" applyFill="1" applyBorder="1" applyAlignment="1">
      <alignment horizontal="center" vertical="center" wrapText="1"/>
    </xf>
    <xf numFmtId="0" fontId="135" fillId="35" borderId="58" xfId="2673" applyFont="1" applyFill="1" applyBorder="1" applyAlignment="1">
      <alignment horizontal="center" vertical="center" wrapText="1"/>
    </xf>
    <xf numFmtId="1" fontId="147" fillId="35" borderId="7" xfId="2673" applyNumberFormat="1" applyFont="1" applyFill="1" applyBorder="1" applyAlignment="1">
      <alignment horizontal="center" vertical="center" wrapText="1"/>
    </xf>
    <xf numFmtId="1" fontId="147" fillId="35" borderId="58" xfId="2673" applyNumberFormat="1" applyFont="1" applyFill="1" applyBorder="1" applyAlignment="1">
      <alignment horizontal="center" vertical="center" wrapText="1"/>
    </xf>
    <xf numFmtId="43" fontId="147" fillId="0" borderId="53" xfId="2673" applyNumberFormat="1" applyFont="1" applyBorder="1" applyAlignment="1">
      <alignment horizontal="center" vertical="center" wrapText="1"/>
    </xf>
    <xf numFmtId="0" fontId="147" fillId="0" borderId="54" xfId="2673" applyFont="1" applyBorder="1" applyAlignment="1">
      <alignment horizontal="center" vertical="center" wrapText="1"/>
    </xf>
    <xf numFmtId="9" fontId="135" fillId="0" borderId="64" xfId="2675" applyFont="1" applyFill="1" applyBorder="1" applyAlignment="1">
      <alignment horizontal="center" vertical="center" wrapText="1"/>
    </xf>
    <xf numFmtId="9" fontId="135" fillId="0" borderId="65" xfId="2675" applyFont="1" applyFill="1" applyBorder="1" applyAlignment="1">
      <alignment horizontal="center" vertical="center" wrapText="1"/>
    </xf>
    <xf numFmtId="0" fontId="9" fillId="34" borderId="75" xfId="2670" applyFill="1" applyBorder="1" applyAlignment="1">
      <alignment horizontal="center" vertical="center"/>
    </xf>
    <xf numFmtId="0" fontId="139" fillId="0" borderId="76" xfId="2670" applyFont="1" applyBorder="1" applyAlignment="1">
      <alignment horizontal="left" vertical="center"/>
    </xf>
    <xf numFmtId="0" fontId="112" fillId="38" borderId="3" xfId="1538" applyFill="1" applyBorder="1" applyAlignment="1">
      <alignment horizontal="center" vertical="center"/>
    </xf>
    <xf numFmtId="0" fontId="103" fillId="38" borderId="3" xfId="1538" applyFont="1" applyFill="1" applyBorder="1" applyAlignment="1">
      <alignment horizontal="center" vertical="center" wrapText="1"/>
    </xf>
    <xf numFmtId="0" fontId="49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 wrapText="1"/>
    </xf>
    <xf numFmtId="0" fontId="52" fillId="0" borderId="44" xfId="1538" applyFont="1" applyBorder="1" applyAlignment="1">
      <alignment horizontal="left"/>
    </xf>
    <xf numFmtId="0" fontId="151" fillId="0" borderId="0" xfId="1644" applyFont="1" applyAlignment="1">
      <alignment horizontal="center" vertical="center"/>
    </xf>
    <xf numFmtId="37" fontId="158" fillId="0" borderId="19" xfId="1614" applyNumberFormat="1" applyFont="1" applyBorder="1" applyAlignment="1">
      <alignment horizontal="center"/>
    </xf>
    <xf numFmtId="0" fontId="154" fillId="0" borderId="0" xfId="1614" applyFont="1" applyAlignment="1">
      <alignment horizontal="left" vertical="top" wrapText="1"/>
    </xf>
    <xf numFmtId="37" fontId="152" fillId="0" borderId="0" xfId="1614" applyNumberFormat="1" applyFont="1" applyAlignment="1">
      <alignment horizontal="center"/>
    </xf>
    <xf numFmtId="0" fontId="173" fillId="0" borderId="26" xfId="1614" applyFont="1" applyBorder="1" applyAlignment="1">
      <alignment horizontal="left" vertical="center" wrapText="1"/>
    </xf>
    <xf numFmtId="0" fontId="173" fillId="0" borderId="36" xfId="1614" applyFont="1" applyBorder="1" applyAlignment="1">
      <alignment horizontal="left" vertical="center" wrapText="1"/>
    </xf>
    <xf numFmtId="0" fontId="173" fillId="0" borderId="48" xfId="1614" applyFont="1" applyBorder="1" applyAlignment="1">
      <alignment horizontal="left" vertical="center" wrapText="1"/>
    </xf>
    <xf numFmtId="0" fontId="173" fillId="0" borderId="28" xfId="1614" applyFont="1" applyBorder="1" applyAlignment="1">
      <alignment horizontal="left" vertical="center" wrapText="1"/>
    </xf>
    <xf numFmtId="0" fontId="173" fillId="0" borderId="0" xfId="1614" applyFont="1" applyAlignment="1">
      <alignment horizontal="left" vertical="center" wrapText="1"/>
    </xf>
    <xf numFmtId="0" fontId="173" fillId="0" borderId="37" xfId="1614" applyFont="1" applyBorder="1" applyAlignment="1">
      <alignment horizontal="left" vertical="center" wrapText="1"/>
    </xf>
    <xf numFmtId="0" fontId="157" fillId="0" borderId="0" xfId="1652" applyFont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0" fontId="156" fillId="35" borderId="53" xfId="1614" applyFont="1" applyFill="1" applyBorder="1" applyAlignment="1">
      <alignment horizontal="center" vertical="center"/>
    </xf>
    <xf numFmtId="0" fontId="156" fillId="35" borderId="54" xfId="1614" applyFont="1" applyFill="1" applyBorder="1" applyAlignment="1">
      <alignment horizontal="center" vertical="center"/>
    </xf>
    <xf numFmtId="0" fontId="156" fillId="35" borderId="35" xfId="1652" applyFont="1" applyFill="1" applyBorder="1" applyAlignment="1">
      <alignment horizontal="center" vertical="center" wrapText="1"/>
    </xf>
    <xf numFmtId="0" fontId="156" fillId="35" borderId="33" xfId="1652" applyFont="1" applyFill="1" applyBorder="1" applyAlignment="1">
      <alignment horizontal="center" vertical="center" wrapText="1"/>
    </xf>
    <xf numFmtId="0" fontId="156" fillId="35" borderId="3" xfId="1614" applyFont="1" applyFill="1" applyBorder="1" applyAlignment="1">
      <alignment horizontal="center" vertical="center"/>
    </xf>
    <xf numFmtId="0" fontId="156" fillId="35" borderId="39" xfId="1614" applyFont="1" applyFill="1" applyBorder="1" applyAlignment="1">
      <alignment horizontal="center" vertical="center"/>
    </xf>
    <xf numFmtId="0" fontId="154" fillId="30" borderId="3" xfId="1614" applyFont="1" applyFill="1" applyBorder="1" applyAlignment="1">
      <alignment horizontal="center" vertical="center"/>
    </xf>
    <xf numFmtId="0" fontId="155" fillId="0" borderId="0" xfId="1652" applyFont="1" applyAlignment="1">
      <alignment horizontal="center" vertical="center"/>
    </xf>
    <xf numFmtId="37" fontId="152" fillId="0" borderId="36" xfId="1614" applyNumberFormat="1" applyFont="1" applyBorder="1" applyAlignment="1">
      <alignment horizontal="center"/>
    </xf>
    <xf numFmtId="0" fontId="156" fillId="35" borderId="51" xfId="1614" applyFont="1" applyFill="1" applyBorder="1" applyAlignment="1">
      <alignment horizontal="center" vertical="center"/>
    </xf>
    <xf numFmtId="0" fontId="156" fillId="35" borderId="49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/>
    </xf>
    <xf numFmtId="0" fontId="156" fillId="35" borderId="21" xfId="1614" applyFont="1" applyFill="1" applyBorder="1" applyAlignment="1">
      <alignment horizontal="center" vertical="center"/>
    </xf>
    <xf numFmtId="0" fontId="156" fillId="35" borderId="33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 wrapText="1"/>
    </xf>
    <xf numFmtId="0" fontId="156" fillId="35" borderId="21" xfId="1614" applyFont="1" applyFill="1" applyBorder="1" applyAlignment="1">
      <alignment horizontal="center" vertical="center" wrapText="1"/>
    </xf>
    <xf numFmtId="0" fontId="156" fillId="35" borderId="33" xfId="1614" applyFont="1" applyFill="1" applyBorder="1" applyAlignment="1">
      <alignment horizontal="center" vertical="center" wrapText="1"/>
    </xf>
    <xf numFmtId="0" fontId="115" fillId="33" borderId="62" xfId="0" applyFont="1" applyFill="1" applyBorder="1" applyAlignment="1">
      <alignment horizontal="center"/>
    </xf>
    <xf numFmtId="0" fontId="115" fillId="33" borderId="63" xfId="0" applyFont="1" applyFill="1" applyBorder="1" applyAlignment="1">
      <alignment horizontal="center"/>
    </xf>
    <xf numFmtId="0" fontId="115" fillId="33" borderId="64" xfId="0" applyFont="1" applyFill="1" applyBorder="1" applyAlignment="1">
      <alignment horizontal="center"/>
    </xf>
    <xf numFmtId="0" fontId="115" fillId="33" borderId="65" xfId="0" applyFont="1" applyFill="1" applyBorder="1" applyAlignment="1">
      <alignment horizontal="center"/>
    </xf>
    <xf numFmtId="0" fontId="115" fillId="33" borderId="56" xfId="0" applyFont="1" applyFill="1" applyBorder="1" applyAlignment="1">
      <alignment horizontal="center" vertical="center"/>
    </xf>
    <xf numFmtId="0" fontId="115" fillId="33" borderId="57" xfId="0" applyFont="1" applyFill="1" applyBorder="1" applyAlignment="1">
      <alignment horizontal="center" vertical="center"/>
    </xf>
    <xf numFmtId="0" fontId="115" fillId="33" borderId="0" xfId="0" applyFont="1" applyFill="1" applyAlignment="1">
      <alignment horizontal="center" vertical="center" wrapText="1"/>
    </xf>
    <xf numFmtId="0" fontId="115" fillId="33" borderId="37" xfId="0" applyFont="1" applyFill="1" applyBorder="1" applyAlignment="1">
      <alignment horizontal="center" vertical="center" wrapText="1"/>
    </xf>
    <xf numFmtId="0" fontId="115" fillId="33" borderId="44" xfId="0" applyFont="1" applyFill="1" applyBorder="1" applyAlignment="1">
      <alignment horizontal="center" vertical="center" wrapText="1"/>
    </xf>
    <xf numFmtId="0" fontId="115" fillId="33" borderId="45" xfId="0" applyFont="1" applyFill="1" applyBorder="1" applyAlignment="1">
      <alignment horizontal="center" vertical="center" wrapText="1"/>
    </xf>
    <xf numFmtId="0" fontId="115" fillId="33" borderId="7" xfId="0" applyFont="1" applyFill="1" applyBorder="1" applyAlignment="1">
      <alignment horizontal="center"/>
    </xf>
    <xf numFmtId="0" fontId="115" fillId="33" borderId="41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15" fillId="33" borderId="39" xfId="0" applyFont="1" applyFill="1" applyBorder="1" applyAlignment="1">
      <alignment horizont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16" fillId="33" borderId="18" xfId="0" applyFont="1" applyFill="1" applyBorder="1" applyAlignment="1">
      <alignment horizontal="left" vertical="top" wrapText="1"/>
    </xf>
    <xf numFmtId="0" fontId="116" fillId="33" borderId="0" xfId="0" applyFont="1" applyFill="1" applyAlignment="1">
      <alignment horizontal="left" vertical="top" wrapText="1"/>
    </xf>
    <xf numFmtId="15" fontId="115" fillId="33" borderId="3" xfId="0" applyNumberFormat="1" applyFont="1" applyFill="1" applyBorder="1" applyAlignment="1">
      <alignment horizontal="center"/>
    </xf>
    <xf numFmtId="0" fontId="92" fillId="33" borderId="60" xfId="0" applyFont="1" applyFill="1" applyBorder="1" applyAlignment="1">
      <alignment horizontal="left" vertical="center"/>
    </xf>
    <xf numFmtId="0" fontId="92" fillId="33" borderId="77" xfId="0" applyFont="1" applyFill="1" applyBorder="1" applyAlignment="1">
      <alignment horizontal="left" vertical="center"/>
    </xf>
    <xf numFmtId="208" fontId="120" fillId="0" borderId="73" xfId="1450" applyNumberFormat="1" applyFont="1" applyBorder="1" applyAlignment="1">
      <alignment horizontal="left" vertical="center"/>
    </xf>
    <xf numFmtId="208" fontId="175" fillId="0" borderId="74" xfId="1450" applyNumberFormat="1" applyFont="1" applyBorder="1" applyAlignment="1">
      <alignment horizontal="left" vertical="center"/>
    </xf>
    <xf numFmtId="49" fontId="115" fillId="33" borderId="7" xfId="0" applyNumberFormat="1" applyFont="1" applyFill="1" applyBorder="1" applyAlignment="1">
      <alignment horizontal="center" vertical="center"/>
    </xf>
    <xf numFmtId="49" fontId="115" fillId="33" borderId="41" xfId="0" applyNumberFormat="1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49" fontId="115" fillId="33" borderId="50" xfId="0" applyNumberFormat="1" applyFont="1" applyFill="1" applyBorder="1" applyAlignment="1">
      <alignment horizontal="center" vertical="center"/>
    </xf>
    <xf numFmtId="49" fontId="115" fillId="33" borderId="50" xfId="0" applyNumberFormat="1" applyFont="1" applyFill="1" applyBorder="1" applyAlignment="1">
      <alignment horizontal="left" vertical="center"/>
    </xf>
    <xf numFmtId="49" fontId="115" fillId="33" borderId="41" xfId="0" applyNumberFormat="1" applyFont="1" applyFill="1" applyBorder="1" applyAlignment="1">
      <alignment horizontal="left" vertical="center"/>
    </xf>
    <xf numFmtId="0" fontId="133" fillId="33" borderId="60" xfId="0" applyFont="1" applyFill="1" applyBorder="1" applyAlignment="1">
      <alignment horizontal="left" vertical="center"/>
    </xf>
    <xf numFmtId="0" fontId="133" fillId="33" borderId="61" xfId="0" applyFont="1" applyFill="1" applyBorder="1" applyAlignment="1">
      <alignment horizontal="left" vertical="center"/>
    </xf>
    <xf numFmtId="0" fontId="115" fillId="33" borderId="56" xfId="0" applyFont="1" applyFill="1" applyBorder="1" applyAlignment="1">
      <alignment horizontal="center"/>
    </xf>
    <xf numFmtId="0" fontId="115" fillId="33" borderId="57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6" fillId="33" borderId="0" xfId="0" applyFont="1" applyFill="1" applyAlignment="1">
      <alignment horizontal="left"/>
    </xf>
    <xf numFmtId="0" fontId="116" fillId="33" borderId="37" xfId="0" applyFont="1" applyFill="1" applyBorder="1" applyAlignment="1">
      <alignment horizontal="left"/>
    </xf>
    <xf numFmtId="0" fontId="132" fillId="33" borderId="50" xfId="0" applyFont="1" applyFill="1" applyBorder="1" applyAlignment="1">
      <alignment horizontal="center" vertical="center"/>
    </xf>
    <xf numFmtId="0" fontId="132" fillId="33" borderId="7" xfId="0" applyFont="1" applyFill="1" applyBorder="1" applyAlignment="1">
      <alignment horizontal="center" vertical="center"/>
    </xf>
    <xf numFmtId="0" fontId="132" fillId="33" borderId="41" xfId="0" applyFont="1" applyFill="1" applyBorder="1" applyAlignment="1">
      <alignment horizontal="center" vertical="center"/>
    </xf>
    <xf numFmtId="0" fontId="116" fillId="33" borderId="5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center"/>
    </xf>
    <xf numFmtId="0" fontId="116" fillId="33" borderId="58" xfId="0" applyFont="1" applyFill="1" applyBorder="1" applyAlignment="1">
      <alignment horizontal="center" vertical="center"/>
    </xf>
    <xf numFmtId="49" fontId="133" fillId="33" borderId="59" xfId="0" applyNumberFormat="1" applyFont="1" applyFill="1" applyBorder="1" applyAlignment="1">
      <alignment horizontal="left" vertical="center"/>
    </xf>
    <xf numFmtId="49" fontId="133" fillId="33" borderId="40" xfId="0" applyNumberFormat="1" applyFont="1" applyFill="1" applyBorder="1" applyAlignment="1">
      <alignment horizontal="left" vertical="center"/>
    </xf>
    <xf numFmtId="0" fontId="131" fillId="35" borderId="55" xfId="0" applyFont="1" applyFill="1" applyBorder="1" applyAlignment="1">
      <alignment horizontal="center" vertical="center"/>
    </xf>
    <xf numFmtId="0" fontId="131" fillId="35" borderId="36" xfId="0" applyFont="1" applyFill="1" applyBorder="1" applyAlignment="1">
      <alignment horizontal="center" vertical="center"/>
    </xf>
    <xf numFmtId="0" fontId="131" fillId="35" borderId="48" xfId="0" applyFont="1" applyFill="1" applyBorder="1" applyAlignment="1">
      <alignment horizontal="center" vertical="center"/>
    </xf>
    <xf numFmtId="0" fontId="131" fillId="35" borderId="43" xfId="0" applyFont="1" applyFill="1" applyBorder="1" applyAlignment="1">
      <alignment horizontal="center" vertical="center"/>
    </xf>
    <xf numFmtId="0" fontId="131" fillId="35" borderId="44" xfId="0" applyFont="1" applyFill="1" applyBorder="1" applyAlignment="1">
      <alignment horizontal="center" vertical="center"/>
    </xf>
    <xf numFmtId="0" fontId="131" fillId="35" borderId="45" xfId="0" applyFont="1" applyFill="1" applyBorder="1" applyAlignment="1">
      <alignment horizontal="center" vertical="center"/>
    </xf>
    <xf numFmtId="0" fontId="123" fillId="35" borderId="26" xfId="1451" applyFont="1" applyFill="1" applyBorder="1" applyAlignment="1">
      <alignment horizontal="center" vertical="center"/>
    </xf>
    <xf numFmtId="0" fontId="123" fillId="35" borderId="36" xfId="1451" applyFont="1" applyFill="1" applyBorder="1" applyAlignment="1">
      <alignment horizontal="center" vertical="center"/>
    </xf>
    <xf numFmtId="0" fontId="123" fillId="35" borderId="48" xfId="1451" applyFont="1" applyFill="1" applyBorder="1" applyAlignment="1">
      <alignment horizontal="center" vertical="center"/>
    </xf>
    <xf numFmtId="0" fontId="123" fillId="35" borderId="28" xfId="1451" applyFont="1" applyFill="1" applyBorder="1" applyAlignment="1">
      <alignment horizontal="center" vertical="center"/>
    </xf>
    <xf numFmtId="0" fontId="123" fillId="35" borderId="0" xfId="1451" applyFont="1" applyFill="1" applyAlignment="1">
      <alignment horizontal="center" vertical="center"/>
    </xf>
    <xf numFmtId="0" fontId="123" fillId="35" borderId="37" xfId="1451" applyFont="1" applyFill="1" applyBorder="1" applyAlignment="1">
      <alignment horizontal="center" vertical="center"/>
    </xf>
    <xf numFmtId="0" fontId="123" fillId="35" borderId="34" xfId="1451" applyFont="1" applyFill="1" applyBorder="1" applyAlignment="1">
      <alignment horizontal="center" vertical="center"/>
    </xf>
    <xf numFmtId="0" fontId="123" fillId="35" borderId="19" xfId="1451" applyFont="1" applyFill="1" applyBorder="1" applyAlignment="1">
      <alignment horizontal="center" vertical="center"/>
    </xf>
    <xf numFmtId="0" fontId="123" fillId="35" borderId="31" xfId="1451" applyFont="1" applyFill="1" applyBorder="1" applyAlignment="1">
      <alignment horizontal="center" vertical="center"/>
    </xf>
    <xf numFmtId="0" fontId="161" fillId="0" borderId="0" xfId="1451" applyFont="1" applyAlignment="1">
      <alignment horizontal="left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" xfId="2678" builtinId="8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0.26399999999999996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0.32908965343808672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13" Type="http://schemas.openxmlformats.org/officeDocument/2006/relationships/image" Target="../media/image29.emf"/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12" Type="http://schemas.openxmlformats.org/officeDocument/2006/relationships/image" Target="../media/image28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11" Type="http://schemas.openxmlformats.org/officeDocument/2006/relationships/image" Target="../media/image27.emf"/><Relationship Id="rId5" Type="http://schemas.openxmlformats.org/officeDocument/2006/relationships/image" Target="../media/image21.emf"/><Relationship Id="rId10" Type="http://schemas.openxmlformats.org/officeDocument/2006/relationships/image" Target="../media/image26.emf"/><Relationship Id="rId4" Type="http://schemas.openxmlformats.org/officeDocument/2006/relationships/image" Target="../media/image20.emf"/><Relationship Id="rId9" Type="http://schemas.openxmlformats.org/officeDocument/2006/relationships/image" Target="../media/image25.emf"/><Relationship Id="rId14" Type="http://schemas.openxmlformats.org/officeDocument/2006/relationships/image" Target="../media/image3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79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25</xdr:row>
          <xdr:rowOff>1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80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5144875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10849</xdr:colOff>
      <xdr:row>1</xdr:row>
      <xdr:rowOff>54428</xdr:rowOff>
    </xdr:from>
    <xdr:to>
      <xdr:col>21</xdr:col>
      <xdr:colOff>107148</xdr:colOff>
      <xdr:row>6</xdr:row>
      <xdr:rowOff>81879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8D461F8-B1C8-4FA1-B8EF-3501ADDBDE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787206" y="217714"/>
          <a:ext cx="858299" cy="789451"/>
        </a:xfrm>
        <a:prstGeom prst="rect">
          <a:avLst/>
        </a:prstGeom>
      </xdr:spPr>
    </xdr:pic>
    <xdr:clientData/>
  </xdr:twoCellAnchor>
  <xdr:twoCellAnchor>
    <xdr:from>
      <xdr:col>26</xdr:col>
      <xdr:colOff>65006</xdr:colOff>
      <xdr:row>5</xdr:row>
      <xdr:rowOff>40289</xdr:rowOff>
    </xdr:from>
    <xdr:to>
      <xdr:col>29</xdr:col>
      <xdr:colOff>354335</xdr:colOff>
      <xdr:row>17</xdr:row>
      <xdr:rowOff>35534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05115714-B700-464A-A407-0E81AE03C8E4}"/>
            </a:ext>
          </a:extLst>
        </xdr:cNvPr>
        <xdr:cNvGrpSpPr/>
      </xdr:nvGrpSpPr>
      <xdr:grpSpPr>
        <a:xfrm>
          <a:off x="9565158" y="818854"/>
          <a:ext cx="1490307" cy="1800854"/>
          <a:chOff x="9713886" y="808452"/>
          <a:chExt cx="1342558" cy="1766630"/>
        </a:xfrm>
      </xdr:grpSpPr>
      <xdr:grpSp>
        <xdr:nvGrpSpPr>
          <xdr:cNvPr id="122" name="Group 13">
            <a:extLst>
              <a:ext uri="{FF2B5EF4-FFF2-40B4-BE49-F238E27FC236}">
                <a16:creationId xmlns:a16="http://schemas.microsoft.com/office/drawing/2014/main" id="{322D9EED-0037-49FB-9725-68E4205BE03A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294" name="Oval 1">
              <a:extLst>
                <a:ext uri="{FF2B5EF4-FFF2-40B4-BE49-F238E27FC236}">
                  <a16:creationId xmlns:a16="http://schemas.microsoft.com/office/drawing/2014/main" id="{4C7E8E0D-0112-41C7-9492-5761FB996587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295" name="Straight Connector 3">
              <a:extLst>
                <a:ext uri="{FF2B5EF4-FFF2-40B4-BE49-F238E27FC236}">
                  <a16:creationId xmlns:a16="http://schemas.microsoft.com/office/drawing/2014/main" id="{BEFFAADE-B334-48EC-B107-B60989DB8F47}"/>
                </a:ext>
              </a:extLst>
            </xdr:cNvPr>
            <xdr:cNvCxnSpPr>
              <a:stCxn id="251" idx="1"/>
              <a:endCxn id="251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Connector 7">
              <a:extLst>
                <a:ext uri="{FF2B5EF4-FFF2-40B4-BE49-F238E27FC236}">
                  <a16:creationId xmlns:a16="http://schemas.microsoft.com/office/drawing/2014/main" id="{1C691B42-4D67-4F97-851E-58DD76A23346}"/>
                </a:ext>
              </a:extLst>
            </xdr:cNvPr>
            <xdr:cNvCxnSpPr>
              <a:stCxn id="251" idx="3"/>
              <a:endCxn id="251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8221F988-6436-45FB-A959-1AD9EBFE2337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24" name="Group 123">
            <a:extLst>
              <a:ext uri="{FF2B5EF4-FFF2-40B4-BE49-F238E27FC236}">
                <a16:creationId xmlns:a16="http://schemas.microsoft.com/office/drawing/2014/main" id="{631092A4-9D8B-472B-BFC6-565ABBCB9A7A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291" name="Oval 290">
              <a:extLst>
                <a:ext uri="{FF2B5EF4-FFF2-40B4-BE49-F238E27FC236}">
                  <a16:creationId xmlns:a16="http://schemas.microsoft.com/office/drawing/2014/main" id="{7031EA64-C986-4E93-9C9E-20D68B2455B8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292" name="Straight Connector 291">
              <a:extLst>
                <a:ext uri="{FF2B5EF4-FFF2-40B4-BE49-F238E27FC236}">
                  <a16:creationId xmlns:a16="http://schemas.microsoft.com/office/drawing/2014/main" id="{93ADC1E5-FF80-451B-BF66-6E7A0BD43F1D}"/>
                </a:ext>
              </a:extLst>
            </xdr:cNvPr>
            <xdr:cNvCxnSpPr>
              <a:stCxn id="291" idx="1"/>
              <a:endCxn id="291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" name="Straight Connector 292">
              <a:extLst>
                <a:ext uri="{FF2B5EF4-FFF2-40B4-BE49-F238E27FC236}">
                  <a16:creationId xmlns:a16="http://schemas.microsoft.com/office/drawing/2014/main" id="{EA6C8A38-A05B-467B-BA8B-7391B1582950}"/>
                </a:ext>
              </a:extLst>
            </xdr:cNvPr>
            <xdr:cNvCxnSpPr>
              <a:stCxn id="291" idx="3"/>
              <a:endCxn id="291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5" name="Oval 124">
            <a:extLst>
              <a:ext uri="{FF2B5EF4-FFF2-40B4-BE49-F238E27FC236}">
                <a16:creationId xmlns:a16="http://schemas.microsoft.com/office/drawing/2014/main" id="{0B78F020-B547-4273-9B71-87FC0C1F49C1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64B8EF6B-8869-4DC3-A94D-B05124330D75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BA124CCE-062E-4515-A623-E78CCF244AA9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25187F7D-B3C9-40B5-86AD-F2D1B83E8CCC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2BFD10CB-1E66-4D8A-ADD5-96ED88CD46F5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Straight Connector 196">
            <a:extLst>
              <a:ext uri="{FF2B5EF4-FFF2-40B4-BE49-F238E27FC236}">
                <a16:creationId xmlns:a16="http://schemas.microsoft.com/office/drawing/2014/main" id="{3EAFC62F-44E1-4865-BBA6-BD763D1EF007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Straight Connector 197">
            <a:extLst>
              <a:ext uri="{FF2B5EF4-FFF2-40B4-BE49-F238E27FC236}">
                <a16:creationId xmlns:a16="http://schemas.microsoft.com/office/drawing/2014/main" id="{4E715725-1010-4D18-B0AA-2DD0CB79ABCB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Straight Connector 204">
            <a:extLst>
              <a:ext uri="{FF2B5EF4-FFF2-40B4-BE49-F238E27FC236}">
                <a16:creationId xmlns:a16="http://schemas.microsoft.com/office/drawing/2014/main" id="{F5D616DA-DF4F-4BA4-AD94-6EB92BACC3D2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Straight Connector 232">
            <a:extLst>
              <a:ext uri="{FF2B5EF4-FFF2-40B4-BE49-F238E27FC236}">
                <a16:creationId xmlns:a16="http://schemas.microsoft.com/office/drawing/2014/main" id="{96705679-BB9A-49C3-B8D2-96990801374E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B5523762-7EDF-41DD-A1B2-2F17063E548D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C46FB4A5-9165-4FBD-9A66-138278FD5325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013A5078-27F3-4423-B473-D9A9B58C4119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8F1502A1-2DA7-43AB-9160-4D59D90DCC14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50">
            <a:extLst>
              <a:ext uri="{FF2B5EF4-FFF2-40B4-BE49-F238E27FC236}">
                <a16:creationId xmlns:a16="http://schemas.microsoft.com/office/drawing/2014/main" id="{B89F7CB2-F58C-4BC0-985D-93842D3FE2A9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FA4D5BE8-FDCD-4D9F-8BCE-E0C001222976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Straight Connector 52">
            <a:extLst>
              <a:ext uri="{FF2B5EF4-FFF2-40B4-BE49-F238E27FC236}">
                <a16:creationId xmlns:a16="http://schemas.microsoft.com/office/drawing/2014/main" id="{FF53BE85-913B-4707-A9C0-831E4C4318FD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Straight Connector 253">
            <a:extLst>
              <a:ext uri="{FF2B5EF4-FFF2-40B4-BE49-F238E27FC236}">
                <a16:creationId xmlns:a16="http://schemas.microsoft.com/office/drawing/2014/main" id="{9E3BF716-FBB1-4919-8EBF-61BED2317A99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B98BD33D-2E38-4EF4-981C-3E6D4C725071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3E218835-804C-4CEF-A7C2-7D89375FB21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Straight Connector 256">
            <a:extLst>
              <a:ext uri="{FF2B5EF4-FFF2-40B4-BE49-F238E27FC236}">
                <a16:creationId xmlns:a16="http://schemas.microsoft.com/office/drawing/2014/main" id="{8C6D5ADD-30A2-450E-A6D0-F7FC0348D576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Straight Connector 257">
            <a:extLst>
              <a:ext uri="{FF2B5EF4-FFF2-40B4-BE49-F238E27FC236}">
                <a16:creationId xmlns:a16="http://schemas.microsoft.com/office/drawing/2014/main" id="{3E0969FF-23A2-4034-B297-5FEA6ACEFCF9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A86B9EB8-785C-41AC-B135-D66CDCCAE8D8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Straight Connector 259">
            <a:extLst>
              <a:ext uri="{FF2B5EF4-FFF2-40B4-BE49-F238E27FC236}">
                <a16:creationId xmlns:a16="http://schemas.microsoft.com/office/drawing/2014/main" id="{4CAAF39F-51D9-4A48-AA83-D0B21F34DE65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1" name="Isosceles Triangle 260">
            <a:extLst>
              <a:ext uri="{FF2B5EF4-FFF2-40B4-BE49-F238E27FC236}">
                <a16:creationId xmlns:a16="http://schemas.microsoft.com/office/drawing/2014/main" id="{D993CF49-4A99-4FBA-ABF3-92AA2478A1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2" name="Isosceles Triangle 261">
            <a:extLst>
              <a:ext uri="{FF2B5EF4-FFF2-40B4-BE49-F238E27FC236}">
                <a16:creationId xmlns:a16="http://schemas.microsoft.com/office/drawing/2014/main" id="{11FAD728-1FC9-4A18-A1D3-E61EB2D51555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263" name="Group 73">
            <a:extLst>
              <a:ext uri="{FF2B5EF4-FFF2-40B4-BE49-F238E27FC236}">
                <a16:creationId xmlns:a16="http://schemas.microsoft.com/office/drawing/2014/main" id="{8F3FE792-8157-4292-A6B4-847E2EE8C350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289" name="TextBox 288">
              <a:extLst>
                <a:ext uri="{FF2B5EF4-FFF2-40B4-BE49-F238E27FC236}">
                  <a16:creationId xmlns:a16="http://schemas.microsoft.com/office/drawing/2014/main" id="{3EF49135-53FF-4926-B860-3BB22B3E60DF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290" name="Straight Connector 289">
              <a:extLst>
                <a:ext uri="{FF2B5EF4-FFF2-40B4-BE49-F238E27FC236}">
                  <a16:creationId xmlns:a16="http://schemas.microsoft.com/office/drawing/2014/main" id="{7E2450D6-3D61-4C85-A169-FB242E5E60C9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64" name="Group 74">
            <a:extLst>
              <a:ext uri="{FF2B5EF4-FFF2-40B4-BE49-F238E27FC236}">
                <a16:creationId xmlns:a16="http://schemas.microsoft.com/office/drawing/2014/main" id="{D67E7275-C1C8-43A2-80D1-33FD16845181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287" name="TextBox 286">
              <a:extLst>
                <a:ext uri="{FF2B5EF4-FFF2-40B4-BE49-F238E27FC236}">
                  <a16:creationId xmlns:a16="http://schemas.microsoft.com/office/drawing/2014/main" id="{26E14622-662E-4469-B9A9-D5295A06DC2E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288" name="Straight Connector 287">
              <a:extLst>
                <a:ext uri="{FF2B5EF4-FFF2-40B4-BE49-F238E27FC236}">
                  <a16:creationId xmlns:a16="http://schemas.microsoft.com/office/drawing/2014/main" id="{5213537B-459B-4287-82F0-B67C094467A3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65" name="Group 89">
            <a:extLst>
              <a:ext uri="{FF2B5EF4-FFF2-40B4-BE49-F238E27FC236}">
                <a16:creationId xmlns:a16="http://schemas.microsoft.com/office/drawing/2014/main" id="{37AAF8B1-9866-4AD4-B0C8-5C9B0D042298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283" name="Straight Connector 282">
              <a:extLst>
                <a:ext uri="{FF2B5EF4-FFF2-40B4-BE49-F238E27FC236}">
                  <a16:creationId xmlns:a16="http://schemas.microsoft.com/office/drawing/2014/main" id="{D6197572-D248-4710-80E2-83370235AEAC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" name="Straight Connector 79">
              <a:extLst>
                <a:ext uri="{FF2B5EF4-FFF2-40B4-BE49-F238E27FC236}">
                  <a16:creationId xmlns:a16="http://schemas.microsoft.com/office/drawing/2014/main" id="{2049E36F-1E40-4B48-AF5E-75793A3D5457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" name="Straight Connector 80">
              <a:extLst>
                <a:ext uri="{FF2B5EF4-FFF2-40B4-BE49-F238E27FC236}">
                  <a16:creationId xmlns:a16="http://schemas.microsoft.com/office/drawing/2014/main" id="{ED19E9FF-C357-4ABA-8750-2044C5699732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" name="Straight Connector 88">
              <a:extLst>
                <a:ext uri="{FF2B5EF4-FFF2-40B4-BE49-F238E27FC236}">
                  <a16:creationId xmlns:a16="http://schemas.microsoft.com/office/drawing/2014/main" id="{FCCC9C45-8FBC-4363-B895-303EB27C8F7B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66" name="Group 90">
            <a:extLst>
              <a:ext uri="{FF2B5EF4-FFF2-40B4-BE49-F238E27FC236}">
                <a16:creationId xmlns:a16="http://schemas.microsoft.com/office/drawing/2014/main" id="{5D66F161-992A-47F3-AD7B-5625CAFB84EE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279" name="Straight Connector 278">
              <a:extLst>
                <a:ext uri="{FF2B5EF4-FFF2-40B4-BE49-F238E27FC236}">
                  <a16:creationId xmlns:a16="http://schemas.microsoft.com/office/drawing/2014/main" id="{AB979314-FB79-4AEB-B09D-5A3E8FA1D39B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" name="Straight Connector 279">
              <a:extLst>
                <a:ext uri="{FF2B5EF4-FFF2-40B4-BE49-F238E27FC236}">
                  <a16:creationId xmlns:a16="http://schemas.microsoft.com/office/drawing/2014/main" id="{4BD98B72-2416-438C-8212-7BA286D388AE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" name="Straight Connector 280">
              <a:extLst>
                <a:ext uri="{FF2B5EF4-FFF2-40B4-BE49-F238E27FC236}">
                  <a16:creationId xmlns:a16="http://schemas.microsoft.com/office/drawing/2014/main" id="{A542C0A3-9694-4905-B2A0-C01FC058FCB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" name="Straight Connector 281">
              <a:extLst>
                <a:ext uri="{FF2B5EF4-FFF2-40B4-BE49-F238E27FC236}">
                  <a16:creationId xmlns:a16="http://schemas.microsoft.com/office/drawing/2014/main" id="{7AE4D199-69DF-4E4E-81C8-25BEE2B20E1B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3B6C73D9-C9E9-4561-B2A0-7E5E5F403A09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BB3A20F0-DD59-4638-8E0A-BAF8224B61BE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Arrow Connector 268">
            <a:extLst>
              <a:ext uri="{FF2B5EF4-FFF2-40B4-BE49-F238E27FC236}">
                <a16:creationId xmlns:a16="http://schemas.microsoft.com/office/drawing/2014/main" id="{87ABA211-5A30-4AE9-ABA6-4B57EEEE8AE7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>
            <a:extLst>
              <a:ext uri="{FF2B5EF4-FFF2-40B4-BE49-F238E27FC236}">
                <a16:creationId xmlns:a16="http://schemas.microsoft.com/office/drawing/2014/main" id="{908C0AB8-2D9E-45E0-834E-0409EB3D8E59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1" name="Group 155">
            <a:extLst>
              <a:ext uri="{FF2B5EF4-FFF2-40B4-BE49-F238E27FC236}">
                <a16:creationId xmlns:a16="http://schemas.microsoft.com/office/drawing/2014/main" id="{FD0D0E27-BB2A-4018-B4E8-C067D67FAD61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276" name="Isosceles Triangle 275">
              <a:extLst>
                <a:ext uri="{FF2B5EF4-FFF2-40B4-BE49-F238E27FC236}">
                  <a16:creationId xmlns:a16="http://schemas.microsoft.com/office/drawing/2014/main" id="{CDCF7C7D-D7C3-449E-A0CF-5FA1FF65BBC5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77" name="Isosceles Triangle 276">
              <a:extLst>
                <a:ext uri="{FF2B5EF4-FFF2-40B4-BE49-F238E27FC236}">
                  <a16:creationId xmlns:a16="http://schemas.microsoft.com/office/drawing/2014/main" id="{6D846C6F-CF7A-4981-ABC4-9672C7617FFC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78" name="Isosceles Triangle 277">
              <a:extLst>
                <a:ext uri="{FF2B5EF4-FFF2-40B4-BE49-F238E27FC236}">
                  <a16:creationId xmlns:a16="http://schemas.microsoft.com/office/drawing/2014/main" id="{A389252E-9C22-4CD3-8F48-D6D3745B7574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272" name="Group 134">
            <a:extLst>
              <a:ext uri="{FF2B5EF4-FFF2-40B4-BE49-F238E27FC236}">
                <a16:creationId xmlns:a16="http://schemas.microsoft.com/office/drawing/2014/main" id="{D51EBE46-A9DD-4D69-9C90-180B511C5F93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273" name="Isosceles Triangle 272">
              <a:extLst>
                <a:ext uri="{FF2B5EF4-FFF2-40B4-BE49-F238E27FC236}">
                  <a16:creationId xmlns:a16="http://schemas.microsoft.com/office/drawing/2014/main" id="{4818A71E-3A2B-4A45-B33B-274A37C25F81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74" name="Isosceles Triangle 273">
              <a:extLst>
                <a:ext uri="{FF2B5EF4-FFF2-40B4-BE49-F238E27FC236}">
                  <a16:creationId xmlns:a16="http://schemas.microsoft.com/office/drawing/2014/main" id="{45E22B30-6C7B-4349-A0E6-C4A4576887C7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275" name="Isosceles Triangle 274">
              <a:extLst>
                <a:ext uri="{FF2B5EF4-FFF2-40B4-BE49-F238E27FC236}">
                  <a16:creationId xmlns:a16="http://schemas.microsoft.com/office/drawing/2014/main" id="{30F7F71B-D06A-461F-A2E5-AD833F51C711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3</xdr:col>
      <xdr:colOff>291353</xdr:colOff>
      <xdr:row>21</xdr:row>
      <xdr:rowOff>150719</xdr:rowOff>
    </xdr:from>
    <xdr:to>
      <xdr:col>19</xdr:col>
      <xdr:colOff>68064</xdr:colOff>
      <xdr:row>33</xdr:row>
      <xdr:rowOff>29523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C74AF63-5099-4FF9-BA9F-D6EB9AC37C97}"/>
            </a:ext>
          </a:extLst>
        </xdr:cNvPr>
        <xdr:cNvCxnSpPr/>
      </xdr:nvCxnSpPr>
      <xdr:spPr>
        <a:xfrm flipH="1">
          <a:off x="986118" y="3445248"/>
          <a:ext cx="5872711" cy="1750187"/>
        </a:xfrm>
        <a:prstGeom prst="line">
          <a:avLst/>
        </a:prstGeom>
        <a:ln w="254000">
          <a:solidFill>
            <a:schemeClr val="accent5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209464</xdr:colOff>
      <xdr:row>22</xdr:row>
      <xdr:rowOff>117584</xdr:rowOff>
    </xdr:from>
    <xdr:to>
      <xdr:col>7</xdr:col>
      <xdr:colOff>344289</xdr:colOff>
      <xdr:row>34</xdr:row>
      <xdr:rowOff>27454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AD7DA82-96AF-4F33-85B0-ED86C82C97C3}"/>
            </a:ext>
          </a:extLst>
        </xdr:cNvPr>
        <xdr:cNvCxnSpPr/>
      </xdr:nvCxnSpPr>
      <xdr:spPr>
        <a:xfrm flipH="1" flipV="1">
          <a:off x="2047229" y="3568996"/>
          <a:ext cx="515825" cy="1781252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50929</xdr:colOff>
      <xdr:row>38</xdr:row>
      <xdr:rowOff>28365</xdr:rowOff>
    </xdr:from>
    <xdr:to>
      <xdr:col>16</xdr:col>
      <xdr:colOff>161447</xdr:colOff>
      <xdr:row>38</xdr:row>
      <xdr:rowOff>149437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00A5739-DEDC-4716-88D6-F94DCED72EA4}"/>
            </a:ext>
          </a:extLst>
        </xdr:cNvPr>
        <xdr:cNvGrpSpPr/>
      </xdr:nvGrpSpPr>
      <xdr:grpSpPr>
        <a:xfrm>
          <a:off x="5699668" y="5768213"/>
          <a:ext cx="110518" cy="121072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FA231DF8-BF53-B6E2-251C-2490AB494ED8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50C3D772-D03E-CF02-6D98-111A03F76D19}"/>
              </a:ext>
            </a:extLst>
          </xdr:cNvPr>
          <xdr:cNvCxnSpPr>
            <a:stCxn id="9" idx="1"/>
            <a:endCxn id="9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2A43EA3-C68F-5F4F-7110-92B627E28DB3}"/>
              </a:ext>
            </a:extLst>
          </xdr:cNvPr>
          <xdr:cNvCxnSpPr>
            <a:stCxn id="9" idx="3"/>
            <a:endCxn id="9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289697</xdr:colOff>
      <xdr:row>27</xdr:row>
      <xdr:rowOff>35613</xdr:rowOff>
    </xdr:from>
    <xdr:to>
      <xdr:col>8</xdr:col>
      <xdr:colOff>12684</xdr:colOff>
      <xdr:row>27</xdr:row>
      <xdr:rowOff>145874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1DDF9B-F901-4D7A-A5CF-59DD0A9FB197}"/>
            </a:ext>
          </a:extLst>
        </xdr:cNvPr>
        <xdr:cNvGrpSpPr/>
      </xdr:nvGrpSpPr>
      <xdr:grpSpPr>
        <a:xfrm>
          <a:off x="2509436" y="4110656"/>
          <a:ext cx="103987" cy="11026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FA678956-AB63-E587-2F3F-894E39AB4A4A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B0AF32A1-7EA1-9615-1B90-AC0AB9F464DC}"/>
              </a:ext>
            </a:extLst>
          </xdr:cNvPr>
          <xdr:cNvCxnSpPr>
            <a:stCxn id="16" idx="1"/>
            <a:endCxn id="1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2B6F5CE1-9DDB-05B3-D147-5B660415EF47}"/>
              </a:ext>
            </a:extLst>
          </xdr:cNvPr>
          <xdr:cNvCxnSpPr>
            <a:stCxn id="16" idx="3"/>
            <a:endCxn id="1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137272</xdr:colOff>
      <xdr:row>26</xdr:row>
      <xdr:rowOff>147357</xdr:rowOff>
    </xdr:from>
    <xdr:to>
      <xdr:col>19</xdr:col>
      <xdr:colOff>363339</xdr:colOff>
      <xdr:row>38</xdr:row>
      <xdr:rowOff>93958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9D76ECF-EEE0-4C0E-883D-6F2E3A99A7A7}"/>
            </a:ext>
          </a:extLst>
        </xdr:cNvPr>
        <xdr:cNvCxnSpPr/>
      </xdr:nvCxnSpPr>
      <xdr:spPr>
        <a:xfrm flipV="1">
          <a:off x="1213037" y="4226298"/>
          <a:ext cx="5941067" cy="1817984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110378</xdr:colOff>
      <xdr:row>25</xdr:row>
      <xdr:rowOff>94689</xdr:rowOff>
    </xdr:from>
    <xdr:to>
      <xdr:col>19</xdr:col>
      <xdr:colOff>268089</xdr:colOff>
      <xdr:row>36</xdr:row>
      <xdr:rowOff>130376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75E43A6-20E1-4875-A93C-7EAE10903991}"/>
            </a:ext>
          </a:extLst>
        </xdr:cNvPr>
        <xdr:cNvCxnSpPr/>
      </xdr:nvCxnSpPr>
      <xdr:spPr>
        <a:xfrm flipH="1">
          <a:off x="1186143" y="4016748"/>
          <a:ext cx="5872711" cy="1750187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371389</xdr:colOff>
      <xdr:row>18</xdr:row>
      <xdr:rowOff>78364</xdr:rowOff>
    </xdr:from>
    <xdr:to>
      <xdr:col>14</xdr:col>
      <xdr:colOff>125214</xdr:colOff>
      <xdr:row>29</xdr:row>
      <xdr:rowOff>133910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5B30948-5781-41B4-AA33-F0C2E60925AB}"/>
            </a:ext>
          </a:extLst>
        </xdr:cNvPr>
        <xdr:cNvCxnSpPr/>
      </xdr:nvCxnSpPr>
      <xdr:spPr>
        <a:xfrm flipH="1" flipV="1">
          <a:off x="4495154" y="2902246"/>
          <a:ext cx="515825" cy="1781252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275933</xdr:colOff>
      <xdr:row>17</xdr:row>
      <xdr:rowOff>0</xdr:rowOff>
    </xdr:from>
    <xdr:to>
      <xdr:col>14</xdr:col>
      <xdr:colOff>28283</xdr:colOff>
      <xdr:row>24</xdr:row>
      <xdr:rowOff>16249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4BC7B80-B262-4BE6-B8F0-444C42ED91E6}"/>
            </a:ext>
          </a:extLst>
        </xdr:cNvPr>
        <xdr:cNvCxnSpPr/>
      </xdr:nvCxnSpPr>
      <xdr:spPr>
        <a:xfrm flipV="1">
          <a:off x="1351698" y="2667000"/>
          <a:ext cx="3562350" cy="1114425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21800</xdr:colOff>
      <xdr:row>24</xdr:row>
      <xdr:rowOff>152240</xdr:rowOff>
    </xdr:from>
    <xdr:to>
      <xdr:col>11</xdr:col>
      <xdr:colOff>125787</xdr:colOff>
      <xdr:row>25</xdr:row>
      <xdr:rowOff>113413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E5B78FA-A35E-42D0-AD66-AA3E266B45C7}"/>
            </a:ext>
          </a:extLst>
        </xdr:cNvPr>
        <xdr:cNvGrpSpPr/>
      </xdr:nvGrpSpPr>
      <xdr:grpSpPr>
        <a:xfrm>
          <a:off x="3765539" y="3780023"/>
          <a:ext cx="103987" cy="110260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EBEE45CE-F00E-453F-305B-6F4D0D7ACA0D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6B349521-5BE1-A93A-D980-685050709128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41993BFD-8F26-FF5E-2A99-8007CA5DF303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63581</xdr:colOff>
      <xdr:row>24</xdr:row>
      <xdr:rowOff>30256</xdr:rowOff>
    </xdr:from>
    <xdr:to>
      <xdr:col>7</xdr:col>
      <xdr:colOff>167568</xdr:colOff>
      <xdr:row>24</xdr:row>
      <xdr:rowOff>148312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5C47C6C-D34E-4CDC-B1F0-D792A7C03E13}"/>
            </a:ext>
          </a:extLst>
        </xdr:cNvPr>
        <xdr:cNvGrpSpPr/>
      </xdr:nvGrpSpPr>
      <xdr:grpSpPr>
        <a:xfrm>
          <a:off x="2283320" y="3658039"/>
          <a:ext cx="103987" cy="118056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31429CCB-9831-7443-E843-AE4E27316508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94ED669-FF36-E71E-88DF-13D567ECD05C}"/>
              </a:ext>
            </a:extLst>
          </xdr:cNvPr>
          <xdr:cNvCxnSpPr>
            <a:stCxn id="30" idx="1"/>
            <a:endCxn id="30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24AB9D35-53C5-0DE6-7852-81FC6D538C5B}"/>
              </a:ext>
            </a:extLst>
          </xdr:cNvPr>
          <xdr:cNvCxnSpPr>
            <a:stCxn id="30" idx="3"/>
            <a:endCxn id="30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10914</xdr:colOff>
      <xdr:row>28</xdr:row>
      <xdr:rowOff>128867</xdr:rowOff>
    </xdr:from>
    <xdr:to>
      <xdr:col>12</xdr:col>
      <xdr:colOff>114901</xdr:colOff>
      <xdr:row>29</xdr:row>
      <xdr:rowOff>90041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97E6B784-1CEE-4998-A422-B1BD94B433F0}"/>
            </a:ext>
          </a:extLst>
        </xdr:cNvPr>
        <xdr:cNvGrpSpPr/>
      </xdr:nvGrpSpPr>
      <xdr:grpSpPr>
        <a:xfrm>
          <a:off x="4135653" y="4352997"/>
          <a:ext cx="103987" cy="110261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5C119F20-F92F-4DEF-1351-795C9E75903E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94043F59-F06E-679E-DD27-4FBAADE039ED}"/>
              </a:ext>
            </a:extLst>
          </xdr:cNvPr>
          <xdr:cNvCxnSpPr>
            <a:stCxn id="34" idx="1"/>
            <a:endCxn id="34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5C8B5201-4345-0AFB-B1D6-BD8D7507E31F}"/>
              </a:ext>
            </a:extLst>
          </xdr:cNvPr>
          <xdr:cNvCxnSpPr>
            <a:stCxn id="34" idx="3"/>
            <a:endCxn id="34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344289</xdr:colOff>
      <xdr:row>33</xdr:row>
      <xdr:rowOff>31936</xdr:rowOff>
    </xdr:from>
    <xdr:to>
      <xdr:col>13</xdr:col>
      <xdr:colOff>67276</xdr:colOff>
      <xdr:row>33</xdr:row>
      <xdr:rowOff>149992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8097676E-2EE9-409E-A34C-C8CCB79A11C4}"/>
            </a:ext>
          </a:extLst>
        </xdr:cNvPr>
        <xdr:cNvGrpSpPr/>
      </xdr:nvGrpSpPr>
      <xdr:grpSpPr>
        <a:xfrm>
          <a:off x="4469028" y="4993219"/>
          <a:ext cx="103987" cy="118056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C4FB0B08-D627-B3A7-5D2F-E0CC6AFB538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D564B4E7-E608-86B0-2BF6-FDB0FD729384}"/>
              </a:ext>
            </a:extLst>
          </xdr:cNvPr>
          <xdr:cNvCxnSpPr>
            <a:stCxn id="38" idx="1"/>
            <a:endCxn id="38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E6BC1104-15B5-C704-51D0-800868E20690}"/>
              </a:ext>
            </a:extLst>
          </xdr:cNvPr>
          <xdr:cNvCxnSpPr>
            <a:stCxn id="38" idx="3"/>
            <a:endCxn id="38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176407</xdr:colOff>
      <xdr:row>33</xdr:row>
      <xdr:rowOff>29058</xdr:rowOff>
    </xdr:from>
    <xdr:to>
      <xdr:col>16</xdr:col>
      <xdr:colOff>369794</xdr:colOff>
      <xdr:row>41</xdr:row>
      <xdr:rowOff>11205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103D0EE-194E-4F25-8AD9-727D0FD46E61}"/>
            </a:ext>
          </a:extLst>
        </xdr:cNvPr>
        <xdr:cNvCxnSpPr/>
      </xdr:nvCxnSpPr>
      <xdr:spPr>
        <a:xfrm flipH="1" flipV="1">
          <a:off x="3919172" y="5194970"/>
          <a:ext cx="2098387" cy="1237206"/>
        </a:xfrm>
        <a:prstGeom prst="line">
          <a:avLst/>
        </a:prstGeom>
        <a:ln w="1905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100853</xdr:colOff>
      <xdr:row>43</xdr:row>
      <xdr:rowOff>44824</xdr:rowOff>
    </xdr:from>
    <xdr:to>
      <xdr:col>12</xdr:col>
      <xdr:colOff>211371</xdr:colOff>
      <xdr:row>44</xdr:row>
      <xdr:rowOff>9013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887A06D1-20DC-41AE-A2C6-1535F5B4C596}"/>
            </a:ext>
          </a:extLst>
        </xdr:cNvPr>
        <xdr:cNvGrpSpPr/>
      </xdr:nvGrpSpPr>
      <xdr:grpSpPr>
        <a:xfrm>
          <a:off x="4225592" y="6530107"/>
          <a:ext cx="110518" cy="113276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E6EB71B-5D59-5704-293A-CE5D9ABF026C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1DEAB0-2D36-C40C-CADD-3C988EF97A3D}"/>
              </a:ext>
            </a:extLst>
          </xdr:cNvPr>
          <xdr:cNvCxnSpPr>
            <a:stCxn id="56" idx="1"/>
            <a:endCxn id="56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BA027678-710C-B62B-1A0D-FF4EFB1053BD}"/>
              </a:ext>
            </a:extLst>
          </xdr:cNvPr>
          <xdr:cNvCxnSpPr>
            <a:stCxn id="56" idx="3"/>
            <a:endCxn id="56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6723</xdr:colOff>
      <xdr:row>46</xdr:row>
      <xdr:rowOff>152401</xdr:rowOff>
    </xdr:from>
    <xdr:to>
      <xdr:col>8</xdr:col>
      <xdr:colOff>117241</xdr:colOff>
      <xdr:row>47</xdr:row>
      <xdr:rowOff>116590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A1E0F20E-C6E3-4B85-A9B2-080AF35D7751}"/>
            </a:ext>
          </a:extLst>
        </xdr:cNvPr>
        <xdr:cNvGrpSpPr/>
      </xdr:nvGrpSpPr>
      <xdr:grpSpPr>
        <a:xfrm>
          <a:off x="2607462" y="7084944"/>
          <a:ext cx="110518" cy="113276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3FF69C7B-0252-6042-BB51-40E2A9D8C1F8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59017C63-2580-68EC-9B48-FD3F9DE9F6A8}"/>
              </a:ext>
            </a:extLst>
          </xdr:cNvPr>
          <xdr:cNvCxnSpPr>
            <a:stCxn id="61" idx="1"/>
            <a:endCxn id="61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DC6999EA-465B-97AC-507F-F426BD442285}"/>
              </a:ext>
            </a:extLst>
          </xdr:cNvPr>
          <xdr:cNvCxnSpPr>
            <a:stCxn id="61" idx="3"/>
            <a:endCxn id="61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24035</xdr:colOff>
      <xdr:row>33</xdr:row>
      <xdr:rowOff>79912</xdr:rowOff>
    </xdr:from>
    <xdr:to>
      <xdr:col>20</xdr:col>
      <xdr:colOff>134553</xdr:colOff>
      <xdr:row>34</xdr:row>
      <xdr:rowOff>44102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2E67EBD0-D267-4957-94DD-1F732E6DC335}"/>
            </a:ext>
          </a:extLst>
        </xdr:cNvPr>
        <xdr:cNvGrpSpPr/>
      </xdr:nvGrpSpPr>
      <xdr:grpSpPr>
        <a:xfrm>
          <a:off x="7196774" y="5041195"/>
          <a:ext cx="110518" cy="113277"/>
          <a:chOff x="3725636" y="1945820"/>
          <a:chExt cx="153760" cy="144237"/>
        </a:xfrm>
        <a:solidFill>
          <a:schemeClr val="bg1"/>
        </a:solidFill>
      </xdr:grpSpPr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D14CD1F5-F8C4-26E8-ED3C-71268894E04E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B9AE12A7-1156-21ED-7442-C204B8255EB2}"/>
              </a:ext>
            </a:extLst>
          </xdr:cNvPr>
          <xdr:cNvCxnSpPr>
            <a:stCxn id="69" idx="1"/>
            <a:endCxn id="69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53B9FC74-A77F-70BA-EEFF-D97375F60EE7}"/>
              </a:ext>
            </a:extLst>
          </xdr:cNvPr>
          <xdr:cNvCxnSpPr>
            <a:stCxn id="69" idx="3"/>
            <a:endCxn id="69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89647</xdr:colOff>
      <xdr:row>47</xdr:row>
      <xdr:rowOff>98859</xdr:rowOff>
    </xdr:from>
    <xdr:to>
      <xdr:col>8</xdr:col>
      <xdr:colOff>22908</xdr:colOff>
      <xdr:row>48</xdr:row>
      <xdr:rowOff>123265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AB654F95-7236-45DE-86F1-76894521F680}"/>
            </a:ext>
          </a:extLst>
        </xdr:cNvPr>
        <xdr:cNvCxnSpPr>
          <a:endCxn id="61" idx="3"/>
        </xdr:cNvCxnSpPr>
      </xdr:nvCxnSpPr>
      <xdr:spPr>
        <a:xfrm flipV="1">
          <a:off x="2308412" y="7461124"/>
          <a:ext cx="314261" cy="1812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117241</xdr:colOff>
      <xdr:row>43</xdr:row>
      <xdr:rowOff>148165</xdr:rowOff>
    </xdr:from>
    <xdr:to>
      <xdr:col>12</xdr:col>
      <xdr:colOff>117038</xdr:colOff>
      <xdr:row>47</xdr:row>
      <xdr:rowOff>56054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F9520160-2F3E-4B53-A37B-E2B321DE978C}"/>
            </a:ext>
          </a:extLst>
        </xdr:cNvPr>
        <xdr:cNvCxnSpPr>
          <a:stCxn id="61" idx="6"/>
          <a:endCxn id="56" idx="3"/>
        </xdr:cNvCxnSpPr>
      </xdr:nvCxnSpPr>
      <xdr:spPr>
        <a:xfrm flipV="1">
          <a:off x="2717006" y="6882900"/>
          <a:ext cx="1523797" cy="53541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211371</xdr:colOff>
      <xdr:row>38</xdr:row>
      <xdr:rowOff>131706</xdr:rowOff>
    </xdr:from>
    <xdr:to>
      <xdr:col>16</xdr:col>
      <xdr:colOff>67114</xdr:colOff>
      <xdr:row>43</xdr:row>
      <xdr:rowOff>105360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67B081E4-E02E-4ACE-86FE-7EABC723CF95}"/>
            </a:ext>
          </a:extLst>
        </xdr:cNvPr>
        <xdr:cNvCxnSpPr>
          <a:stCxn id="56" idx="6"/>
          <a:endCxn id="9" idx="3"/>
        </xdr:cNvCxnSpPr>
      </xdr:nvCxnSpPr>
      <xdr:spPr>
        <a:xfrm flipV="1">
          <a:off x="4335136" y="6082030"/>
          <a:ext cx="1379743" cy="75806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161447</xdr:colOff>
      <xdr:row>34</xdr:row>
      <xdr:rowOff>26371</xdr:rowOff>
    </xdr:from>
    <xdr:to>
      <xdr:col>20</xdr:col>
      <xdr:colOff>40220</xdr:colOff>
      <xdr:row>38</xdr:row>
      <xdr:rowOff>88901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FFE1573E-F5F7-455F-BF89-516D6E5166C4}"/>
            </a:ext>
          </a:extLst>
        </xdr:cNvPr>
        <xdr:cNvCxnSpPr>
          <a:stCxn id="9" idx="6"/>
          <a:endCxn id="69" idx="3"/>
        </xdr:cNvCxnSpPr>
      </xdr:nvCxnSpPr>
      <xdr:spPr>
        <a:xfrm flipV="1">
          <a:off x="5809212" y="5349165"/>
          <a:ext cx="1402773" cy="6900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134553</xdr:colOff>
      <xdr:row>32</xdr:row>
      <xdr:rowOff>56030</xdr:rowOff>
    </xdr:from>
    <xdr:to>
      <xdr:col>21</xdr:col>
      <xdr:colOff>101349</xdr:colOff>
      <xdr:row>33</xdr:row>
      <xdr:rowOff>140448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986FA181-8856-4B53-85F8-A5DF8F02C765}"/>
            </a:ext>
          </a:extLst>
        </xdr:cNvPr>
        <xdr:cNvCxnSpPr>
          <a:stCxn id="69" idx="6"/>
        </xdr:cNvCxnSpPr>
      </xdr:nvCxnSpPr>
      <xdr:spPr>
        <a:xfrm flipV="1">
          <a:off x="7306318" y="5065059"/>
          <a:ext cx="347796" cy="24130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154980</xdr:colOff>
      <xdr:row>36</xdr:row>
      <xdr:rowOff>145596</xdr:rowOff>
    </xdr:from>
    <xdr:to>
      <xdr:col>16</xdr:col>
      <xdr:colOff>288043</xdr:colOff>
      <xdr:row>38</xdr:row>
      <xdr:rowOff>21160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B73BB13B-36C0-4FB1-8429-D1E79C8D6BE2}"/>
            </a:ext>
          </a:extLst>
        </xdr:cNvPr>
        <xdr:cNvSpPr/>
      </xdr:nvSpPr>
      <xdr:spPr>
        <a:xfrm>
          <a:off x="5802745" y="5782155"/>
          <a:ext cx="133063" cy="189329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52047</xdr:colOff>
      <xdr:row>33</xdr:row>
      <xdr:rowOff>132703</xdr:rowOff>
    </xdr:from>
    <xdr:to>
      <xdr:col>16</xdr:col>
      <xdr:colOff>50929</xdr:colOff>
      <xdr:row>38</xdr:row>
      <xdr:rowOff>88901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9B0ACB3D-0EFA-4EF6-9E37-6868551B8E1B}"/>
            </a:ext>
          </a:extLst>
        </xdr:cNvPr>
        <xdr:cNvCxnSpPr>
          <a:cxnSpLocks/>
          <a:stCxn id="9" idx="2"/>
          <a:endCxn id="38" idx="5"/>
        </xdr:cNvCxnSpPr>
      </xdr:nvCxnSpPr>
      <xdr:spPr>
        <a:xfrm flipH="1" flipV="1">
          <a:off x="4556812" y="5298615"/>
          <a:ext cx="1141882" cy="74061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62908</xdr:colOff>
      <xdr:row>29</xdr:row>
      <xdr:rowOff>90041</xdr:rowOff>
    </xdr:from>
    <xdr:to>
      <xdr:col>12</xdr:col>
      <xdr:colOff>359518</xdr:colOff>
      <xdr:row>33</xdr:row>
      <xdr:rowOff>49225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42AA718-96D9-4C54-9886-9725950AA3F1}"/>
            </a:ext>
          </a:extLst>
        </xdr:cNvPr>
        <xdr:cNvCxnSpPr>
          <a:cxnSpLocks/>
          <a:stCxn id="38" idx="1"/>
          <a:endCxn id="34" idx="4"/>
        </xdr:cNvCxnSpPr>
      </xdr:nvCxnSpPr>
      <xdr:spPr>
        <a:xfrm flipH="1" flipV="1">
          <a:off x="4186673" y="4639629"/>
          <a:ext cx="296610" cy="575508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110558</xdr:colOff>
      <xdr:row>25</xdr:row>
      <xdr:rowOff>96124</xdr:rowOff>
    </xdr:from>
    <xdr:to>
      <xdr:col>12</xdr:col>
      <xdr:colOff>26143</xdr:colOff>
      <xdr:row>28</xdr:row>
      <xdr:rowOff>146156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AEEF7A04-7762-4596-9F6E-3E994815245F}"/>
            </a:ext>
          </a:extLst>
        </xdr:cNvPr>
        <xdr:cNvCxnSpPr>
          <a:cxnSpLocks/>
          <a:stCxn id="34" idx="1"/>
          <a:endCxn id="26" idx="5"/>
        </xdr:cNvCxnSpPr>
      </xdr:nvCxnSpPr>
      <xdr:spPr>
        <a:xfrm flipH="1" flipV="1">
          <a:off x="3853323" y="4018183"/>
          <a:ext cx="296585" cy="52067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378455</xdr:colOff>
      <xdr:row>25</xdr:row>
      <xdr:rowOff>97266</xdr:rowOff>
    </xdr:from>
    <xdr:to>
      <xdr:col>11</xdr:col>
      <xdr:colOff>37029</xdr:colOff>
      <xdr:row>27</xdr:row>
      <xdr:rowOff>129727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6DC203D4-5D6C-46A5-A023-72772B1C6A67}"/>
            </a:ext>
          </a:extLst>
        </xdr:cNvPr>
        <xdr:cNvCxnSpPr>
          <a:cxnSpLocks/>
          <a:stCxn id="26" idx="3"/>
          <a:endCxn id="16" idx="5"/>
        </xdr:cNvCxnSpPr>
      </xdr:nvCxnSpPr>
      <xdr:spPr>
        <a:xfrm flipH="1">
          <a:off x="2598194" y="3874136"/>
          <a:ext cx="1182574" cy="330634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115575</xdr:colOff>
      <xdr:row>24</xdr:row>
      <xdr:rowOff>148312</xdr:rowOff>
    </xdr:from>
    <xdr:to>
      <xdr:col>7</xdr:col>
      <xdr:colOff>304926</xdr:colOff>
      <xdr:row>27</xdr:row>
      <xdr:rowOff>51760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FCC08350-044E-4966-A98F-FB59D3B2D149}"/>
            </a:ext>
          </a:extLst>
        </xdr:cNvPr>
        <xdr:cNvCxnSpPr>
          <a:cxnSpLocks/>
          <a:stCxn id="16" idx="1"/>
          <a:endCxn id="30" idx="4"/>
        </xdr:cNvCxnSpPr>
      </xdr:nvCxnSpPr>
      <xdr:spPr>
        <a:xfrm flipH="1" flipV="1">
          <a:off x="2335314" y="3776095"/>
          <a:ext cx="189351" cy="350708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110558</xdr:colOff>
      <xdr:row>23</xdr:row>
      <xdr:rowOff>89647</xdr:rowOff>
    </xdr:from>
    <xdr:to>
      <xdr:col>11</xdr:col>
      <xdr:colOff>145676</xdr:colOff>
      <xdr:row>25</xdr:row>
      <xdr:rowOff>12646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9D9B71A0-D630-4B12-95BE-F087DE5B431F}"/>
            </a:ext>
          </a:extLst>
        </xdr:cNvPr>
        <xdr:cNvCxnSpPr>
          <a:stCxn id="26" idx="7"/>
        </xdr:cNvCxnSpPr>
      </xdr:nvCxnSpPr>
      <xdr:spPr>
        <a:xfrm flipV="1">
          <a:off x="3853323" y="3697941"/>
          <a:ext cx="35118" cy="23676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33617</xdr:colOff>
      <xdr:row>22</xdr:row>
      <xdr:rowOff>145676</xdr:rowOff>
    </xdr:from>
    <xdr:to>
      <xdr:col>7</xdr:col>
      <xdr:colOff>78810</xdr:colOff>
      <xdr:row>24</xdr:row>
      <xdr:rowOff>47545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5DEC23CD-659C-4608-812A-E693DA81F09C}"/>
            </a:ext>
          </a:extLst>
        </xdr:cNvPr>
        <xdr:cNvCxnSpPr>
          <a:stCxn id="30" idx="1"/>
        </xdr:cNvCxnSpPr>
      </xdr:nvCxnSpPr>
      <xdr:spPr>
        <a:xfrm flipH="1" flipV="1">
          <a:off x="2252382" y="3597088"/>
          <a:ext cx="45193" cy="21563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22412</xdr:colOff>
      <xdr:row>26</xdr:row>
      <xdr:rowOff>11205</xdr:rowOff>
    </xdr:from>
    <xdr:to>
      <xdr:col>10</xdr:col>
      <xdr:colOff>32289</xdr:colOff>
      <xdr:row>27</xdr:row>
      <xdr:rowOff>106456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2F80C956-AFF3-4014-89F8-55EAAB1DB86D}"/>
            </a:ext>
          </a:extLst>
        </xdr:cNvPr>
        <xdr:cNvSpPr txBox="1"/>
      </xdr:nvSpPr>
      <xdr:spPr>
        <a:xfrm rot="20241787">
          <a:off x="3003177" y="4090146"/>
          <a:ext cx="390877" cy="252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14</xdr:col>
      <xdr:colOff>78442</xdr:colOff>
      <xdr:row>35</xdr:row>
      <xdr:rowOff>89648</xdr:rowOff>
    </xdr:from>
    <xdr:to>
      <xdr:col>15</xdr:col>
      <xdr:colOff>88319</xdr:colOff>
      <xdr:row>37</xdr:row>
      <xdr:rowOff>28017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318DEFDF-492B-49F7-8F19-8D41A962A5EC}"/>
            </a:ext>
          </a:extLst>
        </xdr:cNvPr>
        <xdr:cNvSpPr txBox="1"/>
      </xdr:nvSpPr>
      <xdr:spPr>
        <a:xfrm rot="1650037">
          <a:off x="4964207" y="5569324"/>
          <a:ext cx="390877" cy="252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11</xdr:col>
      <xdr:colOff>147813</xdr:colOff>
      <xdr:row>26</xdr:row>
      <xdr:rowOff>42688</xdr:rowOff>
    </xdr:from>
    <xdr:to>
      <xdr:col>12</xdr:col>
      <xdr:colOff>18947</xdr:colOff>
      <xdr:row>28</xdr:row>
      <xdr:rowOff>119800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E2D27AC1-0F50-4C75-845F-33828FFFEF82}"/>
            </a:ext>
          </a:extLst>
        </xdr:cNvPr>
        <xdr:cNvSpPr txBox="1"/>
      </xdr:nvSpPr>
      <xdr:spPr>
        <a:xfrm rot="3897439">
          <a:off x="3821206" y="4191001"/>
          <a:ext cx="390877" cy="252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12</xdr:col>
      <xdr:colOff>91784</xdr:colOff>
      <xdr:row>30</xdr:row>
      <xdr:rowOff>65098</xdr:rowOff>
    </xdr:from>
    <xdr:to>
      <xdr:col>12</xdr:col>
      <xdr:colOff>343918</xdr:colOff>
      <xdr:row>32</xdr:row>
      <xdr:rowOff>142211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E791DD9D-0DC2-4CC8-8C8B-8160F2E2DBEA}"/>
            </a:ext>
          </a:extLst>
        </xdr:cNvPr>
        <xdr:cNvSpPr txBox="1"/>
      </xdr:nvSpPr>
      <xdr:spPr>
        <a:xfrm rot="4176226">
          <a:off x="4146177" y="4829735"/>
          <a:ext cx="390877" cy="252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7</xdr:col>
      <xdr:colOff>35754</xdr:colOff>
      <xdr:row>25</xdr:row>
      <xdr:rowOff>42687</xdr:rowOff>
    </xdr:from>
    <xdr:to>
      <xdr:col>7</xdr:col>
      <xdr:colOff>287888</xdr:colOff>
      <xdr:row>27</xdr:row>
      <xdr:rowOff>119799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96929632-6B67-4C0B-BC3F-1400E7089383}"/>
            </a:ext>
          </a:extLst>
        </xdr:cNvPr>
        <xdr:cNvSpPr txBox="1"/>
      </xdr:nvSpPr>
      <xdr:spPr>
        <a:xfrm rot="4651474">
          <a:off x="2185147" y="4034118"/>
          <a:ext cx="390877" cy="252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////</a:t>
          </a:r>
        </a:p>
      </xdr:txBody>
    </xdr:sp>
    <xdr:clientData/>
  </xdr:twoCellAnchor>
  <xdr:twoCellAnchor>
    <xdr:from>
      <xdr:col>6</xdr:col>
      <xdr:colOff>31686</xdr:colOff>
      <xdr:row>14</xdr:row>
      <xdr:rowOff>91831</xdr:rowOff>
    </xdr:from>
    <xdr:to>
      <xdr:col>7</xdr:col>
      <xdr:colOff>330822</xdr:colOff>
      <xdr:row>21</xdr:row>
      <xdr:rowOff>5094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69BF082B-7B10-4E33-9553-93EA03AC35DC}"/>
            </a:ext>
          </a:extLst>
        </xdr:cNvPr>
        <xdr:cNvSpPr txBox="1"/>
      </xdr:nvSpPr>
      <xdr:spPr>
        <a:xfrm rot="20514019">
          <a:off x="1869451" y="2288184"/>
          <a:ext cx="680136" cy="101143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800" b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HAMDAN</a:t>
          </a:r>
        </a:p>
        <a:p>
          <a:pPr algn="ctr"/>
          <a:r>
            <a:rPr lang="en-US" sz="800" b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13.2</a:t>
          </a:r>
        </a:p>
      </xdr:txBody>
    </xdr:sp>
    <xdr:clientData/>
  </xdr:twoCellAnchor>
  <xdr:twoCellAnchor>
    <xdr:from>
      <xdr:col>16</xdr:col>
      <xdr:colOff>212912</xdr:colOff>
      <xdr:row>39</xdr:row>
      <xdr:rowOff>33619</xdr:rowOff>
    </xdr:from>
    <xdr:to>
      <xdr:col>18</xdr:col>
      <xdr:colOff>78441</xdr:colOff>
      <xdr:row>45</xdr:row>
      <xdr:rowOff>82826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394CCFF8-0E2C-4663-8CBD-E6FFEEE8A9A0}"/>
            </a:ext>
          </a:extLst>
        </xdr:cNvPr>
        <xdr:cNvSpPr txBox="1"/>
      </xdr:nvSpPr>
      <xdr:spPr>
        <a:xfrm>
          <a:off x="5861651" y="5922554"/>
          <a:ext cx="627529" cy="9437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K3-85</a:t>
          </a:r>
        </a:p>
        <a:p>
          <a:pPr algn="l"/>
          <a:endParaRPr lang="en-US" sz="6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pPr algn="l"/>
          <a:r>
            <a:rPr lang="en-US" sz="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DC-C8-1H</a:t>
          </a:r>
        </a:p>
        <a:p>
          <a:pPr algn="l"/>
          <a:r>
            <a:rPr lang="en-US" sz="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l"/>
          <a:r>
            <a:rPr lang="en-US" sz="6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CG105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CG312-A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</xdr:txBody>
    </xdr:sp>
    <xdr:clientData/>
  </xdr:twoCellAnchor>
  <xdr:twoCellAnchor>
    <xdr:from>
      <xdr:col>11</xdr:col>
      <xdr:colOff>231055</xdr:colOff>
      <xdr:row>34</xdr:row>
      <xdr:rowOff>72258</xdr:rowOff>
    </xdr:from>
    <xdr:to>
      <xdr:col>12</xdr:col>
      <xdr:colOff>377825</xdr:colOff>
      <xdr:row>39</xdr:row>
      <xdr:rowOff>85396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EC37138A-926C-4075-BB5C-675411163536}"/>
            </a:ext>
          </a:extLst>
        </xdr:cNvPr>
        <xdr:cNvSpPr txBox="1"/>
      </xdr:nvSpPr>
      <xdr:spPr>
        <a:xfrm>
          <a:off x="3968796" y="5242034"/>
          <a:ext cx="527770" cy="79484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endParaRPr lang="en-US" sz="600" b="0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13</xdr:col>
      <xdr:colOff>41413</xdr:colOff>
      <xdr:row>33</xdr:row>
      <xdr:rowOff>138347</xdr:rowOff>
    </xdr:from>
    <xdr:to>
      <xdr:col>13</xdr:col>
      <xdr:colOff>149087</xdr:colOff>
      <xdr:row>35</xdr:row>
      <xdr:rowOff>16565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5B4CDAB5-9BBF-4B59-889C-AA996FBD0EFD}"/>
            </a:ext>
          </a:extLst>
        </xdr:cNvPr>
        <xdr:cNvCxnSpPr/>
      </xdr:nvCxnSpPr>
      <xdr:spPr>
        <a:xfrm>
          <a:off x="4547152" y="5099630"/>
          <a:ext cx="107674" cy="17639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249621</xdr:colOff>
      <xdr:row>25</xdr:row>
      <xdr:rowOff>98534</xdr:rowOff>
    </xdr:from>
    <xdr:to>
      <xdr:col>14</xdr:col>
      <xdr:colOff>15391</xdr:colOff>
      <xdr:row>29</xdr:row>
      <xdr:rowOff>13138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11A9D408-BC02-49F5-8B9E-A61B3BEDF028}"/>
            </a:ext>
          </a:extLst>
        </xdr:cNvPr>
        <xdr:cNvSpPr txBox="1"/>
      </xdr:nvSpPr>
      <xdr:spPr>
        <a:xfrm>
          <a:off x="4368362" y="3915103"/>
          <a:ext cx="527770" cy="51894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endParaRPr lang="en-US" sz="600" b="0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</xdr:txBody>
    </xdr:sp>
    <xdr:clientData/>
  </xdr:twoCellAnchor>
  <xdr:twoCellAnchor>
    <xdr:from>
      <xdr:col>9</xdr:col>
      <xdr:colOff>275896</xdr:colOff>
      <xdr:row>19</xdr:row>
      <xdr:rowOff>91965</xdr:rowOff>
    </xdr:from>
    <xdr:to>
      <xdr:col>11</xdr:col>
      <xdr:colOff>41666</xdr:colOff>
      <xdr:row>24</xdr:row>
      <xdr:rowOff>131379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8842C14-C4A1-45F6-866E-370D981DED70}"/>
            </a:ext>
          </a:extLst>
        </xdr:cNvPr>
        <xdr:cNvSpPr txBox="1"/>
      </xdr:nvSpPr>
      <xdr:spPr>
        <a:xfrm>
          <a:off x="3251637" y="3002017"/>
          <a:ext cx="527770" cy="79484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endParaRPr lang="en-US" sz="600" b="0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C9-200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7</xdr:col>
      <xdr:colOff>24847</xdr:colOff>
      <xdr:row>29</xdr:row>
      <xdr:rowOff>124239</xdr:rowOff>
    </xdr:from>
    <xdr:to>
      <xdr:col>8</xdr:col>
      <xdr:colOff>171617</xdr:colOff>
      <xdr:row>35</xdr:row>
      <xdr:rowOff>22848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B6A67FE3-B493-49B3-8002-654E534AE3DF}"/>
            </a:ext>
          </a:extLst>
        </xdr:cNvPr>
        <xdr:cNvSpPr txBox="1"/>
      </xdr:nvSpPr>
      <xdr:spPr>
        <a:xfrm>
          <a:off x="2244586" y="4497456"/>
          <a:ext cx="527770" cy="78484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endParaRPr lang="en-US" sz="600" b="0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C9-200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>
    <xdr:from>
      <xdr:col>7</xdr:col>
      <xdr:colOff>281609</xdr:colOff>
      <xdr:row>27</xdr:row>
      <xdr:rowOff>145874</xdr:rowOff>
    </xdr:from>
    <xdr:to>
      <xdr:col>7</xdr:col>
      <xdr:colOff>341691</xdr:colOff>
      <xdr:row>29</xdr:row>
      <xdr:rowOff>66261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6E16584F-5124-4B4A-BACC-99086F4196DA}"/>
            </a:ext>
          </a:extLst>
        </xdr:cNvPr>
        <xdr:cNvCxnSpPr>
          <a:stCxn id="16" idx="4"/>
        </xdr:cNvCxnSpPr>
      </xdr:nvCxnSpPr>
      <xdr:spPr>
        <a:xfrm flipH="1">
          <a:off x="2501348" y="4220917"/>
          <a:ext cx="60082" cy="218561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140804</xdr:colOff>
      <xdr:row>22</xdr:row>
      <xdr:rowOff>99391</xdr:rowOff>
    </xdr:from>
    <xdr:to>
      <xdr:col>6</xdr:col>
      <xdr:colOff>287574</xdr:colOff>
      <xdr:row>28</xdr:row>
      <xdr:rowOff>107674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C9E79E4-C199-4F51-B961-BDA0687917F1}"/>
            </a:ext>
          </a:extLst>
        </xdr:cNvPr>
        <xdr:cNvSpPr txBox="1"/>
      </xdr:nvSpPr>
      <xdr:spPr>
        <a:xfrm>
          <a:off x="1598543" y="3429000"/>
          <a:ext cx="527770" cy="90280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endParaRPr lang="en-US" sz="600" b="0" u="non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C9-200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MJ6-T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pPr algn="l"/>
          <a:r>
            <a:rPr lang="en-US" sz="600" b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</xdr:txBody>
    </xdr:sp>
    <xdr:clientData/>
  </xdr:twoCellAnchor>
  <xdr:twoCellAnchor editAs="oneCell">
    <xdr:from>
      <xdr:col>15</xdr:col>
      <xdr:colOff>55172</xdr:colOff>
      <xdr:row>9</xdr:row>
      <xdr:rowOff>41413</xdr:rowOff>
    </xdr:from>
    <xdr:to>
      <xdr:col>20</xdr:col>
      <xdr:colOff>349278</xdr:colOff>
      <xdr:row>19</xdr:row>
      <xdr:rowOff>97198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34D71817-114B-3C39-04C3-84AB6B5EA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2911" y="1416326"/>
          <a:ext cx="2199106" cy="15632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294409</xdr:colOff>
      <xdr:row>12</xdr:row>
      <xdr:rowOff>17318</xdr:rowOff>
    </xdr:from>
    <xdr:to>
      <xdr:col>26</xdr:col>
      <xdr:colOff>86592</xdr:colOff>
      <xdr:row>57</xdr:row>
      <xdr:rowOff>126128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8748FD-60D4-4E15-B054-369B12CF9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773" y="1853045"/>
          <a:ext cx="13092546" cy="7122674"/>
        </a:xfrm>
        <a:prstGeom prst="rect">
          <a:avLst/>
        </a:prstGeom>
      </xdr:spPr>
    </xdr:pic>
    <xdr:clientData/>
  </xdr:twoCellAnchor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  <xdr:twoCellAnchor>
    <xdr:from>
      <xdr:col>8</xdr:col>
      <xdr:colOff>398319</xdr:colOff>
      <xdr:row>24</xdr:row>
      <xdr:rowOff>0</xdr:rowOff>
    </xdr:from>
    <xdr:to>
      <xdr:col>8</xdr:col>
      <xdr:colOff>406978</xdr:colOff>
      <xdr:row>27</xdr:row>
      <xdr:rowOff>51955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10BF23B-5BF1-4263-A5D1-8AC48D3ED913}"/>
            </a:ext>
          </a:extLst>
        </xdr:cNvPr>
        <xdr:cNvCxnSpPr/>
      </xdr:nvCxnSpPr>
      <xdr:spPr>
        <a:xfrm flipH="1">
          <a:off x="3931228" y="3706091"/>
          <a:ext cx="8659" cy="51954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277090</xdr:colOff>
      <xdr:row>22</xdr:row>
      <xdr:rowOff>103908</xdr:rowOff>
    </xdr:from>
    <xdr:to>
      <xdr:col>8</xdr:col>
      <xdr:colOff>536862</xdr:colOff>
      <xdr:row>24</xdr:row>
      <xdr:rowOff>34635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3F13B1-D208-4CE5-9F60-E3C259270B39}"/>
            </a:ext>
          </a:extLst>
        </xdr:cNvPr>
        <xdr:cNvSpPr/>
      </xdr:nvSpPr>
      <xdr:spPr>
        <a:xfrm>
          <a:off x="3809999" y="3498272"/>
          <a:ext cx="259772" cy="24245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Assumptions (2)"/>
      <sheetName val="JTM"/>
      <sheetName val="L20Keu"/>
      <sheetName val="rkap2008"/>
      <sheetName val="UshDeb00"/>
      <sheetName val="Resume"/>
      <sheetName val="Sheet5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-BASE SUTT"/>
      <sheetName val="master rab"/>
      <sheetName val="L20Keu"/>
      <sheetName val="Rekapitulasi"/>
      <sheetName val="Data Base Konstruksi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D2. ANALISA HS INSHAR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NO. PRK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ca"/>
      <sheetName val="W-NAD"/>
      <sheetName val="sept"/>
      <sheetName val="W1"/>
      <sheetName val="Gangg_PL"/>
      <sheetName val="ANALISA SNI'08(ubh bgsting)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4" sqref="C24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32" t="s">
        <v>1134</v>
      </c>
      <c r="C4" s="532"/>
      <c r="D4" s="532"/>
      <c r="E4" s="532"/>
      <c r="F4" s="532"/>
      <c r="G4" s="532"/>
      <c r="H4" s="532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3" t="s">
        <v>0</v>
      </c>
      <c r="C7" s="533" t="s">
        <v>1</v>
      </c>
      <c r="D7" s="534" t="s">
        <v>42</v>
      </c>
      <c r="E7" s="534" t="s">
        <v>43</v>
      </c>
      <c r="F7" s="534" t="s">
        <v>1135</v>
      </c>
      <c r="G7" s="535" t="s">
        <v>41</v>
      </c>
      <c r="H7" s="531" t="s">
        <v>1042</v>
      </c>
      <c r="I7" s="531" t="s">
        <v>1137</v>
      </c>
      <c r="J7" s="531" t="s">
        <v>1026</v>
      </c>
      <c r="K7" s="525" t="s">
        <v>1024</v>
      </c>
      <c r="L7" s="526"/>
    </row>
    <row r="8" spans="1:12" ht="15" customHeight="1">
      <c r="B8" s="533"/>
      <c r="C8" s="533"/>
      <c r="D8" s="534"/>
      <c r="E8" s="534"/>
      <c r="F8" s="534"/>
      <c r="G8" s="535"/>
      <c r="H8" s="531"/>
      <c r="I8" s="531"/>
      <c r="J8" s="531"/>
      <c r="K8" s="527"/>
      <c r="L8" s="528"/>
    </row>
    <row r="9" spans="1:12" ht="15" customHeight="1">
      <c r="B9" s="533"/>
      <c r="C9" s="533"/>
      <c r="D9" s="534"/>
      <c r="E9" s="534"/>
      <c r="F9" s="534"/>
      <c r="G9" s="535"/>
      <c r="H9" s="531"/>
      <c r="I9" s="531"/>
      <c r="J9" s="531"/>
      <c r="K9" s="529"/>
      <c r="L9" s="530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Smart Box Langsung Daya 13.2 kVA MCCB 20 A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Unit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3564900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Trafo 3 phasa 50 kVA YNyn0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42757200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FCO Polymer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3</v>
      </c>
      <c r="G14" s="41">
        <f ca="1">IF(ISERROR(OFFSET('HARGA SATUAN'!$I$6,MATCH(C14,'HARGA SATUAN'!$C$7:$C$1492,0),0)),"",OFFSET('HARGA SATUAN'!$I$6,MATCH(C14,'HARGA SATUAN'!$C$7:$C$1492,0),0))</f>
        <v>848250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Lightning Arester (Polymer) 21 KV, 10 KA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Bh</v>
      </c>
      <c r="F15" s="138">
        <f t="shared" ca="1" si="2"/>
        <v>3</v>
      </c>
      <c r="G15" s="41">
        <f ca="1">IF(ISERROR(OFFSET('HARGA SATUAN'!$I$6,MATCH(C15,'HARGA SATUAN'!$C$7:$C$1492,0),0)),"",OFFSET('HARGA SATUAN'!$I$6,MATCH(C15,'HARGA SATUAN'!$C$7:$C$1492,0),0))</f>
        <v>725900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AAAC 70 mm²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Mtr</v>
      </c>
      <c r="F16" s="138">
        <f t="shared" ca="1" si="2"/>
        <v>9</v>
      </c>
      <c r="G16" s="41">
        <f ca="1">IF(ISERROR(OFFSET('HARGA SATUAN'!$I$6,MATCH(C16,'HARGA SATUAN'!$C$7:$C$1492,0),0)),"",OFFSET('HARGA SATUAN'!$I$6,MATCH(C16,'HARGA SATUAN'!$C$7:$C$1492,0),0))</f>
        <v>14200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NFA2X-T 3x70+1x70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210</v>
      </c>
      <c r="G17" s="41">
        <f ca="1">IF(ISERROR(OFFSET('HARGA SATUAN'!$I$6,MATCH(C17,'HARGA SATUAN'!$C$7:$C$1492,0),0)),"",OFFSET('HARGA SATUAN'!$I$6,MATCH(C17,'HARGA SATUAN'!$C$7:$C$1492,0),0))</f>
        <v>54500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 4 x 16 mm²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38">
        <f t="shared" ca="1" si="2"/>
        <v>35</v>
      </c>
      <c r="G18" s="41">
        <f ca="1">IF(ISERROR(OFFSET('HARGA SATUAN'!$I$6,MATCH(C18,'HARGA SATUAN'!$C$7:$C$1492,0),0)),"",OFFSET('HARGA SATUAN'!$I$6,MATCH(C18,'HARGA SATUAN'!$C$7:$C$1492,0),0))</f>
        <v>13500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KWH MPB; 3P; 4W; 230/400 V; 5(80) A; Class 1</v>
      </c>
      <c r="D19" s="101" t="str">
        <f ca="1">IF(ISERROR(OFFSET('HARGA SATUAN'!$D$6,MATCH(C19,'HARGA SATUAN'!$C$7:$C$1492,0),0)),"",OFFSET('HARGA SATUAN'!$D$6,MATCH(C19,'HARGA SATUAN'!$C$7:$C$1492,0),0))</f>
        <v>HDW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38">
        <f t="shared" ca="1" si="2"/>
        <v>1</v>
      </c>
      <c r="G19" s="41">
        <f ca="1">IF(ISERROR(OFFSET('HARGA SATUAN'!$I$6,MATCH(C19,'HARGA SATUAN'!$C$7:$C$1492,0),0)),"",OFFSET('HARGA SATUAN'!$I$6,MATCH(C19,'HARGA SATUAN'!$C$7:$C$1492,0),0))</f>
        <v>1719200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SUMIFS(RAB!$F$14:$F$119,RAB!$C$14:$C$119,C714)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SUMIFS(RAB!$F$14:$F$119,RAB!$C$14:$C$119,C715)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SUMIFS(RAB!$F$14:$F$119,RAB!$C$14:$C$119,C716)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SUMIFS(RAB!$F$14:$F$119,RAB!$C$14:$C$119,C717)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SUMIFS(RAB!$F$14:$F$119,RAB!$C$14:$C$119,C718)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SUMIFS(RAB!$F$14:$F$119,RAB!$C$14:$C$119,C719)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SUMIFS(RAB!$F$14:$F$119,RAB!$C$14:$C$119,C720)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SUMIFS(RAB!$F$14:$F$119,RAB!$C$14:$C$119,C721)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SUMIFS(RAB!$F$14:$F$119,RAB!$C$14:$C$119,C722)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SUMIFS(RAB!$F$14:$F$119,RAB!$C$14:$C$119,C723)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SUMIFS(RAB!$F$14:$F$119,RAB!$C$14:$C$119,C724)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SUMIFS(RAB!$F$14:$F$119,RAB!$C$14:$C$119,C725)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SUMIFS(RAB!$F$14:$F$119,RAB!$C$14:$C$119,C726)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SUMIFS(RAB!$F$14:$F$119,RAB!$C$14:$C$119,C727)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SUMIFS(RAB!$F$14:$F$119,RAB!$C$14:$C$119,C728)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SUMIFS(RAB!$F$14:$F$119,RAB!$C$14:$C$119,C729)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SUMIFS(RAB!$F$14:$F$119,RAB!$C$14:$C$119,C730)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SUMIFS(RAB!$F$14:$F$119,RAB!$C$14:$C$119,C731)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SUMIFS(RAB!$F$14:$F$119,RAB!$C$14:$C$119,C732)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SUMIFS(RAB!$F$14:$F$119,RAB!$C$14:$C$119,C733)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SUMIFS(RAB!$F$14:$F$119,RAB!$C$14:$C$119,C734)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SUMIFS(RAB!$F$14:$F$119,RAB!$C$14:$C$119,C735)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SUMIFS(RAB!$F$14:$F$119,RAB!$C$14:$C$119,C736)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SUMIFS(RAB!$F$14:$F$119,RAB!$C$14:$C$119,C737)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SUMIFS(RAB!$F$14:$F$119,RAB!$C$14:$C$119,C738)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SUMIFS(RAB!$F$14:$F$119,RAB!$C$14:$C$119,C739)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SUMIFS(RAB!$F$14:$F$119,RAB!$C$14:$C$119,C740)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SUMIFS(RAB!$F$14:$F$119,RAB!$C$14:$C$119,C741)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SUMIFS(RAB!$F$14:$F$119,RAB!$C$14:$C$119,C742)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SUMIFS(RAB!$F$14:$F$119,RAB!$C$14:$C$119,C743)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SUMIFS(RAB!$F$14:$F$119,RAB!$C$14:$C$119,C744)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SUMIFS(RAB!$F$14:$F$119,RAB!$C$14:$C$119,C745)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SUMIFS(RAB!$F$14:$F$119,RAB!$C$14:$C$119,C746)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SUMIFS(RAB!$F$14:$F$119,RAB!$C$14:$C$119,C747)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SUMIFS(RAB!$F$14:$F$119,RAB!$C$14:$C$119,C748)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SUMIFS(RAB!$F$14:$F$119,RAB!$C$14:$C$119,C749)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SUMIFS(RAB!$F$14:$F$119,RAB!$C$14:$C$119,C750)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SUMIFS(RAB!$F$14:$F$119,RAB!$C$14:$C$119,C751)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SUMIFS(RAB!$F$14:$F$119,RAB!$C$14:$C$119,C752)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SUMIFS(RAB!$F$14:$F$119,RAB!$C$14:$C$119,C753)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SUMIFS(RAB!$F$14:$F$119,RAB!$C$14:$C$119,C754)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SUMIFS(RAB!$F$14:$F$119,RAB!$C$14:$C$119,C755)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SUMIFS(RAB!$F$14:$F$119,RAB!$C$14:$C$119,C756)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SUMIFS(RAB!$F$14:$F$119,RAB!$C$14:$C$119,C757)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SUMIFS(RAB!$F$14:$F$119,RAB!$C$14:$C$119,C758)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SUMIFS(RAB!$F$14:$F$119,RAB!$C$14:$C$119,C759)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SUMIFS(RAB!$F$14:$F$119,RAB!$C$14:$C$119,C760)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SUMIFS(RAB!$F$14:$F$119,RAB!$C$14:$C$119,C761)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SUMIFS(RAB!$F$14:$F$119,RAB!$C$14:$C$119,C762)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SUMIFS(RAB!$F$14:$F$119,RAB!$C$14:$C$119,C763)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SUMIFS(RAB!$F$14:$F$119,RAB!$C$14:$C$119,C764)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SUMIFS(RAB!$F$14:$F$119,RAB!$C$14:$C$119,C765)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SUMIFS(RAB!$F$14:$F$119,RAB!$C$14:$C$119,C766)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SUMIFS(RAB!$F$14:$F$119,RAB!$C$14:$C$119,C767)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SUMIFS(RAB!$F$14:$F$119,RAB!$C$14:$C$119,C768)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SUMIFS(RAB!$F$14:$F$119,RAB!$C$14:$C$119,C769)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SUMIFS(RAB!$F$14:$F$119,RAB!$C$14:$C$119,C770)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SUMIFS(RAB!$F$14:$F$119,RAB!$C$14:$C$119,C771)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SUMIFS(RAB!$F$14:$F$119,RAB!$C$14:$C$119,C772)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SUMIFS(RAB!$F$14:$F$119,RAB!$C$14:$C$119,C773)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SUMIFS(RAB!$F$14:$F$119,RAB!$C$14:$C$119,C774)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SUMIFS(RAB!$F$14:$F$119,RAB!$C$14:$C$119,C775)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SUMIFS(RAB!$F$14:$F$119,RAB!$C$14:$C$119,C776)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SUMIFS(RAB!$F$14:$F$119,RAB!$C$14:$C$119,C777)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SUMIFS(RAB!$F$14:$F$119,RAB!$C$14:$C$119,C778)</f>
        <v>1</v>
      </c>
      <c r="E778" s="26">
        <f t="shared" ca="1" si="33"/>
        <v>1</v>
      </c>
      <c r="F778" s="26">
        <f ca="1">IF(D778=0,0,SUM($E$713:E778))</f>
        <v>1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SUMIFS(RAB!$F$14:$F$119,RAB!$C$14:$C$119,C779)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SUMIFS(RAB!$F$14:$F$119,RAB!$C$14:$C$119,C780)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SUMIFS(RAB!$F$14:$F$119,RAB!$C$14:$C$119,C781)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SUMIFS(RAB!$F$14:$F$119,RAB!$C$14:$C$119,C782)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SUMIFS(RAB!$F$14:$F$119,RAB!$C$14:$C$119,C783)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SUMIFS(RAB!$F$14:$F$119,RAB!$C$14:$C$119,C784)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SUMIFS(RAB!$F$14:$F$119,RAB!$C$14:$C$119,C785)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SUMIFS(RAB!$F$14:$F$119,RAB!$C$14:$C$119,C786)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SUMIFS(RAB!$F$14:$F$119,RAB!$C$14:$C$119,C787)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SUMIFS(RAB!$F$14:$F$119,RAB!$C$14:$C$119,C788)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SUMIFS(RAB!$F$14:$F$119,RAB!$C$14:$C$119,C789)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SUMIFS(RAB!$F$14:$F$119,RAB!$C$14:$C$119,C790)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SUMIFS(RAB!$F$14:$F$119,RAB!$C$14:$C$119,C791)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SUMIFS(RAB!$F$14:$F$119,RAB!$C$14:$C$119,C792)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SUMIFS(RAB!$F$14:$F$119,RAB!$C$14:$C$119,C793)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SUMIFS(RAB!$F$14:$F$119,RAB!$C$14:$C$119,C794)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SUMIFS(RAB!$F$14:$F$119,RAB!$C$14:$C$119,C795)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SUMIFS(RAB!$F$14:$F$119,RAB!$C$14:$C$119,C796)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SUMIFS(RAB!$F$14:$F$119,RAB!$C$14:$C$119,C797)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SUMIFS(RAB!$F$14:$F$119,RAB!$C$14:$C$119,C798)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SUMIFS(RAB!$F$14:$F$119,RAB!$C$14:$C$119,C799)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SUMIFS(RAB!$F$14:$F$119,RAB!$C$14:$C$119,C800)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SUMIFS(RAB!$F$14:$F$119,RAB!$C$14:$C$119,C801)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SUMIFS(RAB!$F$14:$F$119,RAB!$C$14:$C$119,C802)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SUMIFS(RAB!$F$14:$F$119,RAB!$C$14:$C$119,C803)</f>
        <v>1</v>
      </c>
      <c r="E803" s="26">
        <f t="shared" ca="1" si="34"/>
        <v>1</v>
      </c>
      <c r="F803" s="26">
        <f ca="1">IF(D803=0,0,SUM($E$713:E803))</f>
        <v>2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SUMIFS(RAB!$F$14:$F$119,RAB!$C$14:$C$119,C804)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SUMIFS(RAB!$F$14:$F$119,RAB!$C$14:$C$119,C805)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SUMIFS(RAB!$F$14:$F$119,RAB!$C$14:$C$119,C806)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SUMIFS(RAB!$F$14:$F$119,RAB!$C$14:$C$119,C807)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SUMIFS(RAB!$F$14:$F$119,RAB!$C$14:$C$119,C808)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SUMIFS(RAB!$F$14:$F$119,RAB!$C$14:$C$119,C809)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SUMIFS(RAB!$F$14:$F$119,RAB!$C$14:$C$119,C810)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SUMIFS(RAB!$F$14:$F$119,RAB!$C$14:$C$119,C811)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SUMIFS(RAB!$F$14:$F$119,RAB!$C$14:$C$119,C812)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SUMIFS(RAB!$F$14:$F$119,RAB!$C$14:$C$119,C813)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SUMIFS(RAB!$F$14:$F$119,RAB!$C$14:$C$119,C814)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SUMIFS(RAB!$F$14:$F$119,RAB!$C$14:$C$119,C815)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SUMIFS(RAB!$F$14:$F$119,RAB!$C$14:$C$119,C816)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SUMIFS(RAB!$F$14:$F$119,RAB!$C$14:$C$119,C817)</f>
        <v>3</v>
      </c>
      <c r="E817" s="26">
        <f t="shared" ca="1" si="34"/>
        <v>1</v>
      </c>
      <c r="F817" s="26">
        <f ca="1">IF(D817=0,0,SUM($E$713:E817))</f>
        <v>3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SUMIFS(RAB!$F$14:$F$119,RAB!$C$14:$C$119,C818)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SUMIFS(RAB!$F$14:$F$119,RAB!$C$14:$C$119,C819)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SUMIFS(RAB!$F$14:$F$119,RAB!$C$14:$C$119,C820)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SUMIFS(RAB!$F$14:$F$119,RAB!$C$14:$C$119,C821)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SUMIFS(RAB!$F$14:$F$119,RAB!$C$14:$C$119,C822)</f>
        <v>3</v>
      </c>
      <c r="E822" s="26">
        <f t="shared" ca="1" si="34"/>
        <v>1</v>
      </c>
      <c r="F822" s="26">
        <f ca="1">IF(D822=0,0,SUM($E$713:E822))</f>
        <v>4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SUMIFS(RAB!$F$14:$F$119,RAB!$C$14:$C$119,C823)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SUMIFS(RAB!$F$14:$F$119,RAB!$C$14:$C$119,C824)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SUMIFS(RAB!$F$14:$F$119,RAB!$C$14:$C$119,C825)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SUMIFS(RAB!$F$14:$F$119,RAB!$C$14:$C$119,C826)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SUMIFS(RAB!$F$14:$F$119,RAB!$C$14:$C$119,C827)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SUMIFS(RAB!$F$14:$F$119,RAB!$C$14:$C$119,C828)</f>
        <v>9</v>
      </c>
      <c r="E828" s="26">
        <f t="shared" ca="1" si="34"/>
        <v>1</v>
      </c>
      <c r="F828" s="26">
        <f ca="1">IF(D828=0,0,SUM($E$713:E828))</f>
        <v>5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SUMIFS(RAB!$F$14:$F$119,RAB!$C$14:$C$119,C829)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SUMIFS(RAB!$F$14:$F$119,RAB!$C$14:$C$119,C830)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SUMIFS(RAB!$F$14:$F$119,RAB!$C$14:$C$119,C831)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SUMIFS(RAB!$F$14:$F$119,RAB!$C$14:$C$119,C832)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SUMIFS(RAB!$F$14:$F$119,RAB!$C$14:$C$119,C833)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SUMIFS(RAB!$F$14:$F$119,RAB!$C$14:$C$119,C834)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SUMIFS(RAB!$F$14:$F$119,RAB!$C$14:$C$119,C835)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SUMIFS(RAB!$F$14:$F$119,RAB!$C$14:$C$119,C836)</f>
        <v>210</v>
      </c>
      <c r="E836" s="26">
        <f t="shared" ca="1" si="34"/>
        <v>1</v>
      </c>
      <c r="F836" s="26">
        <f ca="1">IF(D836=0,0,SUM($E$713:E836))</f>
        <v>6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SUMIFS(RAB!$F$14:$F$119,RAB!$C$14:$C$119,C837)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SUMIFS(RAB!$F$14:$F$119,RAB!$C$14:$C$119,C838)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SUMIFS(RAB!$F$14:$F$119,RAB!$C$14:$C$119,C839)</f>
        <v>35</v>
      </c>
      <c r="E839" s="26">
        <f t="shared" ca="1" si="34"/>
        <v>1</v>
      </c>
      <c r="F839" s="26">
        <f ca="1">IF(D839=0,0,SUM($E$713:E839))</f>
        <v>7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SUMIFS(RAB!$F$14:$F$119,RAB!$C$14:$C$119,C840)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SUMIFS(RAB!$F$14:$F$119,RAB!$C$14:$C$119,C841)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SUMIFS(RAB!$F$14:$F$119,RAB!$C$14:$C$119,C842)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SUMIFS(RAB!$F$14:$F$119,RAB!$C$14:$C$119,C843)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SUMIFS(RAB!$F$14:$F$119,RAB!$C$14:$C$119,C844)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SUMIFS(RAB!$F$14:$F$119,RAB!$C$14:$C$119,C845)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SUMIFS(RAB!$F$14:$F$119,RAB!$C$14:$C$119,C846)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SUMIFS(RAB!$F$14:$F$119,RAB!$C$14:$C$119,C847)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SUMIFS(RAB!$F$14:$F$119,RAB!$C$14:$C$119,C848)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SUMIFS(RAB!$F$14:$F$119,RAB!$C$14:$C$119,C849)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SUMIFS(RAB!$F$14:$F$119,RAB!$C$14:$C$119,C850)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SUMIFS(RAB!$F$14:$F$119,RAB!$C$14:$C$119,C851)</f>
        <v>1</v>
      </c>
      <c r="E851" s="26">
        <f t="shared" ca="1" si="35"/>
        <v>1</v>
      </c>
      <c r="F851" s="26">
        <f ca="1">IF(D851=0,0,SUM($E$713:E851))</f>
        <v>8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SUMIFS(RAB!$F$14:$F$119,RAB!$C$14:$C$119,C852)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SUMIFS(RAB!$F$14:$F$119,RAB!$C$14:$C$119,C853)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SUMIFS(RAB!$F$14:$F$119,RAB!$C$14:$C$119,C854)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SUMIFS(RAB!$F$14:$F$119,RAB!$C$14:$C$119,C855)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SUMIFS(RAB!$F$14:$F$119,RAB!$C$14:$C$119,C856)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SUMIFS(RAB!$F$14:$F$119,RAB!$C$14:$C$119,C857)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SUMIFS(RAB!$F$14:$F$119,RAB!$C$14:$C$119,C858)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SUMIFS(RAB!$F$14:$F$119,RAB!$C$14:$C$119,C859)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SUMIFS(RAB!$F$14:$F$119,RAB!$C$14:$C$119,C860)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SUMIFS(RAB!$F$14:$F$119,RAB!$C$14:$C$119,C861)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SUMIFS(RAB!$F$14:$F$119,RAB!$C$14:$C$119,C862)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SUMIFS(RAB!$F$14:$F$119,RAB!$C$14:$C$119,C863)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SUMIFS(RAB!$F$14:$F$119,RAB!$C$14:$C$119,C864)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SUMIFS(RAB!$F$14:$F$119,RAB!$C$14:$C$119,C865)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SUMIFS(RAB!$F$14:$F$119,RAB!$C$14:$C$119,C866)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SUMIFS(RAB!$F$14:$F$119,RAB!$C$14:$C$119,C867)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SUMIFS(RAB!$F$14:$F$119,RAB!$C$14:$C$119,C868)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SUMIFS(RAB!$F$14:$F$119,RAB!$C$14:$C$119,C869)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SUMIFS(RAB!$F$14:$F$119,RAB!$C$14:$C$119,C870)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SUMIFS(RAB!$F$14:$F$119,RAB!$C$14:$C$119,C871)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SUMIFS(RAB!$F$14:$F$119,RAB!$C$14:$C$119,C872)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SUMIFS(RAB!$F$14:$F$119,RAB!$C$14:$C$119,C873)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SUMIFS(RAB!$F$14:$F$119,RAB!$C$14:$C$119,C874)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SUMIFS(RAB!$F$14:$F$119,RAB!$C$14:$C$119,C875)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SUMIFS(RAB!$F$14:$F$119,RAB!$C$14:$C$119,C876)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SUMIFS(RAB!$F$14:$F$119,RAB!$C$14:$C$119,C877)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SUMIFS(RAB!$F$14:$F$119,RAB!$C$14:$C$119,C878)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SUMIFS(RAB!$F$14:$F$119,RAB!$C$14:$C$119,C879)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SUMIFS(RAB!$F$14:$F$119,RAB!$C$14:$C$119,C880)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SUMIFS(RAB!$F$14:$F$119,RAB!$C$14:$C$119,C881)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SUMIFS(RAB!$F$14:$F$119,RAB!$C$14:$C$119,C882)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SUMIFS(RAB!$F$14:$F$119,RAB!$C$14:$C$119,C883)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SUMIFS(RAB!$F$14:$F$119,RAB!$C$14:$C$119,C884)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SUMIFS(RAB!$F$14:$F$119,RAB!$C$14:$C$119,C885)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SUMIFS(RAB!$F$14:$F$119,RAB!$C$14:$C$119,C886)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SUMIFS(RAB!$F$14:$F$119,RAB!$C$14:$C$119,C887)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SUMIFS(RAB!$F$14:$F$119,RAB!$C$14:$C$119,C888)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SUMIFS(RAB!$F$14:$F$119,RAB!$C$14:$C$119,C889)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SUMIFS(RAB!$F$14:$F$119,RAB!$C$14:$C$119,C890)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SUMIFS(RAB!$F$14:$F$119,RAB!$C$14:$C$119,C891)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SUMIFS(RAB!$F$14:$F$119,RAB!$C$14:$C$119,C892)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SUMIFS(RAB!$F$14:$F$119,RAB!$C$14:$C$119,C893)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SUMIFS(RAB!$F$14:$F$119,RAB!$C$14:$C$119,C894)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SUMIFS(RAB!$F$14:$F$119,RAB!$C$14:$C$119,C895)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SUMIFS(RAB!$F$14:$F$119,RAB!$C$14:$C$119,C896)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SUMIFS(RAB!$F$14:$F$119,RAB!$C$14:$C$119,C897)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SUMIFS(RAB!$F$14:$F$119,RAB!$C$14:$C$119,C898)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SUMIFS(RAB!$F$14:$F$119,RAB!$C$14:$C$119,C899)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SUMIFS(RAB!$F$14:$F$119,RAB!$C$14:$C$119,C900)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SUMIFS(RAB!$F$14:$F$119,RAB!$C$14:$C$119,C901)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SUMIFS(RAB!$F$14:$F$119,RAB!$C$14:$C$119,C902)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SUMIFS(RAB!$F$14:$F$119,RAB!$C$14:$C$119,C903)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SUMIFS(RAB!$F$14:$F$119,RAB!$C$14:$C$119,C904)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SUMIFS(RAB!$F$14:$F$119,RAB!$C$14:$C$119,C905)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SUMIFS(RAB!$F$14:$F$119,RAB!$C$14:$C$119,C906)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SUMIFS(RAB!$F$14:$F$119,RAB!$C$14:$C$119,C907)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SUMIFS(RAB!$F$14:$F$119,RAB!$C$14:$C$119,C908)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SUMIFS(RAB!$F$14:$F$119,RAB!$C$14:$C$119,C909)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SUMIFS(RAB!$F$14:$F$119,RAB!$C$14:$C$119,C910)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SUMIFS(RAB!$F$14:$F$119,RAB!$C$14:$C$119,C911)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SUMIFS(RAB!$F$14:$F$119,RAB!$C$14:$C$119,C912)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SUMIFS(RAB!$F$14:$F$119,RAB!$C$14:$C$119,C913)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SUMIFS(RAB!$F$14:$F$119,RAB!$C$14:$C$119,C914)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SUMIFS(RAB!$F$14:$F$119,RAB!$C$14:$C$119,C915)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SUMIFS(RAB!$F$14:$F$119,RAB!$C$14:$C$119,C916)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SUMIFS(RAB!$F$14:$F$119,RAB!$C$14:$C$119,C917)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SUMIFS(RAB!$F$14:$F$119,RAB!$C$14:$C$119,C918)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SUMIFS(RAB!$F$14:$F$119,RAB!$C$14:$C$119,C919)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SUMIFS(RAB!$F$14:$F$119,RAB!$C$14:$C$119,C920)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SUMIFS(RAB!$F$14:$F$119,RAB!$C$14:$C$119,C921)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SUMIFS(RAB!$F$14:$F$119,RAB!$C$14:$C$119,C922)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SUMIFS(RAB!$F$14:$F$119,RAB!$C$14:$C$119,C923)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SUMIFS(RAB!$F$14:$F$119,RAB!$C$14:$C$119,C924)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SUMIFS(RAB!$F$14:$F$119,RAB!$C$14:$C$119,C925)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SUMIFS(RAB!$F$14:$F$119,RAB!$C$14:$C$119,C926)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SUMIFS(RAB!$F$14:$F$119,RAB!$C$14:$C$119,C927)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SUMIFS(RAB!$F$14:$F$119,RAB!$C$14:$C$119,C928)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SUMIFS(RAB!$F$14:$F$119,RAB!$C$14:$C$119,C929)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SUMIFS(RAB!$F$14:$F$119,RAB!$C$14:$C$119,C930)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SUMIFS(RAB!$F$14:$F$119,RAB!$C$14:$C$119,C931)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SUMIFS(RAB!$F$14:$F$119,RAB!$C$14:$C$119,C932)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SUMIFS(RAB!$F$14:$F$119,RAB!$C$14:$C$119,C933)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SUMIFS(RAB!$F$14:$F$119,RAB!$C$14:$C$119,C934)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SUMIFS(RAB!$F$14:$F$119,RAB!$C$14:$C$119,C935)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SUMIFS(RAB!$F$14:$F$119,RAB!$C$14:$C$119,C936)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SUMIFS(RAB!$F$14:$F$119,RAB!$C$14:$C$119,C937)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SUMIFS(RAB!$F$14:$F$119,RAB!$C$14:$C$119,C938)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SUMIFS(RAB!$F$14:$F$119,RAB!$C$14:$C$119,C939)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SUMIFS(RAB!$F$14:$F$119,RAB!$C$14:$C$119,C940)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SUMIFS(RAB!$F$14:$F$119,RAB!$C$14:$C$119,C941)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SUMIFS(RAB!$F$14:$F$119,RAB!$C$14:$C$119,C942)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SUMIFS(RAB!$F$14:$F$119,RAB!$C$14:$C$119,C943)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SUMIFS(RAB!$F$14:$F$119,RAB!$C$14:$C$119,C944)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SUMIFS(RAB!$F$14:$F$119,RAB!$C$14:$C$119,C945)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SUMIFS(RAB!$F$14:$F$119,RAB!$C$14:$C$119,C946)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SUMIFS(RAB!$F$14:$F$119,RAB!$C$14:$C$119,C947)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SUMIFS(RAB!$F$14:$F$119,RAB!$C$14:$C$119,C948)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SUMIFS(RAB!$F$14:$F$119,RAB!$C$14:$C$119,C949)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SUMIFS(RAB!$F$14:$F$119,RAB!$C$14:$C$119,C950)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SUMIFS(RAB!$F$14:$F$119,RAB!$C$14:$C$119,C951)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SUMIFS(RAB!$F$14:$F$119,RAB!$C$14:$C$119,C952)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SUMIFS(RAB!$F$14:$F$119,RAB!$C$14:$C$119,C953)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SUMIFS(RAB!$F$14:$F$119,RAB!$C$14:$C$119,C954)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SUMIFS(RAB!$F$14:$F$119,RAB!$C$14:$C$119,C955)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SUMIFS(RAB!$F$14:$F$119,RAB!$C$14:$C$119,C956)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SUMIFS(RAB!$F$14:$F$119,RAB!$C$14:$C$119,C957)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SUMIFS(RAB!$F$14:$F$119,RAB!$C$14:$C$119,C958)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SUMIFS(RAB!$F$14:$F$119,RAB!$C$14:$C$119,C959)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SUMIFS(RAB!$F$14:$F$119,RAB!$C$14:$C$119,C960)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SUMIFS(RAB!$F$14:$F$119,RAB!$C$14:$C$119,C961)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SUMIFS(RAB!$F$14:$F$119,RAB!$C$14:$C$119,C962)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SUMIFS(RAB!$F$14:$F$119,RAB!$C$14:$C$119,C963)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SUMIFS(RAB!$F$14:$F$119,RAB!$C$14:$C$119,C964)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SUMIFS(RAB!$F$14:$F$119,RAB!$C$14:$C$119,C965)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SUMIFS(RAB!$F$14:$F$119,RAB!$C$14:$C$119,C966)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SUMIFS(RAB!$F$14:$F$119,RAB!$C$14:$C$119,C967)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SUMIFS(RAB!$F$14:$F$119,RAB!$C$14:$C$119,C968)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SUMIFS(RAB!$F$14:$F$119,RAB!$C$14:$C$119,C969)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SUMIFS(RAB!$F$14:$F$119,RAB!$C$14:$C$119,C970)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SUMIFS(RAB!$F$14:$F$119,RAB!$C$14:$C$119,C971)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SUMIFS(RAB!$F$14:$F$119,RAB!$C$14:$C$119,C972)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SUMIFS(RAB!$F$14:$F$119,RAB!$C$14:$C$119,C973)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SUMIFS(RAB!$F$14:$F$119,RAB!$C$14:$C$119,C974)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SUMIFS(RAB!$F$14:$F$119,RAB!$C$14:$C$119,C975)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SUMIFS(RAB!$F$14:$F$119,RAB!$C$14:$C$119,C976)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SUMIFS(RAB!$F$14:$F$119,RAB!$C$14:$C$119,C977)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SUMIFS(RAB!$F$14:$F$119,RAB!$C$14:$C$119,C978)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SUMIFS(RAB!$F$14:$F$119,RAB!$C$14:$C$119,C979)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SUMIFS(RAB!$F$14:$F$119,RAB!$C$14:$C$119,C980)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SUMIFS(RAB!$F$14:$F$119,RAB!$C$14:$C$119,C981)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SUMIFS(RAB!$F$14:$F$119,RAB!$C$14:$C$119,C982)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SUMIFS(RAB!$F$14:$F$119,RAB!$C$14:$C$119,C983)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SUMIFS(RAB!$F$14:$F$119,RAB!$C$14:$C$119,C984)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SUMIFS(RAB!$F$14:$F$119,RAB!$C$14:$C$119,C985)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SUMIFS(RAB!$F$14:$F$119,RAB!$C$14:$C$119,C986)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SUMIFS(RAB!$F$14:$F$119,RAB!$C$14:$C$119,C987)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SUMIFS(RAB!$F$14:$F$119,RAB!$C$14:$C$119,C988)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SUMIFS(RAB!$F$14:$F$119,RAB!$C$14:$C$119,C989)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SUMIFS(RAB!$F$14:$F$119,RAB!$C$14:$C$119,C990)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SUMIFS(RAB!$F$14:$F$119,RAB!$C$14:$C$119,C991)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SUMIFS(RAB!$F$14:$F$119,RAB!$C$14:$C$119,C992)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SUMIFS(RAB!$F$14:$F$119,RAB!$C$14:$C$119,C993)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SUMIFS(RAB!$F$14:$F$119,RAB!$C$14:$C$119,C994)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SUMIFS(RAB!$F$14:$F$119,RAB!$C$14:$C$119,C995)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SUMIFS(RAB!$F$14:$F$119,RAB!$C$14:$C$119,C996)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SUMIFS(RAB!$F$14:$F$119,RAB!$C$14:$C$119,C997)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SUMIFS(RAB!$F$14:$F$119,RAB!$C$14:$C$119,C998)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SUMIFS(RAB!$F$14:$F$119,RAB!$C$14:$C$119,C999)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SUMIFS(RAB!$F$14:$F$119,RAB!$C$14:$C$119,C1000)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SUMIFS(RAB!$F$14:$F$119,RAB!$C$14:$C$119,C1001)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SUMIFS(RAB!$F$14:$F$119,RAB!$C$14:$C$119,C1002)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SUMIFS(RAB!$F$14:$F$119,RAB!$C$14:$C$119,C1003)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SUMIFS(RAB!$F$14:$F$119,RAB!$C$14:$C$119,C1004)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SUMIFS(RAB!$F$14:$F$119,RAB!$C$14:$C$119,C1005)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SUMIFS(RAB!$F$14:$F$119,RAB!$C$14:$C$119,C1006)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SUMIFS(RAB!$F$14:$F$119,RAB!$C$14:$C$119,C1007)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SUMIFS(RAB!$F$14:$F$119,RAB!$C$14:$C$119,C1008)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SUMIFS(RAB!$F$14:$F$119,RAB!$C$14:$C$119,C1009)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SUMIFS(RAB!$F$14:$F$119,RAB!$C$14:$C$119,C1010)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SUMIFS(RAB!$F$14:$F$119,RAB!$C$14:$C$119,C1011)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SUMIFS(RAB!$F$14:$F$119,RAB!$C$14:$C$119,C1012)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SUMIFS(RAB!$F$14:$F$119,RAB!$C$14:$C$119,C1013)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SUMIFS(RAB!$F$14:$F$119,RAB!$C$14:$C$119,C1014)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SUMIFS(RAB!$F$14:$F$119,RAB!$C$14:$C$119,C1015)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SUMIFS(RAB!$F$14:$F$119,RAB!$C$14:$C$119,C1016)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SUMIFS(RAB!$F$14:$F$119,RAB!$C$14:$C$119,C1017)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SUMIFS(RAB!$F$14:$F$119,RAB!$C$14:$C$119,C1018)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SUMIFS(RAB!$F$14:$F$119,RAB!$C$14:$C$119,C1019)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SUMIFS(RAB!$F$14:$F$119,RAB!$C$14:$C$119,C1020)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SUMIFS(RAB!$F$14:$F$119,RAB!$C$14:$C$119,C1021)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SUMIFS(RAB!$F$14:$F$119,RAB!$C$14:$C$119,C1022)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SUMIFS(RAB!$F$14:$F$119,RAB!$C$14:$C$119,C1023)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SUMIFS(RAB!$F$14:$F$119,RAB!$C$14:$C$119,C1024)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SUMIFS(RAB!$F$14:$F$119,RAB!$C$14:$C$119,C1025)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SUMIFS(RAB!$F$14:$F$119,RAB!$C$14:$C$119,C1026)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SUMIFS(RAB!$F$14:$F$119,RAB!$C$14:$C$119,C1027)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SUMIFS(RAB!$F$14:$F$119,RAB!$C$14:$C$119,C1028)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SUMIFS(RAB!$F$14:$F$119,RAB!$C$14:$C$119,C1029)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SUMIFS(RAB!$F$14:$F$119,RAB!$C$14:$C$119,C1030)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SUMIFS(RAB!$F$14:$F$119,RAB!$C$14:$C$119,C1031)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SUMIFS(RAB!$F$14:$F$119,RAB!$C$14:$C$119,C1032)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SUMIFS(RAB!$F$14:$F$119,RAB!$C$14:$C$119,C1033)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SUMIFS(RAB!$F$14:$F$119,RAB!$C$14:$C$119,C1034)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SUMIFS(RAB!$F$14:$F$119,RAB!$C$14:$C$119,C1035)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SUMIFS(RAB!$F$14:$F$119,RAB!$C$14:$C$119,C1036)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SUMIFS(RAB!$F$14:$F$119,RAB!$C$14:$C$119,C1037)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SUMIFS(RAB!$F$14:$F$119,RAB!$C$14:$C$119,C1038)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SUMIFS(RAB!$F$14:$F$119,RAB!$C$14:$C$119,C1039)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SUMIFS(RAB!$F$14:$F$119,RAB!$C$14:$C$119,C1040)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SUMIFS(RAB!$F$14:$F$119,RAB!$C$14:$C$119,C1041)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SUMIFS(RAB!$F$14:$F$119,RAB!$C$14:$C$119,C1042)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SUMIFS(RAB!$F$14:$F$119,RAB!$C$14:$C$119,C1043)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SUMIFS(RAB!$F$14:$F$119,RAB!$C$14:$C$119,C1044)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SUMIFS(RAB!$F$14:$F$119,RAB!$C$14:$C$119,C1045)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SUMIFS(RAB!$F$14:$F$119,RAB!$C$14:$C$119,C1046)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SUMIFS(RAB!$F$14:$F$119,RAB!$C$14:$C$119,C1047)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SUMIFS(RAB!$F$14:$F$119,RAB!$C$14:$C$119,C1048)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SUMIFS(RAB!$F$14:$F$119,RAB!$C$14:$C$119,C1049)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SUMIFS(RAB!$F$14:$F$119,RAB!$C$14:$C$119,C1050)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SUMIFS(RAB!$F$14:$F$119,RAB!$C$14:$C$119,C1051)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SUMIFS(RAB!$F$14:$F$119,RAB!$C$14:$C$119,C1052)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SUMIFS(RAB!$F$14:$F$119,RAB!$C$14:$C$119,C1053)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SUMIFS(RAB!$F$14:$F$119,RAB!$C$14:$C$119,C1054)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SUMIFS(RAB!$F$14:$F$119,RAB!$C$14:$C$119,C1055)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SUMIFS(RAB!$F$14:$F$119,RAB!$C$14:$C$119,C1056)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SUMIFS(RAB!$F$14:$F$119,RAB!$C$14:$C$119,C1057)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SUMIFS(RAB!$F$14:$F$119,RAB!$C$14:$C$119,C1058)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SUMIFS(RAB!$F$14:$F$119,RAB!$C$14:$C$119,C1059)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SUMIFS(RAB!$F$14:$F$119,RAB!$C$14:$C$119,C1060)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SUMIFS(RAB!$F$14:$F$119,RAB!$C$14:$C$119,C1061)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SUMIFS(RAB!$F$14:$F$119,RAB!$C$14:$C$119,C1062)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SUMIFS(RAB!$F$14:$F$119,RAB!$C$14:$C$119,C1063)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SUMIFS(RAB!$F$14:$F$119,RAB!$C$14:$C$119,C1064)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SUMIFS(RAB!$F$14:$F$119,RAB!$C$14:$C$119,C1065)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SUMIFS(RAB!$F$14:$F$119,RAB!$C$14:$C$119,C1066)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SUMIFS(RAB!$F$14:$F$119,RAB!$C$14:$C$119,C1067)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SUMIFS(RAB!$F$14:$F$119,RAB!$C$14:$C$119,C1068)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SUMIFS(RAB!$F$14:$F$119,RAB!$C$14:$C$119,C1069)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SUMIFS(RAB!$F$14:$F$119,RAB!$C$14:$C$119,C1070)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SUMIFS(RAB!$F$14:$F$119,RAB!$C$14:$C$119,C1071)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SUMIFS(RAB!$F$14:$F$119,RAB!$C$14:$C$119,C1072)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SUMIFS(RAB!$F$14:$F$119,RAB!$C$14:$C$119,C1073)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SUMIFS(RAB!$F$14:$F$119,RAB!$C$14:$C$119,C1074)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SUMIFS(RAB!$F$14:$F$119,RAB!$C$14:$C$119,C1075)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SUMIFS(RAB!$F$14:$F$119,RAB!$C$14:$C$119,C1076)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SUMIFS(RAB!$F$14:$F$119,RAB!$C$14:$C$119,C1077)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SUMIFS(RAB!$F$14:$F$119,RAB!$C$14:$C$119,C1078)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SUMIFS(RAB!$F$14:$F$119,RAB!$C$14:$C$119,C1079)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SUMIFS(RAB!$F$14:$F$119,RAB!$C$14:$C$119,C1080)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SUMIFS(RAB!$F$14:$F$119,RAB!$C$14:$C$119,C1081)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SUMIFS(RAB!$F$14:$F$119,RAB!$C$14:$C$119,C1082)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SUMIFS(RAB!$F$14:$F$119,RAB!$C$14:$C$119,C1083)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SUMIFS(RAB!$F$14:$F$119,RAB!$C$14:$C$119,C1084)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SUMIFS(RAB!$F$14:$F$119,RAB!$C$14:$C$119,C1085)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SUMIFS(RAB!$F$14:$F$119,RAB!$C$14:$C$119,C1086)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SUMIFS(RAB!$F$14:$F$119,RAB!$C$14:$C$119,C1087)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SUMIFS(RAB!$F$14:$F$119,RAB!$C$14:$C$119,C1088)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SUMIFS(RAB!$F$14:$F$119,RAB!$C$14:$C$119,C1089)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SUMIFS(RAB!$F$14:$F$119,RAB!$C$14:$C$119,C1090)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SUMIFS(RAB!$F$14:$F$119,RAB!$C$14:$C$119,C1091)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SUMIFS(RAB!$F$14:$F$119,RAB!$C$14:$C$119,C1092)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SUMIFS(RAB!$F$14:$F$119,RAB!$C$14:$C$119,C1093)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SUMIFS(RAB!$F$14:$F$119,RAB!$C$14:$C$119,C1094)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SUMIFS(RAB!$F$14:$F$119,RAB!$C$14:$C$119,C1095)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SUMIFS(RAB!$F$14:$F$119,RAB!$C$14:$C$119,C1096)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SUMIFS(RAB!$F$14:$F$119,RAB!$C$14:$C$119,C1097)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SUMIFS(RAB!$F$14:$F$119,RAB!$C$14:$C$119,C1098)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SUMIFS(RAB!$F$14:$F$119,RAB!$C$14:$C$119,C1099)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SUMIFS(RAB!$F$14:$F$119,RAB!$C$14:$C$119,C1100)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SUMIFS(RAB!$F$14:$F$119,RAB!$C$14:$C$119,C1101)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SUMIFS(RAB!$F$14:$F$119,RAB!$C$14:$C$119,C1102)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SUMIFS(RAB!$F$14:$F$119,RAB!$C$14:$C$119,C1103)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SUMIFS(RAB!$F$14:$F$119,RAB!$C$14:$C$119,C1104)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SUMIFS(RAB!$F$14:$F$119,RAB!$C$14:$C$119,C1105)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SUMIFS(RAB!$F$14:$F$119,RAB!$C$14:$C$119,C1106)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SUMIFS(RAB!$F$14:$F$119,RAB!$C$14:$C$119,C1107)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SUMIFS(RAB!$F$14:$F$119,RAB!$C$14:$C$119,C1108)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SUMIFS(RAB!$F$14:$F$119,RAB!$C$14:$C$119,C1109)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SUMIFS(RAB!$F$14:$F$119,RAB!$C$14:$C$119,C1110)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SUMIFS(RAB!$F$14:$F$119,RAB!$C$14:$C$119,C1111)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SUMIFS(RAB!$F$14:$F$119,RAB!$C$14:$C$119,C1112)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SUMIFS(RAB!$F$14:$F$119,RAB!$C$14:$C$119,C1113)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SUMIFS(RAB!$F$14:$F$119,RAB!$C$14:$C$119,C1114)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SUMIFS(RAB!$F$14:$F$119,RAB!$C$14:$C$119,C1115)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SUMIFS(RAB!$F$14:$F$119,RAB!$C$14:$C$119,C1116)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SUMIFS(RAB!$F$14:$F$119,RAB!$C$14:$C$119,C1117)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SUMIFS(RAB!$F$14:$F$119,RAB!$C$14:$C$119,C1118)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SUMIFS(RAB!$F$14:$F$119,RAB!$C$14:$C$119,C1119)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SUMIFS(RAB!$F$14:$F$119,RAB!$C$14:$C$119,C1120)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SUMIFS(RAB!$F$14:$F$119,RAB!$C$14:$C$119,C1121)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SUMIFS(RAB!$F$14:$F$119,RAB!$C$14:$C$119,C1122)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SUMIFS(RAB!$F$14:$F$119,RAB!$C$14:$C$119,C1123)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SUMIFS(RAB!$F$14:$F$119,RAB!$C$14:$C$119,C1124)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SUMIFS(RAB!$F$14:$F$119,RAB!$C$14:$C$119,C1125)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SUMIFS(RAB!$F$14:$F$119,RAB!$C$14:$C$119,C1126)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SUMIFS(RAB!$F$14:$F$119,RAB!$C$14:$C$119,C1127)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SUMIFS(RAB!$F$14:$F$119,RAB!$C$14:$C$119,C1128)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SUMIFS(RAB!$F$14:$F$119,RAB!$C$14:$C$119,C1129)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SUMIFS(RAB!$F$14:$F$119,RAB!$C$14:$C$119,C1130)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SUMIFS(RAB!$F$14:$F$119,RAB!$C$14:$C$119,C1131)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SUMIFS(RAB!$F$14:$F$119,RAB!$C$14:$C$119,C1132)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SUMIFS(RAB!$F$14:$F$119,RAB!$C$14:$C$119,C1133)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SUMIFS(RAB!$F$14:$F$119,RAB!$C$14:$C$119,C1134)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SUMIFS(RAB!$F$14:$F$119,RAB!$C$14:$C$119,C1135)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SUMIFS(RAB!$F$14:$F$119,RAB!$C$14:$C$119,C1136)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SUMIFS(RAB!$F$14:$F$119,RAB!$C$14:$C$119,C1137)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SUMIFS(RAB!$F$14:$F$119,RAB!$C$14:$C$119,C1138)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SUMIFS(RAB!$F$14:$F$119,RAB!$C$14:$C$119,C1139)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SUMIFS(RAB!$F$14:$F$119,RAB!$C$14:$C$119,C1140)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SUMIFS(RAB!$F$14:$F$119,RAB!$C$14:$C$119,C1141)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SUMIFS(RAB!$F$14:$F$119,RAB!$C$14:$C$119,C1142)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SUMIFS(RAB!$F$14:$F$119,RAB!$C$14:$C$119,C1143)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SUMIFS(RAB!$F$14:$F$119,RAB!$C$14:$C$119,C1144)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SUMIFS(RAB!$F$14:$F$119,RAB!$C$14:$C$119,C1145)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SUMIFS(RAB!$F$14:$F$119,RAB!$C$14:$C$119,C1146)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SUMIFS(RAB!$F$14:$F$119,RAB!$C$14:$C$119,C1147)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SUMIFS(RAB!$F$14:$F$119,RAB!$C$14:$C$119,C1148)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SUMIFS(RAB!$F$14:$F$119,RAB!$C$14:$C$119,C1149)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SUMIFS(RAB!$F$14:$F$119,RAB!$C$14:$C$119,C1150)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SUMIFS(RAB!$F$14:$F$119,RAB!$C$14:$C$119,C1151)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SUMIFS(RAB!$F$14:$F$119,RAB!$C$14:$C$119,C1152)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SUMIFS(RAB!$F$14:$F$119,RAB!$C$14:$C$119,C1153)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SUMIFS(RAB!$F$14:$F$119,RAB!$C$14:$C$119,C1154)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SUMIFS(RAB!$F$14:$F$119,RAB!$C$14:$C$119,C1155)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SUMIFS(RAB!$F$14:$F$119,RAB!$C$14:$C$119,C1156)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SUMIFS(RAB!$F$14:$F$119,RAB!$C$14:$C$119,C1157)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SUMIFS(RAB!$F$14:$F$119,RAB!$C$14:$C$119,C1158)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SUMIFS(RAB!$F$14:$F$119,RAB!$C$14:$C$119,C1159)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SUMIFS(RAB!$F$14:$F$119,RAB!$C$14:$C$119,C1160)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SUMIFS(RAB!$F$14:$F$119,RAB!$C$14:$C$119,C1161)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SUMIFS(RAB!$F$14:$F$119,RAB!$C$14:$C$119,C1162)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SUMIFS(RAB!$F$14:$F$119,RAB!$C$14:$C$119,C1163)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SUMIFS(RAB!$F$14:$F$119,RAB!$C$14:$C$119,C1164)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SUMIFS(RAB!$F$14:$F$119,RAB!$C$14:$C$119,C1165)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SUMIFS(RAB!$F$14:$F$119,RAB!$C$14:$C$119,C1166)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SUMIFS(RAB!$F$14:$F$119,RAB!$C$14:$C$119,C1167)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SUMIFS(RAB!$F$14:$F$119,RAB!$C$14:$C$119,C1168)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SUMIFS(RAB!$F$14:$F$119,RAB!$C$14:$C$119,C1169)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SUMIFS(RAB!$F$14:$F$119,RAB!$C$14:$C$119,C1170)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SUMIFS(RAB!$F$14:$F$119,RAB!$C$14:$C$119,C1171)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SUMIFS(RAB!$F$14:$F$119,RAB!$C$14:$C$119,C1172)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SUMIFS(RAB!$F$14:$F$119,RAB!$C$14:$C$119,C1173)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SUMIFS(RAB!$F$14:$F$119,RAB!$C$14:$C$119,C1174)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SUMIFS(RAB!$F$14:$F$119,RAB!$C$14:$C$119,C1175)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SUMIFS(RAB!$F$14:$F$119,RAB!$C$14:$C$119,C1176)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SUMIFS(RAB!$F$14:$F$119,RAB!$C$14:$C$119,C1177)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SUMIFS(RAB!$F$14:$F$119,RAB!$C$14:$C$119,C1178)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SUMIFS(RAB!$F$14:$F$119,RAB!$C$14:$C$119,C1179)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SUMIFS(RAB!$F$14:$F$119,RAB!$C$14:$C$119,C1180)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SUMIFS(RAB!$F$14:$F$119,RAB!$C$14:$C$119,C1181)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SUMIFS(RAB!$F$14:$F$119,RAB!$C$14:$C$119,C1182)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SUMIFS(RAB!$F$14:$F$119,RAB!$C$14:$C$119,C1183)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SUMIFS(RAB!$F$14:$F$119,RAB!$C$14:$C$119,C1184)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SUMIFS(RAB!$F$14:$F$119,RAB!$C$14:$C$119,C1185)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SUMIFS(RAB!$F$14:$F$119,RAB!$C$14:$C$119,C1186)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SUMIFS(RAB!$F$14:$F$119,RAB!$C$14:$C$119,C1187)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SUMIFS(RAB!$F$14:$F$119,RAB!$C$14:$C$119,C1188)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SUMIFS(RAB!$F$14:$F$119,RAB!$C$14:$C$119,C1189)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SUMIFS(RAB!$F$14:$F$119,RAB!$C$14:$C$119,C1190)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SUMIFS(RAB!$F$14:$F$119,RAB!$C$14:$C$119,C1191)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SUMIFS(RAB!$F$14:$F$119,RAB!$C$14:$C$119,C1192)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SUMIFS(RAB!$F$14:$F$119,RAB!$C$14:$C$119,C1193)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SUMIFS(RAB!$F$14:$F$119,RAB!$C$14:$C$119,C1194)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SUMIFS(RAB!$F$14:$F$119,RAB!$C$14:$C$119,C1195)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SUMIFS(RAB!$F$14:$F$119,RAB!$C$14:$C$119,C1196)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SUMIFS(RAB!$F$14:$F$119,RAB!$C$14:$C$119,C1197)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SUMIFS(RAB!$F$14:$F$119,RAB!$C$14:$C$119,C1198)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SUMIFS(RAB!$F$14:$F$119,RAB!$C$14:$C$119,C1199)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SUMIFS(RAB!$F$14:$F$119,RAB!$C$14:$C$119,C1200)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SUMIFS(RAB!$F$14:$F$119,RAB!$C$14:$C$119,C1201)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SUMIFS(RAB!$F$14:$F$119,RAB!$C$14:$C$119,C1202)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SUMIFS(RAB!$F$14:$F$119,RAB!$C$14:$C$119,C1203)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SUMIFS(RAB!$F$14:$F$119,RAB!$C$14:$C$119,C1204)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SUMIFS(RAB!$F$14:$F$119,RAB!$C$14:$C$119,C1205)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SUMIFS(RAB!$F$14:$F$119,RAB!$C$14:$C$119,C1206)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SUMIFS(RAB!$F$14:$F$119,RAB!$C$14:$C$119,C1207)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SUMIFS(RAB!$F$14:$F$119,RAB!$C$14:$C$119,C1208)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SUMIFS(RAB!$F$14:$F$119,RAB!$C$14:$C$119,C1209)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SUMIFS(RAB!$F$14:$F$119,RAB!$C$14:$C$119,C1210)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SUMIFS(RAB!$F$14:$F$119,RAB!$C$14:$C$119,C1211)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SUMIFS(RAB!$F$14:$F$119,RAB!$C$14:$C$119,C1212)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SUMIFS(RAB!$F$14:$F$119,RAB!$C$14:$C$119,C1213)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SUMIFS(RAB!$F$14:$F$119,RAB!$C$14:$C$119,C1214)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SUMIFS(RAB!$F$14:$F$119,RAB!$C$14:$C$119,C1215)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SUMIFS(RAB!$F$14:$F$119,RAB!$C$14:$C$119,C1216)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SUMIFS(RAB!$F$14:$F$119,RAB!$C$14:$C$119,C1217)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SUMIFS(RAB!$F$14:$F$119,RAB!$C$14:$C$119,C1218)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SUMIFS(RAB!$F$14:$F$119,RAB!$C$14:$C$119,C1219)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SUMIFS(RAB!$F$14:$F$119,RAB!$C$14:$C$119,C1220)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SUMIFS(RAB!$F$14:$F$119,RAB!$C$14:$C$119,C1221)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SUMIFS(RAB!$F$14:$F$119,RAB!$C$14:$C$119,C1222)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SUMIFS(RAB!$F$14:$F$119,RAB!$C$14:$C$119,C1223)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SUMIFS(RAB!$F$14:$F$119,RAB!$C$14:$C$119,C1224)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SUMIFS(RAB!$F$14:$F$119,RAB!$C$14:$C$119,C1225)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SUMIFS(RAB!$F$14:$F$119,RAB!$C$14:$C$119,C1226)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SUMIFS(RAB!$F$14:$F$119,RAB!$C$14:$C$119,C1227)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SUMIFS(RAB!$F$14:$F$119,RAB!$C$14:$C$119,C1228)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SUMIFS(RAB!$F$14:$F$119,RAB!$C$14:$C$119,C1229)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SUMIFS(RAB!$F$14:$F$119,RAB!$C$14:$C$119,C1230)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SUMIFS(RAB!$F$14:$F$119,RAB!$C$14:$C$119,C1231)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SUMIFS(RAB!$F$14:$F$119,RAB!$C$14:$C$119,C1232)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SUMIFS(RAB!$F$14:$F$119,RAB!$C$14:$C$119,C1233)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SUMIFS(RAB!$F$14:$F$119,RAB!$C$14:$C$119,C1234)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SUMIFS(RAB!$F$14:$F$119,RAB!$C$14:$C$119,C1235)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SUMIFS(RAB!$F$14:$F$119,RAB!$C$14:$C$119,C1236)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SUMIFS(RAB!$F$14:$F$119,RAB!$C$14:$C$119,C1237)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SUMIFS(RAB!$F$14:$F$119,RAB!$C$14:$C$119,C1238)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SUMIFS(RAB!$F$14:$F$119,RAB!$C$14:$C$119,C1239)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SUMIFS(RAB!$F$14:$F$119,RAB!$C$14:$C$119,C1240)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SUMIFS(RAB!$F$14:$F$119,RAB!$C$14:$C$119,C1241)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SUMIFS(RAB!$F$14:$F$119,RAB!$C$14:$C$119,C1242)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SUMIFS(RAB!$F$14:$F$119,RAB!$C$14:$C$119,C1243)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SUMIFS(RAB!$F$14:$F$119,RAB!$C$14:$C$119,C1244)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SUMIFS(RAB!$F$14:$F$119,RAB!$C$14:$C$119,C1245)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SUMIFS(RAB!$F$14:$F$119,RAB!$C$14:$C$119,C1246)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SUMIFS(RAB!$F$14:$F$119,RAB!$C$14:$C$119,C1247)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SUMIFS(RAB!$F$14:$F$119,RAB!$C$14:$C$119,C1248)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SUMIFS(RAB!$F$14:$F$119,RAB!$C$14:$C$119,C1249)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SUMIFS(RAB!$F$14:$F$119,RAB!$C$14:$C$119,C1250)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SUMIFS(RAB!$F$14:$F$119,RAB!$C$14:$C$119,C1251)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SUMIFS(RAB!$F$14:$F$119,RAB!$C$14:$C$119,C1252)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SUMIFS(RAB!$F$14:$F$119,RAB!$C$14:$C$119,C1253)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SUMIFS(RAB!$F$14:$F$119,RAB!$C$14:$C$119,C1254)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SUMIFS(RAB!$F$14:$F$119,RAB!$C$14:$C$119,C1255)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SUMIFS(RAB!$F$14:$F$119,RAB!$C$14:$C$119,C1256)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SUMIFS(RAB!$F$14:$F$119,RAB!$C$14:$C$119,C1257)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SUMIFS(RAB!$F$14:$F$119,RAB!$C$14:$C$119,C1258)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SUMIFS(RAB!$F$14:$F$119,RAB!$C$14:$C$119,C1259)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SUMIFS(RAB!$F$14:$F$119,RAB!$C$14:$C$119,C1260)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SUMIFS(RAB!$F$14:$F$119,RAB!$C$14:$C$119,C1261)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SUMIFS(RAB!$F$14:$F$119,RAB!$C$14:$C$119,C1262)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SUMIFS(RAB!$F$14:$F$119,RAB!$C$14:$C$119,C1263)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SUMIFS(RAB!$F$14:$F$119,RAB!$C$14:$C$119,C1264)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SUMIFS(RAB!$F$14:$F$119,RAB!$C$14:$C$119,C1265)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SUMIFS(RAB!$F$14:$F$119,RAB!$C$14:$C$119,C1266)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SUMIFS(RAB!$F$14:$F$119,RAB!$C$14:$C$119,C1267)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SUMIFS(RAB!$F$14:$F$119,RAB!$C$14:$C$119,C1268)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SUMIFS(RAB!$F$14:$F$119,RAB!$C$14:$C$119,C1269)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SUMIFS(RAB!$F$14:$F$119,RAB!$C$14:$C$119,C1270)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SUMIFS(RAB!$F$14:$F$119,RAB!$C$14:$C$119,C1271)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SUMIFS(RAB!$F$14:$F$119,RAB!$C$14:$C$119,C1272)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SUMIFS(RAB!$F$14:$F$119,RAB!$C$14:$C$119,C1273)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SUMIFS(RAB!$F$14:$F$119,RAB!$C$14:$C$119,C1274)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SUMIFS(RAB!$F$14:$F$119,RAB!$C$14:$C$119,C1275)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SUMIFS(RAB!$F$14:$F$119,RAB!$C$14:$C$119,C1276)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SUMIFS(RAB!$F$14:$F$119,RAB!$C$14:$C$119,C1277)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SUMIFS(RAB!$F$14:$F$119,RAB!$C$14:$C$119,C1278)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SUMIFS(RAB!$F$14:$F$119,RAB!$C$14:$C$119,C1279)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SUMIFS(RAB!$F$14:$F$119,RAB!$C$14:$C$119,C1280)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SUMIFS(RAB!$F$14:$F$119,RAB!$C$14:$C$119,C1281)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SUMIFS(RAB!$F$14:$F$119,RAB!$C$14:$C$119,C1282)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SUMIFS(RAB!$F$14:$F$119,RAB!$C$14:$C$119,C1283)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SUMIFS(RAB!$F$14:$F$119,RAB!$C$14:$C$119,C1284)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SUMIFS(RAB!$F$14:$F$119,RAB!$C$14:$C$119,C1285)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SUMIFS(RAB!$F$14:$F$119,RAB!$C$14:$C$119,C1286)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SUMIFS(RAB!$F$14:$F$119,RAB!$C$14:$C$119,C1287)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SUMIFS(RAB!$F$14:$F$119,RAB!$C$14:$C$119,C1288)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SUMIFS(RAB!$F$14:$F$119,RAB!$C$14:$C$119,C1289)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SUMIFS(RAB!$F$14:$F$119,RAB!$C$14:$C$119,C1290)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SUMIFS(RAB!$F$14:$F$119,RAB!$C$14:$C$119,C1291)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SUMIFS(RAB!$F$14:$F$119,RAB!$C$14:$C$119,C1292)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SUMIFS(RAB!$F$14:$F$119,RAB!$C$14:$C$119,C1293)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SUMIFS(RAB!$F$14:$F$119,RAB!$C$14:$C$119,C1294)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SUMIFS(RAB!$F$14:$F$119,RAB!$C$14:$C$119,C1295)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SUMIFS(RAB!$F$14:$F$119,RAB!$C$14:$C$119,C1296)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SUMIFS(RAB!$F$14:$F$119,RAB!$C$14:$C$119,C1297)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SUMIFS(RAB!$F$14:$F$119,RAB!$C$14:$C$119,C1298)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SUMIFS(RAB!$F$14:$F$119,RAB!$C$14:$C$119,C1299)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SUMIFS(RAB!$F$14:$F$119,RAB!$C$14:$C$119,C1300)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SUMIFS(RAB!$F$14:$F$119,RAB!$C$14:$C$119,C1301)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SUMIFS(RAB!$F$14:$F$119,RAB!$C$14:$C$119,C1302)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SUMIFS(RAB!$F$14:$F$119,RAB!$C$14:$C$119,C1303)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SUMIFS(RAB!$F$14:$F$119,RAB!$C$14:$C$119,C1304)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SUMIFS(RAB!$F$14:$F$119,RAB!$C$14:$C$119,C1305)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SUMIFS(RAB!$F$14:$F$119,RAB!$C$14:$C$119,C1306)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SUMIFS(RAB!$F$14:$F$119,RAB!$C$14:$C$119,C1307)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SUMIFS(RAB!$F$14:$F$119,RAB!$C$14:$C$119,C1308)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SUMIFS(RAB!$F$14:$F$119,RAB!$C$14:$C$119,C1309)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SUMIFS(RAB!$F$14:$F$119,RAB!$C$14:$C$119,C1310)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SUMIFS(RAB!$F$14:$F$119,RAB!$C$14:$C$119,C1311)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SUMIFS(RAB!$F$14:$F$119,RAB!$C$14:$C$119,C1312)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SUMIFS(RAB!$F$14:$F$119,RAB!$C$14:$C$119,C1313)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SUMIFS(RAB!$F$14:$F$119,RAB!$C$14:$C$119,C1314)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SUMIFS(RAB!$F$14:$F$119,RAB!$C$14:$C$119,C1315)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SUMIFS(RAB!$F$14:$F$119,RAB!$C$14:$C$119,C1316)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SUMIFS(RAB!$F$14:$F$119,RAB!$C$14:$C$119,C1317)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SUMIFS(RAB!$F$14:$F$119,RAB!$C$14:$C$119,C1318)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SUMIFS(RAB!$F$14:$F$119,RAB!$C$14:$C$119,C1319)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SUMIFS(RAB!$F$14:$F$119,RAB!$C$14:$C$119,C1320)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7" priority="5" operator="equal">
      <formula>0</formula>
    </cfRule>
  </conditionalFormatting>
  <conditionalFormatting sqref="A10:L65536">
    <cfRule type="cellIs" dxfId="56" priority="1" operator="equal">
      <formula>0</formula>
    </cfRule>
  </conditionalFormatting>
  <conditionalFormatting sqref="C12:C711">
    <cfRule type="cellIs" dxfId="55" priority="66" stopIfTrue="1" operator="equal">
      <formula>0</formula>
    </cfRule>
  </conditionalFormatting>
  <conditionalFormatting sqref="E712:E65536">
    <cfRule type="cellIs" dxfId="54" priority="16" stopIfTrue="1" operator="equal">
      <formula>0</formula>
    </cfRule>
  </conditionalFormatting>
  <conditionalFormatting sqref="G1:G11 E6:E11 E1:E3 H7 H10:H11 F10:F711 G712:G65536">
    <cfRule type="cellIs" dxfId="53" priority="69" stopIfTrue="1" operator="equal">
      <formula>0</formula>
    </cfRule>
  </conditionalFormatting>
  <conditionalFormatting sqref="G12:H711">
    <cfRule type="cellIs" dxfId="52" priority="12" stopIfTrue="1" operator="equal">
      <formula>0</formula>
    </cfRule>
  </conditionalFormatting>
  <conditionalFormatting sqref="I7:K7">
    <cfRule type="cellIs" dxfId="51" priority="4" stopIfTrue="1" operator="equal">
      <formula>0</formula>
    </cfRule>
  </conditionalFormatting>
  <conditionalFormatting sqref="I10:L711">
    <cfRule type="cellIs" dxfId="50" priority="2" stopIfTrue="1" operator="equal">
      <formula>0</formula>
    </cfRule>
  </conditionalFormatting>
  <conditionalFormatting sqref="L1:L6">
    <cfRule type="cellIs" dxfId="49" priority="10" operator="equal">
      <formula>0</formula>
    </cfRule>
  </conditionalFormatting>
  <conditionalFormatting sqref="M1:IV1048576 A8:G9">
    <cfRule type="cellIs" dxfId="48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C97E-D646-4661-8C10-9B8942A1920C}">
  <sheetPr>
    <tabColor rgb="FFFF6699"/>
  </sheetPr>
  <dimension ref="C1:AD55"/>
  <sheetViews>
    <sheetView showGridLines="0" view="pageBreakPreview" topLeftCell="A40" zoomScale="115" zoomScaleNormal="115" zoomScaleSheetLayoutView="115" workbookViewId="0">
      <selection activeCell="R53" sqref="R53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7" t="s">
        <v>1439</v>
      </c>
      <c r="X2" s="698"/>
      <c r="Y2" s="698"/>
      <c r="Z2" s="698"/>
      <c r="AA2" s="698"/>
      <c r="AB2" s="698"/>
      <c r="AC2" s="698"/>
      <c r="AD2" s="699"/>
    </row>
    <row r="3" spans="3:30">
      <c r="C3" s="238"/>
      <c r="W3" s="700"/>
      <c r="X3" s="701"/>
      <c r="Y3" s="701"/>
      <c r="Z3" s="701"/>
      <c r="AA3" s="701"/>
      <c r="AB3" s="701"/>
      <c r="AC3" s="701"/>
      <c r="AD3" s="702"/>
    </row>
    <row r="4" spans="3:30">
      <c r="C4" s="238"/>
      <c r="W4" s="239" t="s">
        <v>987</v>
      </c>
      <c r="AD4" s="240"/>
    </row>
    <row r="5" spans="3:30">
      <c r="C5" s="238"/>
      <c r="W5" s="241" t="s">
        <v>991</v>
      </c>
      <c r="X5" s="664" t="s">
        <v>990</v>
      </c>
      <c r="Y5" s="664"/>
      <c r="Z5" s="664"/>
      <c r="AA5" s="664" t="s">
        <v>988</v>
      </c>
      <c r="AB5" s="664"/>
      <c r="AC5" s="664" t="s">
        <v>989</v>
      </c>
      <c r="AD5" s="665"/>
    </row>
    <row r="6" spans="3:30">
      <c r="C6" s="238"/>
      <c r="W6" s="241">
        <v>1</v>
      </c>
      <c r="X6" s="664" t="s">
        <v>993</v>
      </c>
      <c r="Y6" s="664"/>
      <c r="Z6" s="664"/>
      <c r="AA6" s="664"/>
      <c r="AB6" s="664"/>
      <c r="AC6" s="664"/>
      <c r="AD6" s="665"/>
    </row>
    <row r="7" spans="3:30">
      <c r="C7" s="238"/>
      <c r="E7" s="492" t="s">
        <v>1641</v>
      </c>
      <c r="W7" s="241">
        <v>2</v>
      </c>
      <c r="X7" s="664" t="s">
        <v>994</v>
      </c>
      <c r="Y7" s="664"/>
      <c r="Z7" s="664"/>
      <c r="AA7" s="664"/>
      <c r="AB7" s="664"/>
      <c r="AC7" s="664"/>
      <c r="AD7" s="665"/>
    </row>
    <row r="8" spans="3:30">
      <c r="C8" s="238"/>
      <c r="W8" s="241">
        <v>3</v>
      </c>
      <c r="X8" s="664" t="s">
        <v>995</v>
      </c>
      <c r="Y8" s="664"/>
      <c r="Z8" s="664"/>
      <c r="AA8" s="664"/>
      <c r="AB8" s="664"/>
      <c r="AC8" s="664"/>
      <c r="AD8" s="665"/>
    </row>
    <row r="9" spans="3:30">
      <c r="C9" s="238"/>
      <c r="W9" s="241">
        <v>4</v>
      </c>
      <c r="X9" s="664" t="s">
        <v>996</v>
      </c>
      <c r="Y9" s="664"/>
      <c r="Z9" s="664"/>
      <c r="AA9" s="664"/>
      <c r="AB9" s="664"/>
      <c r="AC9" s="664"/>
      <c r="AD9" s="665"/>
    </row>
    <row r="10" spans="3:30">
      <c r="C10" s="238"/>
      <c r="W10" s="241">
        <v>5</v>
      </c>
      <c r="X10" s="664" t="s">
        <v>997</v>
      </c>
      <c r="Y10" s="664"/>
      <c r="Z10" s="664"/>
      <c r="AA10" s="664"/>
      <c r="AB10" s="664"/>
      <c r="AC10" s="664"/>
      <c r="AD10" s="665"/>
    </row>
    <row r="11" spans="3:30">
      <c r="C11" s="238"/>
      <c r="W11" s="241">
        <v>6</v>
      </c>
      <c r="X11" s="664" t="s">
        <v>998</v>
      </c>
      <c r="Y11" s="664"/>
      <c r="Z11" s="664"/>
      <c r="AA11" s="664"/>
      <c r="AB11" s="664"/>
      <c r="AC11" s="664"/>
      <c r="AD11" s="665"/>
    </row>
    <row r="12" spans="3:30">
      <c r="C12" s="238"/>
      <c r="W12" s="241">
        <v>7</v>
      </c>
      <c r="X12" s="664" t="s">
        <v>999</v>
      </c>
      <c r="Y12" s="664"/>
      <c r="Z12" s="664"/>
      <c r="AA12" s="664"/>
      <c r="AB12" s="664"/>
      <c r="AC12" s="664"/>
      <c r="AD12" s="665"/>
    </row>
    <row r="13" spans="3:30" ht="12.75" customHeight="1">
      <c r="C13" s="238"/>
      <c r="W13" s="241">
        <v>8</v>
      </c>
      <c r="X13" s="664" t="s">
        <v>1000</v>
      </c>
      <c r="Y13" s="664"/>
      <c r="Z13" s="664"/>
      <c r="AA13" s="664"/>
      <c r="AB13" s="664"/>
      <c r="AC13" s="664"/>
      <c r="AD13" s="665"/>
    </row>
    <row r="14" spans="3:30">
      <c r="C14" s="238"/>
      <c r="W14" s="241">
        <v>9</v>
      </c>
      <c r="X14" s="664" t="s">
        <v>1001</v>
      </c>
      <c r="Y14" s="664"/>
      <c r="Z14" s="664"/>
      <c r="AA14" s="664"/>
      <c r="AB14" s="664"/>
      <c r="AC14" s="664"/>
      <c r="AD14" s="665"/>
    </row>
    <row r="15" spans="3:30">
      <c r="C15" s="238"/>
      <c r="W15" s="241">
        <v>10</v>
      </c>
      <c r="X15" s="664" t="s">
        <v>1010</v>
      </c>
      <c r="Y15" s="664"/>
      <c r="Z15" s="664"/>
      <c r="AA15" s="664"/>
      <c r="AB15" s="664"/>
      <c r="AC15" s="664"/>
      <c r="AD15" s="665"/>
    </row>
    <row r="16" spans="3:30">
      <c r="C16" s="238"/>
      <c r="W16" s="241">
        <v>11</v>
      </c>
      <c r="X16" s="664" t="s">
        <v>1458</v>
      </c>
      <c r="Y16" s="664"/>
      <c r="Z16" s="664"/>
      <c r="AA16" s="664"/>
      <c r="AB16" s="664"/>
      <c r="AC16" s="664"/>
      <c r="AD16" s="665"/>
    </row>
    <row r="17" spans="3:30">
      <c r="C17" s="238"/>
      <c r="S17" s="242"/>
      <c r="W17" s="241">
        <v>12</v>
      </c>
      <c r="X17" s="664" t="s">
        <v>1011</v>
      </c>
      <c r="Y17" s="664"/>
      <c r="Z17" s="664"/>
      <c r="AA17" s="664"/>
      <c r="AB17" s="664"/>
      <c r="AC17" s="664"/>
      <c r="AD17" s="665"/>
    </row>
    <row r="18" spans="3:30">
      <c r="C18" s="243"/>
      <c r="D18" s="244"/>
      <c r="E18" s="244"/>
      <c r="W18" s="241">
        <v>13</v>
      </c>
      <c r="X18" s="664"/>
      <c r="Y18" s="664"/>
      <c r="Z18" s="664"/>
      <c r="AA18" s="664"/>
      <c r="AB18" s="664"/>
      <c r="AC18" s="664"/>
      <c r="AD18" s="665"/>
    </row>
    <row r="19" spans="3:30">
      <c r="C19" s="238"/>
      <c r="W19" s="245"/>
      <c r="X19" s="684"/>
      <c r="Y19" s="684"/>
      <c r="Z19" s="684"/>
      <c r="AA19" s="684"/>
      <c r="AB19" s="684"/>
      <c r="AC19" s="684"/>
      <c r="AD19" s="685"/>
    </row>
    <row r="20" spans="3:30">
      <c r="C20" s="238"/>
      <c r="W20" s="686" t="s">
        <v>992</v>
      </c>
      <c r="X20" s="687"/>
      <c r="Y20" s="687"/>
      <c r="Z20" s="687"/>
      <c r="AA20" s="687"/>
      <c r="AB20" s="687"/>
      <c r="AC20" s="687"/>
      <c r="AD20" s="688"/>
    </row>
    <row r="21" spans="3:30">
      <c r="C21" s="238"/>
      <c r="W21" s="689" t="s">
        <v>985</v>
      </c>
      <c r="X21" s="690"/>
      <c r="Y21" s="690"/>
      <c r="Z21" s="691"/>
      <c r="AA21" s="692" t="s">
        <v>986</v>
      </c>
      <c r="AB21" s="693"/>
      <c r="AC21" s="693"/>
      <c r="AD21" s="694"/>
    </row>
    <row r="22" spans="3:30">
      <c r="C22" s="238"/>
      <c r="W22" s="673" t="s">
        <v>1635</v>
      </c>
      <c r="X22" s="674"/>
      <c r="Y22" s="494">
        <v>1</v>
      </c>
      <c r="Z22" s="499"/>
      <c r="AA22" s="695"/>
      <c r="AB22" s="696"/>
      <c r="AC22" s="248"/>
      <c r="AD22" s="249"/>
    </row>
    <row r="23" spans="3:30">
      <c r="C23" s="238"/>
      <c r="W23" s="673" t="s">
        <v>1628</v>
      </c>
      <c r="X23" s="674"/>
      <c r="Y23" s="494">
        <v>2</v>
      </c>
      <c r="Z23" s="499"/>
      <c r="AA23" s="680"/>
      <c r="AB23" s="681"/>
      <c r="AC23" s="248"/>
      <c r="AD23" s="249"/>
    </row>
    <row r="24" spans="3:30">
      <c r="C24" s="238"/>
      <c r="W24" s="673" t="s">
        <v>1636</v>
      </c>
      <c r="X24" s="674"/>
      <c r="Y24" s="246">
        <v>2</v>
      </c>
      <c r="Z24" s="247"/>
      <c r="AA24" s="682"/>
      <c r="AB24" s="683"/>
      <c r="AC24" s="248"/>
      <c r="AD24" s="249"/>
    </row>
    <row r="25" spans="3:30">
      <c r="C25" s="238"/>
      <c r="W25" s="671" t="s">
        <v>1629</v>
      </c>
      <c r="X25" s="672"/>
      <c r="Y25" s="246">
        <v>2</v>
      </c>
      <c r="Z25" s="247"/>
      <c r="AA25" s="680"/>
      <c r="AB25" s="681"/>
      <c r="AC25" s="248"/>
      <c r="AD25" s="249"/>
    </row>
    <row r="26" spans="3:30">
      <c r="C26" s="238"/>
      <c r="W26" s="484" t="s">
        <v>1620</v>
      </c>
      <c r="X26" s="485"/>
      <c r="Y26" s="246">
        <v>4</v>
      </c>
      <c r="Z26" s="247"/>
      <c r="AA26" s="680"/>
      <c r="AB26" s="681"/>
      <c r="AC26" s="248"/>
      <c r="AD26" s="249"/>
    </row>
    <row r="27" spans="3:30">
      <c r="C27" s="238"/>
      <c r="W27" s="484" t="s">
        <v>1621</v>
      </c>
      <c r="X27" s="485"/>
      <c r="Y27" s="246">
        <f>Y26</f>
        <v>4</v>
      </c>
      <c r="Z27" s="247"/>
      <c r="AA27" s="679"/>
      <c r="AB27" s="676"/>
      <c r="AC27" s="248"/>
      <c r="AD27" s="249"/>
    </row>
    <row r="28" spans="3:30">
      <c r="C28" s="238"/>
      <c r="W28" s="484" t="s">
        <v>1622</v>
      </c>
      <c r="X28" s="485"/>
      <c r="Y28" s="246">
        <f>Y26</f>
        <v>4</v>
      </c>
      <c r="Z28" s="247"/>
      <c r="AA28" s="679"/>
      <c r="AB28" s="676"/>
      <c r="AC28" s="248"/>
      <c r="AD28" s="249"/>
    </row>
    <row r="29" spans="3:30">
      <c r="C29" s="238"/>
      <c r="W29" s="484" t="s">
        <v>1618</v>
      </c>
      <c r="X29" s="485"/>
      <c r="Y29" s="246">
        <v>1</v>
      </c>
      <c r="Z29" s="247"/>
      <c r="AA29" s="679"/>
      <c r="AB29" s="676"/>
      <c r="AC29" s="248"/>
      <c r="AD29" s="249"/>
    </row>
    <row r="30" spans="3:30" ht="11.25" customHeight="1">
      <c r="C30" s="238"/>
      <c r="W30" s="671" t="s">
        <v>1625</v>
      </c>
      <c r="X30" s="672"/>
      <c r="Y30" s="246">
        <v>10</v>
      </c>
      <c r="Z30" s="247"/>
      <c r="AA30" s="679"/>
      <c r="AB30" s="676"/>
      <c r="AC30" s="248"/>
      <c r="AD30" s="249"/>
    </row>
    <row r="31" spans="3:30">
      <c r="C31" s="238"/>
      <c r="U31" s="250"/>
      <c r="W31" s="673" t="s">
        <v>1637</v>
      </c>
      <c r="X31" s="674"/>
      <c r="Y31" s="246">
        <v>3</v>
      </c>
      <c r="Z31" s="247"/>
      <c r="AA31" s="679"/>
      <c r="AB31" s="676"/>
      <c r="AC31" s="248"/>
      <c r="AD31" s="249"/>
    </row>
    <row r="32" spans="3:30">
      <c r="C32" s="238"/>
      <c r="U32" s="250"/>
      <c r="W32" s="484"/>
      <c r="X32" s="485"/>
      <c r="Y32" s="246"/>
      <c r="Z32" s="247"/>
      <c r="AA32" s="679"/>
      <c r="AB32" s="676"/>
      <c r="AC32" s="248"/>
      <c r="AD32" s="249"/>
    </row>
    <row r="33" spans="3:30">
      <c r="C33" s="238"/>
      <c r="W33" s="484"/>
      <c r="X33" s="513"/>
      <c r="Y33" s="246"/>
      <c r="Z33" s="247"/>
      <c r="AA33" s="679"/>
      <c r="AB33" s="676"/>
      <c r="AC33" s="248"/>
      <c r="AD33" s="249"/>
    </row>
    <row r="34" spans="3:30">
      <c r="C34" s="238"/>
      <c r="T34" s="518"/>
      <c r="W34" s="484"/>
      <c r="X34" s="513"/>
      <c r="Y34" s="246"/>
      <c r="Z34" s="247"/>
      <c r="AA34" s="679"/>
      <c r="AB34" s="676"/>
      <c r="AC34" s="248"/>
      <c r="AD34" s="249"/>
    </row>
    <row r="35" spans="3:30">
      <c r="C35" s="238"/>
      <c r="W35" s="484"/>
      <c r="X35" s="485"/>
      <c r="Y35" s="246"/>
      <c r="Z35" s="247"/>
      <c r="AA35" s="679"/>
      <c r="AB35" s="676"/>
      <c r="AC35" s="248"/>
      <c r="AD35" s="249"/>
    </row>
    <row r="36" spans="3:30">
      <c r="C36" s="238"/>
      <c r="W36" s="484"/>
      <c r="X36" s="485"/>
      <c r="Y36" s="246"/>
      <c r="Z36" s="251"/>
      <c r="AA36" s="675"/>
      <c r="AB36" s="676"/>
      <c r="AC36" s="248"/>
      <c r="AD36" s="249"/>
    </row>
    <row r="37" spans="3:30" ht="12.75" customHeight="1">
      <c r="C37" s="238"/>
      <c r="W37" s="484"/>
      <c r="X37" s="485"/>
      <c r="Y37" s="246"/>
      <c r="Z37" s="251"/>
      <c r="AA37" s="677"/>
      <c r="AB37" s="678"/>
      <c r="AC37" s="252"/>
      <c r="AD37" s="253"/>
    </row>
    <row r="38" spans="3:30" ht="12.75" customHeight="1">
      <c r="C38" s="238"/>
      <c r="W38" s="484"/>
      <c r="X38" s="485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484"/>
      <c r="X39" s="485"/>
      <c r="Y39" s="254"/>
      <c r="Z39" s="257"/>
      <c r="AA39" s="666"/>
      <c r="AB39" s="667"/>
      <c r="AC39" s="252"/>
      <c r="AD39" s="253"/>
    </row>
    <row r="40" spans="3:30" ht="12" customHeight="1">
      <c r="C40" s="238"/>
      <c r="W40" s="484"/>
      <c r="X40" s="485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484"/>
      <c r="X41" s="485"/>
      <c r="Y41" s="260"/>
      <c r="Z41" s="261"/>
      <c r="AA41" s="666"/>
      <c r="AB41" s="667"/>
      <c r="AC41" s="252"/>
      <c r="AD41" s="253"/>
    </row>
    <row r="42" spans="3:30" ht="12" customHeight="1">
      <c r="C42" s="238"/>
      <c r="W42" s="668" t="s">
        <v>1459</v>
      </c>
      <c r="X42" s="669"/>
      <c r="Y42" s="669"/>
      <c r="Z42" s="669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62" t="s">
        <v>11</v>
      </c>
      <c r="X44" s="663"/>
      <c r="Y44" s="664"/>
      <c r="Z44" s="664"/>
      <c r="AA44" s="664"/>
      <c r="AB44" s="664"/>
      <c r="AC44" s="664"/>
      <c r="AD44" s="665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62" t="s">
        <v>984</v>
      </c>
      <c r="X45" s="663"/>
      <c r="Y45" s="664">
        <v>1</v>
      </c>
      <c r="Z45" s="664"/>
      <c r="AA45" s="664"/>
      <c r="AB45" s="664" t="s">
        <v>12</v>
      </c>
      <c r="AC45" s="664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62" t="s">
        <v>15</v>
      </c>
      <c r="X46" s="663"/>
      <c r="Y46" s="670"/>
      <c r="Z46" s="670"/>
      <c r="AA46" s="670"/>
      <c r="AB46" s="664" t="s">
        <v>16</v>
      </c>
      <c r="AC46" s="664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56" t="s">
        <v>17</v>
      </c>
      <c r="X47" s="656"/>
      <c r="Y47" s="656"/>
      <c r="Z47" s="656"/>
      <c r="AA47" s="656"/>
      <c r="AB47" s="656"/>
      <c r="AC47" s="656"/>
      <c r="AD47" s="657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58" t="str">
        <f>RAB!G6</f>
        <v>PERCETAKAN HAMDAN</v>
      </c>
      <c r="X48" s="658"/>
      <c r="Y48" s="658"/>
      <c r="Z48" s="658"/>
      <c r="AA48" s="658"/>
      <c r="AB48" s="658"/>
      <c r="AC48" s="658"/>
      <c r="AD48" s="659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58"/>
      <c r="X49" s="658"/>
      <c r="Y49" s="658"/>
      <c r="Z49" s="658"/>
      <c r="AA49" s="658"/>
      <c r="AB49" s="658"/>
      <c r="AC49" s="658"/>
      <c r="AD49" s="659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658"/>
      <c r="X50" s="658"/>
      <c r="Y50" s="658"/>
      <c r="Z50" s="658"/>
      <c r="AA50" s="658"/>
      <c r="AB50" s="658"/>
      <c r="AC50" s="658"/>
      <c r="AD50" s="659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660"/>
      <c r="X51" s="660"/>
      <c r="Y51" s="660"/>
      <c r="Z51" s="660"/>
      <c r="AA51" s="660"/>
      <c r="AB51" s="660"/>
      <c r="AC51" s="660"/>
      <c r="AD51" s="661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62" t="s">
        <v>18</v>
      </c>
      <c r="X52" s="663"/>
      <c r="Y52" s="664" t="s">
        <v>1613</v>
      </c>
      <c r="Z52" s="664"/>
      <c r="AA52" s="664"/>
      <c r="AB52" s="664"/>
      <c r="AC52" s="664"/>
      <c r="AD52" s="665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62" t="s">
        <v>19</v>
      </c>
      <c r="X53" s="663"/>
      <c r="Y53" s="664" t="s">
        <v>1614</v>
      </c>
      <c r="Z53" s="664"/>
      <c r="AA53" s="664"/>
      <c r="AB53" s="664"/>
      <c r="AC53" s="664"/>
      <c r="AD53" s="665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62" t="s">
        <v>20</v>
      </c>
      <c r="X54" s="663"/>
      <c r="Y54" s="654" t="s">
        <v>1615</v>
      </c>
      <c r="Z54" s="654"/>
      <c r="AA54" s="654"/>
      <c r="AB54" s="664"/>
      <c r="AC54" s="664"/>
      <c r="AD54" s="665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52" t="s">
        <v>21</v>
      </c>
      <c r="X55" s="653"/>
      <c r="Y55" s="654" t="s">
        <v>1552</v>
      </c>
      <c r="Z55" s="654"/>
      <c r="AA55" s="654"/>
      <c r="AB55" s="654"/>
      <c r="AC55" s="654"/>
      <c r="AD55" s="655"/>
    </row>
  </sheetData>
  <mergeCells count="96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X18:Z18"/>
    <mergeCell ref="AA18:AB18"/>
    <mergeCell ref="AC18:AD18"/>
    <mergeCell ref="X19:Z19"/>
    <mergeCell ref="AA19:AB19"/>
    <mergeCell ref="AC19:AD19"/>
    <mergeCell ref="AA27:AB27"/>
    <mergeCell ref="AA28:AB28"/>
    <mergeCell ref="AA29:AB29"/>
    <mergeCell ref="W23:X23"/>
    <mergeCell ref="AA23:AB23"/>
    <mergeCell ref="W24:X24"/>
    <mergeCell ref="AA24:AB24"/>
    <mergeCell ref="W25:X25"/>
    <mergeCell ref="AA25:AB25"/>
    <mergeCell ref="AA26:AB26"/>
    <mergeCell ref="W30:X30"/>
    <mergeCell ref="W31:X31"/>
    <mergeCell ref="AA36:AB36"/>
    <mergeCell ref="AA37:AB37"/>
    <mergeCell ref="AA39:AB39"/>
    <mergeCell ref="AA33:AB33"/>
    <mergeCell ref="AA34:AB34"/>
    <mergeCell ref="AA35:AB35"/>
    <mergeCell ref="AA30:AB30"/>
    <mergeCell ref="AA31:AB31"/>
    <mergeCell ref="AA32:AB32"/>
    <mergeCell ref="AA41:AB41"/>
    <mergeCell ref="W42:Z42"/>
    <mergeCell ref="W44:X44"/>
    <mergeCell ref="Y44:AD44"/>
    <mergeCell ref="W54:X54"/>
    <mergeCell ref="Y54:AA54"/>
    <mergeCell ref="AB54:AD54"/>
    <mergeCell ref="W45:X45"/>
    <mergeCell ref="Y45:AA45"/>
    <mergeCell ref="AB45:AC45"/>
    <mergeCell ref="W46:X46"/>
    <mergeCell ref="Y46:AA46"/>
    <mergeCell ref="AB46:AC46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55" zoomScaleNormal="55" zoomScaleSheetLayoutView="55" workbookViewId="0">
      <selection activeCell="AN44" sqref="AN44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703" t="s">
        <v>1531</v>
      </c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4"/>
      <c r="Y4" s="704"/>
      <c r="Z4" s="704"/>
      <c r="AA4" s="704"/>
      <c r="AB4" s="704"/>
      <c r="AC4" s="705"/>
      <c r="AD4" s="217"/>
      <c r="AE4" s="216"/>
      <c r="AF4" s="216"/>
    </row>
    <row r="5" spans="2:32" ht="13.5" customHeight="1">
      <c r="B5" s="215"/>
      <c r="C5" s="215"/>
      <c r="D5" s="706"/>
      <c r="E5" s="707"/>
      <c r="F5" s="707"/>
      <c r="G5" s="707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8"/>
      <c r="AD5" s="217"/>
      <c r="AE5" s="216"/>
      <c r="AF5" s="216"/>
    </row>
    <row r="6" spans="2:32" ht="12.75" customHeight="1">
      <c r="B6" s="215"/>
      <c r="C6" s="215"/>
      <c r="D6" s="706"/>
      <c r="E6" s="707"/>
      <c r="F6" s="707"/>
      <c r="G6" s="707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8"/>
      <c r="AE6" s="216"/>
      <c r="AF6" s="216"/>
    </row>
    <row r="7" spans="2:32" ht="12.75" customHeight="1" thickBot="1">
      <c r="B7" s="215"/>
      <c r="C7" s="215"/>
      <c r="D7" s="709"/>
      <c r="E7" s="710"/>
      <c r="F7" s="710"/>
      <c r="G7" s="710"/>
      <c r="H7" s="710"/>
      <c r="I7" s="710"/>
      <c r="J7" s="710"/>
      <c r="K7" s="710"/>
      <c r="L7" s="710"/>
      <c r="M7" s="710"/>
      <c r="N7" s="710"/>
      <c r="O7" s="710"/>
      <c r="P7" s="710"/>
      <c r="Q7" s="710"/>
      <c r="R7" s="710"/>
      <c r="S7" s="710"/>
      <c r="T7" s="710"/>
      <c r="U7" s="710"/>
      <c r="V7" s="710"/>
      <c r="W7" s="710"/>
      <c r="X7" s="710"/>
      <c r="Y7" s="710"/>
      <c r="Z7" s="710"/>
      <c r="AA7" s="710"/>
      <c r="AB7" s="710"/>
      <c r="AC7" s="711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501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zoomScale="40" zoomScaleNormal="40" zoomScaleSheetLayoutView="40" workbookViewId="0">
      <selection activeCell="C6" sqref="C6:M7"/>
    </sheetView>
  </sheetViews>
  <sheetFormatPr defaultColWidth="9.140625" defaultRowHeight="12.75"/>
  <cols>
    <col min="1" max="1" width="1.7109375" style="428" customWidth="1"/>
    <col min="2" max="2" width="10.7109375" style="428" customWidth="1"/>
    <col min="3" max="3" width="2.5703125" style="428" customWidth="1"/>
    <col min="4" max="20" width="9.140625" style="428"/>
    <col min="21" max="21" width="14.5703125" style="428" customWidth="1"/>
    <col min="22" max="22" width="3.140625" style="428" customWidth="1"/>
    <col min="23" max="26" width="9.140625" style="428"/>
    <col min="27" max="27" width="2.85546875" style="428" customWidth="1"/>
    <col min="28" max="30" width="4.7109375" style="428" customWidth="1"/>
    <col min="31" max="31" width="1.7109375" style="428" customWidth="1"/>
    <col min="32" max="16384" width="9.140625" style="428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7" t="s">
        <v>1530</v>
      </c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182"/>
      <c r="X3" s="439"/>
      <c r="Y3" s="439"/>
      <c r="Z3" s="439"/>
      <c r="AA3" s="439"/>
      <c r="AB3" s="439"/>
      <c r="AC3" s="429"/>
    </row>
    <row r="4" spans="1:29" ht="18.75" customHeight="1">
      <c r="A4" s="181"/>
      <c r="C4" s="707"/>
      <c r="D4" s="707"/>
      <c r="E4" s="707"/>
      <c r="F4" s="707"/>
      <c r="G4" s="707"/>
      <c r="H4" s="707"/>
      <c r="I4" s="707"/>
      <c r="J4" s="707"/>
      <c r="K4" s="707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182"/>
      <c r="X4" s="439"/>
      <c r="Y4" s="439"/>
      <c r="Z4" s="439"/>
      <c r="AA4" s="439"/>
      <c r="AB4" s="439"/>
      <c r="AC4" s="429"/>
    </row>
    <row r="5" spans="1:29" ht="12.75" customHeight="1">
      <c r="A5" s="181"/>
      <c r="C5" s="430"/>
      <c r="W5" s="182"/>
    </row>
    <row r="6" spans="1:29" ht="12.75" customHeight="1">
      <c r="A6" s="181"/>
      <c r="C6" s="712" t="str">
        <f>GAMBAR!E7</f>
        <v>KOORDINAT : -6.861254, 110.776325</v>
      </c>
      <c r="D6" s="712"/>
      <c r="E6" s="712"/>
      <c r="F6" s="712"/>
      <c r="G6" s="712"/>
      <c r="H6" s="712"/>
      <c r="I6" s="712"/>
      <c r="J6" s="712"/>
      <c r="K6" s="712"/>
      <c r="L6" s="712"/>
      <c r="M6" s="712"/>
      <c r="W6" s="182"/>
      <c r="Y6" s="431"/>
      <c r="Z6" s="431"/>
      <c r="AA6" s="431"/>
      <c r="AB6" s="432"/>
      <c r="AC6" s="432"/>
    </row>
    <row r="7" spans="1:29" ht="18" customHeight="1">
      <c r="A7" s="181"/>
      <c r="C7" s="712"/>
      <c r="D7" s="712"/>
      <c r="E7" s="712"/>
      <c r="F7" s="712"/>
      <c r="G7" s="712"/>
      <c r="H7" s="712"/>
      <c r="I7" s="712"/>
      <c r="J7" s="712"/>
      <c r="K7" s="712"/>
      <c r="L7" s="712"/>
      <c r="M7" s="712"/>
      <c r="W7" s="182"/>
      <c r="Y7" s="431"/>
      <c r="Z7" s="431"/>
      <c r="AA7" s="431"/>
      <c r="AB7" s="432"/>
      <c r="AC7" s="432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33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34"/>
      <c r="S54" s="434"/>
      <c r="T54" s="434"/>
      <c r="U54" s="435"/>
      <c r="V54" s="435"/>
      <c r="W54" s="183"/>
      <c r="X54" s="435"/>
      <c r="Y54" s="435"/>
      <c r="Z54" s="435"/>
      <c r="AA54" s="435"/>
      <c r="AB54" s="435"/>
      <c r="AC54" s="435"/>
      <c r="AD54" s="435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40"/>
      <c r="S55" s="441"/>
      <c r="T55" s="441"/>
      <c r="U55" s="186"/>
      <c r="V55" s="187"/>
      <c r="W55" s="188"/>
      <c r="X55" s="435"/>
      <c r="Y55" s="435"/>
      <c r="Z55" s="435"/>
      <c r="AA55" s="436"/>
      <c r="AB55" s="436"/>
      <c r="AC55" s="436"/>
      <c r="AD55" s="436"/>
    </row>
    <row r="56" spans="1:30">
      <c r="U56" s="435"/>
      <c r="V56" s="436"/>
      <c r="W56" s="435"/>
      <c r="X56" s="435"/>
      <c r="Y56" s="435"/>
      <c r="Z56" s="435"/>
      <c r="AA56" s="436"/>
      <c r="AB56" s="435"/>
      <c r="AC56" s="435"/>
      <c r="AD56" s="435"/>
    </row>
    <row r="57" spans="1:30">
      <c r="U57" s="435"/>
      <c r="V57" s="436"/>
      <c r="W57" s="435"/>
      <c r="X57" s="435"/>
      <c r="Y57" s="435"/>
      <c r="Z57" s="435"/>
      <c r="AA57" s="435"/>
      <c r="AB57" s="435"/>
      <c r="AC57" s="435"/>
      <c r="AD57" s="435"/>
    </row>
    <row r="58" spans="1:30">
      <c r="U58" s="435"/>
      <c r="V58" s="436"/>
      <c r="W58" s="435"/>
      <c r="X58" s="435"/>
      <c r="Y58" s="435"/>
      <c r="Z58" s="435"/>
      <c r="AA58" s="435"/>
      <c r="AB58" s="435"/>
      <c r="AC58" s="435"/>
      <c r="AD58" s="435"/>
    </row>
    <row r="59" spans="1:30">
      <c r="U59" s="435"/>
      <c r="V59" s="436"/>
      <c r="W59" s="435"/>
      <c r="X59" s="435"/>
      <c r="Y59" s="435"/>
      <c r="Z59" s="435"/>
      <c r="AA59" s="435"/>
      <c r="AB59" s="435"/>
      <c r="AC59" s="435"/>
      <c r="AD59" s="435"/>
    </row>
    <row r="60" spans="1:30">
      <c r="U60" s="435"/>
      <c r="V60" s="436"/>
      <c r="W60" s="435"/>
      <c r="X60" s="435"/>
      <c r="Y60" s="435"/>
      <c r="Z60" s="435"/>
      <c r="AA60" s="436"/>
      <c r="AB60" s="435"/>
      <c r="AC60" s="435"/>
      <c r="AD60" s="435"/>
    </row>
    <row r="61" spans="1:30">
      <c r="U61" s="435"/>
      <c r="V61" s="436"/>
      <c r="W61" s="435"/>
      <c r="X61" s="435"/>
      <c r="Y61" s="435"/>
      <c r="Z61" s="435"/>
      <c r="AA61" s="435"/>
      <c r="AB61" s="435"/>
      <c r="AC61" s="435"/>
      <c r="AD61" s="435"/>
    </row>
    <row r="62" spans="1:30">
      <c r="U62" s="435"/>
      <c r="V62" s="436"/>
      <c r="W62" s="435"/>
      <c r="X62" s="435"/>
      <c r="Y62" s="435"/>
      <c r="Z62" s="435"/>
      <c r="AA62" s="435"/>
      <c r="AB62" s="435"/>
      <c r="AC62" s="435"/>
      <c r="AD62" s="435"/>
    </row>
    <row r="63" spans="1:30">
      <c r="U63" s="435"/>
      <c r="V63" s="436"/>
      <c r="W63" s="435"/>
      <c r="X63" s="435"/>
      <c r="Y63" s="435"/>
      <c r="Z63" s="435"/>
      <c r="AA63" s="435"/>
      <c r="AB63" s="435"/>
      <c r="AC63" s="435"/>
      <c r="AD63" s="435"/>
    </row>
    <row r="64" spans="1:30">
      <c r="U64" s="435"/>
      <c r="V64" s="436"/>
      <c r="W64" s="435"/>
      <c r="X64" s="435"/>
      <c r="Y64" s="435"/>
      <c r="Z64" s="435"/>
      <c r="AA64" s="435"/>
      <c r="AB64" s="435"/>
      <c r="AC64" s="435"/>
      <c r="AD64" s="435"/>
    </row>
    <row r="65" spans="5:30">
      <c r="U65" s="435"/>
      <c r="V65" s="436"/>
      <c r="W65" s="435"/>
      <c r="X65" s="435"/>
      <c r="Y65" s="435"/>
      <c r="Z65" s="435"/>
      <c r="AA65" s="435"/>
      <c r="AB65" s="435"/>
      <c r="AC65" s="435"/>
      <c r="AD65" s="435"/>
    </row>
    <row r="66" spans="5:30" ht="6" customHeight="1"/>
    <row r="73" spans="5:30">
      <c r="M73" s="437"/>
    </row>
    <row r="74" spans="5:30" ht="15" customHeight="1">
      <c r="E74" s="438"/>
      <c r="M74" s="437"/>
    </row>
    <row r="75" spans="5:30" ht="15" customHeight="1">
      <c r="E75" s="438"/>
      <c r="M75" s="437"/>
    </row>
    <row r="76" spans="5:30" ht="15" customHeight="1">
      <c r="E76" s="438"/>
      <c r="M76" s="437"/>
    </row>
    <row r="77" spans="5:30" ht="15" customHeight="1">
      <c r="E77" s="438"/>
      <c r="M77" s="437"/>
    </row>
    <row r="78" spans="5:30" ht="15" customHeight="1">
      <c r="E78" s="438"/>
      <c r="M78" s="437"/>
    </row>
    <row r="79" spans="5:30" ht="15" customHeight="1">
      <c r="E79" s="438"/>
      <c r="M79" s="437"/>
    </row>
    <row r="80" spans="5:30" ht="15" customHeight="1">
      <c r="E80" s="438"/>
      <c r="M80" s="437"/>
    </row>
    <row r="81" spans="5:13" ht="15" customHeight="1">
      <c r="E81" s="438"/>
      <c r="M81" s="437"/>
    </row>
    <row r="82" spans="5:13" ht="15" customHeight="1">
      <c r="E82" s="438"/>
      <c r="M82" s="437"/>
    </row>
    <row r="83" spans="5:13" ht="15" customHeight="1">
      <c r="E83" s="438"/>
      <c r="M83" s="437"/>
    </row>
    <row r="84" spans="5:13" ht="15" customHeight="1">
      <c r="E84" s="438"/>
      <c r="M84" s="437"/>
    </row>
    <row r="85" spans="5:13" ht="15" customHeight="1">
      <c r="E85" s="438"/>
      <c r="M85" s="437"/>
    </row>
    <row r="86" spans="5:13" ht="15" customHeight="1">
      <c r="E86" s="438"/>
      <c r="M86" s="437"/>
    </row>
    <row r="87" spans="5:13" ht="15" customHeight="1">
      <c r="E87" s="438"/>
      <c r="M87" s="437"/>
    </row>
    <row r="88" spans="5:13" ht="15" customHeight="1">
      <c r="E88" s="438"/>
      <c r="M88" s="437"/>
    </row>
    <row r="89" spans="5:13" ht="15" customHeight="1">
      <c r="E89" s="438"/>
      <c r="M89" s="437"/>
    </row>
    <row r="90" spans="5:13" ht="15" customHeight="1">
      <c r="E90" s="438"/>
      <c r="M90" s="437"/>
    </row>
    <row r="91" spans="5:13" ht="15" customHeight="1">
      <c r="E91" s="438"/>
      <c r="M91" s="437"/>
    </row>
    <row r="92" spans="5:13" ht="15" customHeight="1">
      <c r="E92" s="438"/>
      <c r="M92" s="437"/>
    </row>
    <row r="93" spans="5:13" ht="15" customHeight="1">
      <c r="E93" s="438"/>
      <c r="M93" s="437"/>
    </row>
    <row r="94" spans="5:13" ht="15" customHeight="1">
      <c r="E94" s="438"/>
      <c r="M94" s="437"/>
    </row>
    <row r="95" spans="5:13" ht="15" customHeight="1">
      <c r="E95" s="438"/>
      <c r="M95" s="437"/>
    </row>
    <row r="96" spans="5:13" ht="15" customHeight="1">
      <c r="E96" s="438"/>
    </row>
    <row r="97" spans="5:5" ht="15" customHeight="1">
      <c r="E97" s="438"/>
    </row>
    <row r="98" spans="5:5" ht="15" customHeight="1">
      <c r="E98" s="438"/>
    </row>
    <row r="99" spans="5:5" ht="15" customHeight="1">
      <c r="E99" s="438"/>
    </row>
    <row r="100" spans="5:5" ht="15" customHeight="1">
      <c r="E100" s="438"/>
    </row>
    <row r="101" spans="5:5" ht="15" customHeight="1">
      <c r="E101" s="438"/>
    </row>
    <row r="102" spans="5:5" ht="15" customHeight="1">
      <c r="E102" s="438"/>
    </row>
    <row r="103" spans="5:5" ht="15" customHeight="1">
      <c r="E103" s="438"/>
    </row>
    <row r="104" spans="5:5" ht="15" customHeight="1">
      <c r="E104" s="438"/>
    </row>
    <row r="105" spans="5:5" ht="15" customHeight="1">
      <c r="E105" s="438"/>
    </row>
    <row r="106" spans="5:5" ht="15" customHeight="1">
      <c r="E106" s="438"/>
    </row>
    <row r="107" spans="5:5" ht="15" customHeight="1">
      <c r="E107" s="438"/>
    </row>
    <row r="108" spans="5:5" ht="15" customHeight="1">
      <c r="E108" s="438"/>
    </row>
    <row r="109" spans="5:5" ht="15" customHeight="1">
      <c r="E109" s="438"/>
    </row>
    <row r="110" spans="5:5" ht="15" customHeight="1">
      <c r="E110" s="438"/>
    </row>
    <row r="111" spans="5:5" ht="15" customHeight="1">
      <c r="E111" s="438"/>
    </row>
    <row r="112" spans="5:5" ht="15" customHeight="1">
      <c r="E112" s="438"/>
    </row>
    <row r="113" spans="5:5" ht="15" customHeight="1">
      <c r="E113" s="438"/>
    </row>
    <row r="114" spans="5:5" ht="15" customHeight="1">
      <c r="E114" s="438"/>
    </row>
    <row r="115" spans="5:5" ht="15" customHeight="1">
      <c r="E115" s="438"/>
    </row>
    <row r="116" spans="5:5" ht="15" customHeight="1">
      <c r="E116" s="438"/>
    </row>
    <row r="117" spans="5:5" ht="15" customHeight="1">
      <c r="E117" s="438"/>
    </row>
    <row r="118" spans="5:5" ht="15" customHeight="1">
      <c r="E118" s="438"/>
    </row>
    <row r="119" spans="5:5" ht="15" customHeight="1">
      <c r="E119" s="438"/>
    </row>
    <row r="120" spans="5:5">
      <c r="E120" s="438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60">
        <v>1</v>
      </c>
    </row>
    <row r="2" spans="1:11" ht="48" customHeight="1">
      <c r="A2" s="460">
        <v>3</v>
      </c>
    </row>
    <row r="4" spans="1:11" ht="48" customHeight="1">
      <c r="C4" s="460">
        <v>1</v>
      </c>
    </row>
    <row r="5" spans="1:11" ht="48" customHeight="1">
      <c r="C5" s="460">
        <v>3</v>
      </c>
    </row>
    <row r="7" spans="1:11" ht="48" customHeight="1">
      <c r="E7" s="460">
        <v>1</v>
      </c>
    </row>
    <row r="8" spans="1:11" ht="48" customHeight="1">
      <c r="E8" s="460">
        <v>3</v>
      </c>
    </row>
    <row r="10" spans="1:11" ht="48" customHeight="1">
      <c r="G10" s="460">
        <v>3</v>
      </c>
    </row>
    <row r="11" spans="1:11" ht="48" customHeight="1">
      <c r="G11" s="460">
        <v>1</v>
      </c>
    </row>
    <row r="13" spans="1:11" ht="48" customHeight="1">
      <c r="I13" s="460">
        <v>3</v>
      </c>
    </row>
    <row r="14" spans="1:11" ht="48" customHeight="1">
      <c r="I14" s="460">
        <v>1</v>
      </c>
    </row>
    <row r="16" spans="1:11" ht="48" customHeight="1">
      <c r="K16" s="460">
        <v>3</v>
      </c>
    </row>
    <row r="17" spans="11:21" ht="48" customHeight="1">
      <c r="K17" s="460">
        <v>1</v>
      </c>
    </row>
    <row r="19" spans="11:21" ht="48" customHeight="1">
      <c r="M19" s="460">
        <v>3</v>
      </c>
    </row>
    <row r="20" spans="11:21" ht="48" customHeight="1">
      <c r="M20" s="460">
        <v>1</v>
      </c>
    </row>
    <row r="22" spans="11:21" ht="48" customHeight="1">
      <c r="O22" s="460">
        <v>3</v>
      </c>
    </row>
    <row r="23" spans="11:21" ht="48" customHeight="1">
      <c r="O23" s="460">
        <v>1</v>
      </c>
    </row>
    <row r="25" spans="11:21" ht="57" customHeight="1">
      <c r="Q25" s="460">
        <v>3</v>
      </c>
    </row>
    <row r="26" spans="11:21" ht="57" customHeight="1">
      <c r="Q26" s="460">
        <v>1</v>
      </c>
    </row>
    <row r="28" spans="11:21" ht="57" customHeight="1">
      <c r="S28" s="460">
        <v>3</v>
      </c>
    </row>
    <row r="29" spans="11:21" ht="57" customHeight="1">
      <c r="S29" s="460">
        <v>1</v>
      </c>
    </row>
    <row r="31" spans="11:21" ht="57" customHeight="1">
      <c r="U31" s="460">
        <v>3</v>
      </c>
    </row>
    <row r="32" spans="11:21" ht="57" customHeight="1">
      <c r="U32" s="4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F26" sqref="F26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6" t="s">
        <v>1127</v>
      </c>
      <c r="C4" s="536"/>
      <c r="D4" s="536"/>
      <c r="E4" s="536"/>
      <c r="F4" s="536"/>
      <c r="G4" s="536"/>
      <c r="H4" s="536"/>
      <c r="I4" s="536"/>
      <c r="J4" s="536"/>
      <c r="K4" s="53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60" t="str">
        <f>RAB!G6</f>
        <v>PERCETAKAN HAMDAN</v>
      </c>
      <c r="H6" s="560"/>
      <c r="I6" s="560"/>
      <c r="J6" s="560"/>
      <c r="K6" s="56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CANKRING REMBANG, DEMAK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7" t="s">
        <v>0</v>
      </c>
      <c r="C11" s="539" t="s">
        <v>1</v>
      </c>
      <c r="D11" s="542" t="s">
        <v>42</v>
      </c>
      <c r="E11" s="542" t="s">
        <v>43</v>
      </c>
      <c r="F11" s="542" t="s">
        <v>2</v>
      </c>
      <c r="G11" s="544" t="s">
        <v>41</v>
      </c>
      <c r="H11" s="542" t="s">
        <v>3</v>
      </c>
      <c r="I11" s="542"/>
      <c r="J11" s="542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8"/>
      <c r="C12" s="540"/>
      <c r="D12" s="543"/>
      <c r="E12" s="543"/>
      <c r="F12" s="543"/>
      <c r="G12" s="545"/>
      <c r="H12" s="551" t="s">
        <v>46</v>
      </c>
      <c r="I12" s="551" t="s">
        <v>5</v>
      </c>
      <c r="J12" s="543" t="s">
        <v>47</v>
      </c>
      <c r="K12" s="55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8"/>
      <c r="C13" s="541"/>
      <c r="D13" s="543"/>
      <c r="E13" s="543"/>
      <c r="F13" s="543"/>
      <c r="G13" s="546"/>
      <c r="H13" s="552"/>
      <c r="I13" s="552"/>
      <c r="J13" s="543"/>
      <c r="K13" s="55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SATUAN'!$C$7:$C$1492,0),0)),"",OFFSET('HARGA SATUAN'!$D$6,MATCH(C16,'HARGA SATUAN'!$C$7:$C$1492,0),0))</f>
        <v>HDW</v>
      </c>
      <c r="E16" s="101" t="str">
        <f ca="1">IF(B16="+","Unit",IF(ISERROR(OFFSET('HARGA SATUAN'!$E$6,MATCH(C16,'HARGA SATUAN'!$C$7:$C$1492,0),0)),"",OFFSET('HARGA SATUAN'!$E$6,MATCH(C16,'HARGA SATUAN'!$C$7:$C$1492,0),0)))</f>
        <v>Btg</v>
      </c>
      <c r="F16" s="101">
        <f t="shared" ref="F16:F36" ca="1" si="5">IF(ISERROR(OFFSET($D$56,MATCH(A16,$F$57:$F$76,0),0)),"",OFFSET($D$56,MATCH(A16,$F$57:$F$76,0),0))</f>
        <v>3</v>
      </c>
      <c r="G16" s="41">
        <f ca="1">IF(ISERROR(OFFSET('HARGA SATUAN'!$I$6,MATCH(C16,'HARGA SATUAN'!$C$7:$C$1492,0),0)),"",OFFSET('HARGA SATUAN'!$I$6,MATCH(C16,'HARGA SATUAN'!$C$7:$C$1492,0),0))</f>
        <v>3382600</v>
      </c>
      <c r="H16" s="42">
        <f t="shared" ca="1" si="1"/>
        <v>0</v>
      </c>
      <c r="I16" s="42">
        <f t="shared" ca="1" si="2"/>
        <v>10147800</v>
      </c>
      <c r="J16" s="42">
        <f t="shared" ca="1" si="3"/>
        <v>0</v>
      </c>
      <c r="K16" s="43">
        <f t="shared" ca="1" si="0"/>
        <v>10147800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23" ca="1" si="6">IF(C17="","",A17)</f>
        <v>2</v>
      </c>
      <c r="C17" s="109" t="str">
        <f t="shared" ca="1" si="4"/>
        <v>Tiang Beton 12M-200 daN+E</v>
      </c>
      <c r="D17" s="101" t="str">
        <f ca="1">IF(ISERROR(OFFSET('HARGA SATUAN'!$D$6,MATCH(C17,'HARGA SATUAN'!$C$7:$C$1492,0),0)),"",OFFSET('HARGA SATUAN'!$D$6,MATCH(C17,'HARGA SATUAN'!$C$7:$C$1492,0),0))</f>
        <v>HDW</v>
      </c>
      <c r="E17" s="101" t="str">
        <f ca="1">IF(B17="+","Unit",IF(ISERROR(OFFSET('HARGA SATUAN'!$E$6,MATCH(C17,'HARGA SATUAN'!$C$7:$C$1492,0),0)),"",OFFSET('HARGA SATUAN'!$E$6,MATCH(C17,'HARGA SATUAN'!$C$7:$C$1492,0),0)))</f>
        <v>Btg</v>
      </c>
      <c r="F17" s="101">
        <f t="shared" ca="1" si="5"/>
        <v>2</v>
      </c>
      <c r="G17" s="41">
        <f ca="1">IF(ISERROR(OFFSET('HARGA SATUAN'!$I$6,MATCH(C17,'HARGA SATUAN'!$C$7:$C$1492,0),0)),"",OFFSET('HARGA SATUAN'!$I$6,MATCH(C17,'HARGA SATUAN'!$C$7:$C$1492,0),0))</f>
        <v>5800000</v>
      </c>
      <c r="H17" s="42">
        <f t="shared" ca="1" si="1"/>
        <v>0</v>
      </c>
      <c r="I17" s="42">
        <f t="shared" ca="1" si="2"/>
        <v>11600000</v>
      </c>
      <c r="J17" s="42">
        <f t="shared" ca="1" si="3"/>
        <v>0</v>
      </c>
      <c r="K17" s="43">
        <f t="shared" ca="1" si="0"/>
        <v>11600000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61" t="s">
        <v>1008</v>
      </c>
      <c r="D38" s="561"/>
      <c r="E38" s="561"/>
      <c r="F38" s="561"/>
      <c r="G38" s="77" t="s">
        <v>9</v>
      </c>
      <c r="H38" s="55">
        <f ca="1">SUM(H14:H37)</f>
        <v>0</v>
      </c>
      <c r="I38" s="55">
        <f ca="1">SUM(I14:I37)</f>
        <v>21747800</v>
      </c>
      <c r="J38" s="55">
        <f ca="1">SUM(J14:J37)</f>
        <v>0</v>
      </c>
      <c r="K38" s="55">
        <f ca="1">SUM(K14:K37)</f>
        <v>21747800</v>
      </c>
      <c r="L38" s="44"/>
      <c r="R38" s="99"/>
      <c r="S38" s="99"/>
      <c r="T38" s="99"/>
    </row>
    <row r="39" spans="1:20" s="36" customFormat="1">
      <c r="A39" s="30"/>
      <c r="B39" s="56"/>
      <c r="C39" s="562" t="s">
        <v>462</v>
      </c>
      <c r="D39" s="562"/>
      <c r="E39" s="562"/>
      <c r="F39" s="562"/>
      <c r="G39" s="59" t="s">
        <v>9</v>
      </c>
      <c r="H39" s="60">
        <f ca="1">H38*0.1</f>
        <v>0</v>
      </c>
      <c r="I39" s="60">
        <f ca="1">I38*0.1</f>
        <v>2174780</v>
      </c>
      <c r="J39" s="60">
        <f ca="1">J38*0.1</f>
        <v>0</v>
      </c>
      <c r="K39" s="60">
        <f ca="1">K38*0.1</f>
        <v>2174780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53" t="s">
        <v>463</v>
      </c>
      <c r="D40" s="553"/>
      <c r="E40" s="553"/>
      <c r="F40" s="553"/>
      <c r="G40" s="61" t="s">
        <v>9</v>
      </c>
      <c r="H40" s="78">
        <f ca="1">SUM(H38:H39)</f>
        <v>0</v>
      </c>
      <c r="I40" s="78">
        <f ca="1">SUM(I38:I39)</f>
        <v>23922580</v>
      </c>
      <c r="J40" s="61">
        <f ca="1">SUM(J38:J39)</f>
        <v>0</v>
      </c>
      <c r="K40" s="61">
        <f ca="1">SUM(K38:K39)</f>
        <v>23922580</v>
      </c>
      <c r="L40" s="44"/>
      <c r="R40" s="99"/>
      <c r="S40" s="99"/>
      <c r="T40" s="99"/>
    </row>
    <row r="41" spans="1:20" s="36" customFormat="1">
      <c r="A41" s="30"/>
      <c r="B41" s="554" t="e">
        <f ca="1">"Terbilang : ( "&amp;L42&amp;" Rupiah )"</f>
        <v>#NAME?</v>
      </c>
      <c r="C41" s="555"/>
      <c r="D41" s="555"/>
      <c r="E41" s="555"/>
      <c r="F41" s="555"/>
      <c r="G41" s="555"/>
      <c r="H41" s="555"/>
      <c r="I41" s="555"/>
      <c r="J41" s="555"/>
      <c r="K41" s="556"/>
      <c r="L41" s="44"/>
      <c r="R41" s="58"/>
      <c r="S41" s="58"/>
      <c r="T41" s="58"/>
    </row>
    <row r="42" spans="1:20" s="36" customFormat="1">
      <c r="A42" s="30"/>
      <c r="B42" s="557"/>
      <c r="C42" s="558"/>
      <c r="D42" s="558"/>
      <c r="E42" s="558"/>
      <c r="F42" s="558"/>
      <c r="G42" s="558"/>
      <c r="H42" s="558"/>
      <c r="I42" s="558"/>
      <c r="J42" s="558"/>
      <c r="K42" s="559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8"/>
      <c r="I45" s="548"/>
      <c r="J45" s="549"/>
      <c r="K45" s="549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8"/>
      <c r="I46" s="548"/>
      <c r="J46" s="549"/>
      <c r="K46" s="549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8"/>
      <c r="I47" s="548"/>
      <c r="J47" s="549"/>
      <c r="K47" s="549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8"/>
      <c r="I52" s="548"/>
      <c r="J52" s="549"/>
      <c r="K52" s="549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SUMIFS(RAB!$F$14:$F$119,RAB!$C$14:$C$119,'REKAP TIANG'!C57)</f>
        <v>3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SUMIFS(RAB!$F$14:$F$119,RAB!$C$14:$C$119,'REKAP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SUMIFS(RAB!$F$14:$F$119,RAB!$C$14:$C$119,'REKAP TIANG'!C59)</f>
        <v>2</v>
      </c>
      <c r="E59" s="24">
        <f t="shared" ca="1" si="12"/>
        <v>1</v>
      </c>
      <c r="F59" s="24">
        <f ca="1">IF(D59=0,0,SUM($E$56:E59))</f>
        <v>2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SUMIFS(RAB!$F$14:$F$119,RAB!$C$14:$C$119,'REKAP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SUMIFS(RAB!$F$14:$F$119,RAB!$C$14:$C$119,'REKAP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SUMIFS(RAB!$F$14:$F$119,RAB!$C$14:$C$119,'REKAP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SUMIFS(RAB!$F$14:$F$119,RAB!$C$14:$C$119,'REKAP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SUMIFS(RAB!$F$14:$F$119,RAB!$C$14:$C$119,'REKAP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SUMIFS(RAB!$F$14:$F$119,RAB!$C$14:$C$119,'REKAP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SUMIFS(RAB!$F$14:$F$119,RAB!$C$14:$C$119,'REKAP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SUMIFS(RAB!$F$14:$F$119,RAB!$C$14:$C$119,'REKAP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SUMIFS(RAB!$F$14:$F$119,RAB!$C$14:$C$119,'REKAP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SUMIFS(RAB!$F$14:$F$119,RAB!$C$14:$C$119,'REKAP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SUMIFS(RAB!$F$14:$F$119,RAB!$C$14:$C$119,'REKAP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SUMIFS(RAB!$F$14:$F$119,RAB!$C$14:$C$119,'REKAP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SUMIFS(RAB!$F$14:$F$119,RAB!$C$14:$C$119,'REKAP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SUMIFS(RAB!$F$14:$F$119,RAB!$C$14:$C$119,'REKAP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SUMIFS(RAB!$F$14:$F$119,RAB!$C$14:$C$119,'REKAP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SUMIFS(RAB!$F$14:$F$119,RAB!$C$14:$C$119,'REKAP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SUMIFS(RAB!$F$14:$F$119,RAB!$C$14:$C$119,'REKAP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7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6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6" t="s">
        <v>1034</v>
      </c>
      <c r="C4" s="536"/>
      <c r="D4" s="536"/>
      <c r="E4" s="536"/>
      <c r="F4" s="536"/>
      <c r="G4" s="536"/>
      <c r="H4" s="536"/>
      <c r="I4" s="536"/>
      <c r="J4" s="536"/>
      <c r="K4" s="536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60" t="str">
        <f>RAB!G6</f>
        <v>PERCETAKAN HAMDAN</v>
      </c>
      <c r="H6" s="560"/>
      <c r="I6" s="560"/>
      <c r="J6" s="560"/>
      <c r="K6" s="560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CANKRING REMBANG, DEMAK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7" t="s">
        <v>0</v>
      </c>
      <c r="C11" s="539" t="s">
        <v>1</v>
      </c>
      <c r="D11" s="542" t="s">
        <v>42</v>
      </c>
      <c r="E11" s="542" t="s">
        <v>43</v>
      </c>
      <c r="F11" s="542" t="s">
        <v>2</v>
      </c>
      <c r="G11" s="544" t="s">
        <v>41</v>
      </c>
      <c r="H11" s="542" t="s">
        <v>3</v>
      </c>
      <c r="I11" s="542"/>
      <c r="J11" s="542"/>
      <c r="K11" s="547"/>
      <c r="M11" s="33"/>
      <c r="N11" s="33"/>
      <c r="O11" s="33"/>
      <c r="P11" s="33"/>
      <c r="R11" s="34"/>
      <c r="S11" s="74"/>
      <c r="T11" s="74"/>
    </row>
    <row r="12" spans="1:21" ht="15" customHeight="1">
      <c r="B12" s="538"/>
      <c r="C12" s="540"/>
      <c r="D12" s="543"/>
      <c r="E12" s="543"/>
      <c r="F12" s="543"/>
      <c r="G12" s="545"/>
      <c r="H12" s="551" t="s">
        <v>46</v>
      </c>
      <c r="I12" s="551" t="s">
        <v>5</v>
      </c>
      <c r="J12" s="543" t="s">
        <v>47</v>
      </c>
      <c r="K12" s="55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8"/>
      <c r="C13" s="541"/>
      <c r="D13" s="543"/>
      <c r="E13" s="543"/>
      <c r="F13" s="543"/>
      <c r="G13" s="546"/>
      <c r="H13" s="552"/>
      <c r="I13" s="552"/>
      <c r="J13" s="543"/>
      <c r="K13" s="55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Smart Box Langsung Daya 13.2 kVA MCCB 20 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Unit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3564900</v>
      </c>
      <c r="H16" s="42">
        <f t="shared" ca="1" si="1"/>
        <v>3564900</v>
      </c>
      <c r="I16" s="42">
        <f t="shared" ca="1" si="2"/>
        <v>0</v>
      </c>
      <c r="J16" s="42">
        <f t="shared" ca="1" si="3"/>
        <v>0</v>
      </c>
      <c r="K16" s="43">
        <f t="shared" ca="1" si="0"/>
        <v>3564900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Trafo 3 phasa 50 kVA YNyn0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42757200</v>
      </c>
      <c r="H17" s="42">
        <f t="shared" ca="1" si="1"/>
        <v>42757200</v>
      </c>
      <c r="I17" s="42">
        <f t="shared" ca="1" si="2"/>
        <v>0</v>
      </c>
      <c r="J17" s="42">
        <f t="shared" ca="1" si="3"/>
        <v>0</v>
      </c>
      <c r="K17" s="43">
        <f t="shared" ca="1" si="0"/>
        <v>42757200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FCO Polymer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3</v>
      </c>
      <c r="G18" s="41">
        <f ca="1">IF(ISERROR(OFFSET('HARGA SATUAN'!$I$6,MATCH(C18,'HARGA SATUAN'!$C$7:$C$1492,0),0)),"",OFFSET('HARGA SATUAN'!$I$6,MATCH(C18,'HARGA SATUAN'!$C$7:$C$1492,0),0))</f>
        <v>848250</v>
      </c>
      <c r="H18" s="42">
        <f t="shared" ca="1" si="1"/>
        <v>2544750</v>
      </c>
      <c r="I18" s="42">
        <f t="shared" ca="1" si="2"/>
        <v>0</v>
      </c>
      <c r="J18" s="42">
        <f t="shared" ca="1" si="3"/>
        <v>0</v>
      </c>
      <c r="K18" s="43">
        <f t="shared" ca="1" si="0"/>
        <v>2544750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Lightning Arester (Polymer) 21 KV, 10 KA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01">
        <f t="shared" ca="1" si="6"/>
        <v>3</v>
      </c>
      <c r="G19" s="41">
        <f ca="1">IF(ISERROR(OFFSET('HARGA SATUAN'!$I$6,MATCH(C19,'HARGA SATUAN'!$C$7:$C$1492,0),0)),"",OFFSET('HARGA SATUAN'!$I$6,MATCH(C19,'HARGA SATUAN'!$C$7:$C$1492,0),0))</f>
        <v>725900</v>
      </c>
      <c r="H19" s="42">
        <f t="shared" ca="1" si="1"/>
        <v>2177700</v>
      </c>
      <c r="I19" s="42">
        <f t="shared" ca="1" si="2"/>
        <v>0</v>
      </c>
      <c r="J19" s="42">
        <f t="shared" ca="1" si="3"/>
        <v>0</v>
      </c>
      <c r="K19" s="43">
        <f t="shared" ca="1" si="0"/>
        <v>2177700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AAAC 70 mm²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Mtr</v>
      </c>
      <c r="F20" s="101">
        <f t="shared" ca="1" si="6"/>
        <v>9</v>
      </c>
      <c r="G20" s="41">
        <f ca="1">IF(ISERROR(OFFSET('HARGA SATUAN'!$I$6,MATCH(C20,'HARGA SATUAN'!$C$7:$C$1492,0),0)),"",OFFSET('HARGA SATUAN'!$I$6,MATCH(C20,'HARGA SATUAN'!$C$7:$C$1492,0),0))</f>
        <v>14200</v>
      </c>
      <c r="H20" s="42">
        <f t="shared" ca="1" si="1"/>
        <v>127800</v>
      </c>
      <c r="I20" s="42">
        <f t="shared" ca="1" si="2"/>
        <v>0</v>
      </c>
      <c r="J20" s="42">
        <f t="shared" ca="1" si="3"/>
        <v>0</v>
      </c>
      <c r="K20" s="43">
        <f t="shared" ca="1" si="0"/>
        <v>127800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NFA2X-T 3x70+1x70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210</v>
      </c>
      <c r="G21" s="41">
        <f ca="1">IF(ISERROR(OFFSET('HARGA SATUAN'!$I$6,MATCH(C21,'HARGA SATUAN'!$C$7:$C$1492,0),0)),"",OFFSET('HARGA SATUAN'!$I$6,MATCH(C21,'HARGA SATUAN'!$C$7:$C$1492,0),0))</f>
        <v>54500</v>
      </c>
      <c r="H21" s="42">
        <f t="shared" ca="1" si="1"/>
        <v>11445000</v>
      </c>
      <c r="I21" s="42">
        <f t="shared" ca="1" si="2"/>
        <v>0</v>
      </c>
      <c r="J21" s="42">
        <f t="shared" ca="1" si="3"/>
        <v>0</v>
      </c>
      <c r="K21" s="43">
        <f t="shared" ca="1" si="0"/>
        <v>11445000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 4 x 16 mm²</v>
      </c>
      <c r="D22" s="101" t="str">
        <f ca="1">IF(ISERROR(OFFSET('HARGA SATUAN'!$D$6,MATCH(C22,'HARGA SATUAN'!$C$7:$C$1492,0),0)),"",OFFSET('HARGA SATUAN'!$D$6,MATCH(C22,'HARGA SATUAN'!$C$7:$C$1492,0),0))</f>
        <v>MDU-KD</v>
      </c>
      <c r="E22" s="101" t="str">
        <f ca="1">IF(B22="+","Unit",IF(ISERROR(OFFSET('HARGA SATUAN'!$E$6,MATCH(C22,'HARGA SATUAN'!$C$7:$C$1492,0),0)),"",OFFSET('HARGA SATUAN'!$E$6,MATCH(C22,'HARGA SATUAN'!$C$7:$C$1492,0),0)))</f>
        <v>Mtr</v>
      </c>
      <c r="F22" s="101">
        <f t="shared" ca="1" si="6"/>
        <v>35</v>
      </c>
      <c r="G22" s="41">
        <f ca="1">IF(ISERROR(OFFSET('HARGA SATUAN'!$I$6,MATCH(C22,'HARGA SATUAN'!$C$7:$C$1492,0),0)),"",OFFSET('HARGA SATUAN'!$I$6,MATCH(C22,'HARGA SATUAN'!$C$7:$C$1492,0),0))</f>
        <v>13500</v>
      </c>
      <c r="H22" s="42">
        <f t="shared" ca="1" si="1"/>
        <v>472500</v>
      </c>
      <c r="I22" s="42">
        <f t="shared" ca="1" si="2"/>
        <v>0</v>
      </c>
      <c r="J22" s="42">
        <f t="shared" ca="1" si="3"/>
        <v>0</v>
      </c>
      <c r="K22" s="43">
        <f t="shared" ca="1" si="0"/>
        <v>472500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61" t="s">
        <v>1008</v>
      </c>
      <c r="D168" s="561"/>
      <c r="E168" s="561"/>
      <c r="F168" s="561"/>
      <c r="G168" s="77" t="s">
        <v>9</v>
      </c>
      <c r="H168" s="55">
        <f ca="1">SUM(H14:H167)</f>
        <v>63089850</v>
      </c>
      <c r="I168" s="55">
        <f ca="1">SUM(I14:I167)</f>
        <v>0</v>
      </c>
      <c r="J168" s="55">
        <f ca="1">SUM(J14:J167)</f>
        <v>0</v>
      </c>
      <c r="K168" s="55">
        <f ca="1">SUM(K14:K167)</f>
        <v>63089850</v>
      </c>
      <c r="L168" s="44"/>
      <c r="R168" s="99"/>
      <c r="S168" s="99"/>
      <c r="T168" s="99"/>
    </row>
    <row r="169" spans="1:20" s="36" customFormat="1">
      <c r="A169" s="30"/>
      <c r="B169" s="56"/>
      <c r="C169" s="562" t="s">
        <v>462</v>
      </c>
      <c r="D169" s="562"/>
      <c r="E169" s="562"/>
      <c r="F169" s="562"/>
      <c r="G169" s="59" t="s">
        <v>9</v>
      </c>
      <c r="H169" s="60">
        <f ca="1">H168*0.1</f>
        <v>6308985</v>
      </c>
      <c r="I169" s="60">
        <f ca="1">I168*0.1</f>
        <v>0</v>
      </c>
      <c r="J169" s="60">
        <f ca="1">J168*0.1</f>
        <v>0</v>
      </c>
      <c r="K169" s="60">
        <f ca="1">K168*0.1</f>
        <v>6308985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53" t="s">
        <v>463</v>
      </c>
      <c r="D170" s="553"/>
      <c r="E170" s="553"/>
      <c r="F170" s="553"/>
      <c r="G170" s="61" t="s">
        <v>9</v>
      </c>
      <c r="H170" s="78">
        <f ca="1">SUM(H168:H169)</f>
        <v>69398835</v>
      </c>
      <c r="I170" s="78">
        <f ca="1">SUM(I168:I169)</f>
        <v>0</v>
      </c>
      <c r="J170" s="61">
        <f ca="1">SUM(J168:J169)</f>
        <v>0</v>
      </c>
      <c r="K170" s="61">
        <f ca="1">SUM(K168:K169)</f>
        <v>69398835</v>
      </c>
      <c r="L170" s="44"/>
      <c r="R170" s="99"/>
      <c r="S170" s="99"/>
      <c r="T170" s="99"/>
    </row>
    <row r="171" spans="1:20" s="36" customFormat="1">
      <c r="A171" s="30"/>
      <c r="B171" s="554" t="e">
        <f ca="1">"Terbilang : ( "&amp;L172&amp;" Rupiah )"</f>
        <v>#NAME?</v>
      </c>
      <c r="C171" s="555"/>
      <c r="D171" s="555"/>
      <c r="E171" s="555"/>
      <c r="F171" s="555"/>
      <c r="G171" s="555"/>
      <c r="H171" s="555"/>
      <c r="I171" s="555"/>
      <c r="J171" s="555"/>
      <c r="K171" s="556"/>
      <c r="L171" s="44"/>
      <c r="R171" s="58"/>
      <c r="S171" s="58"/>
      <c r="T171" s="58"/>
    </row>
    <row r="172" spans="1:20" s="36" customFormat="1">
      <c r="A172" s="30"/>
      <c r="B172" s="557"/>
      <c r="C172" s="558"/>
      <c r="D172" s="558"/>
      <c r="E172" s="558"/>
      <c r="F172" s="558"/>
      <c r="G172" s="558"/>
      <c r="H172" s="558"/>
      <c r="I172" s="558"/>
      <c r="J172" s="558"/>
      <c r="K172" s="559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8"/>
      <c r="I175" s="548"/>
      <c r="J175" s="549"/>
      <c r="K175" s="549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8"/>
      <c r="I176" s="548"/>
      <c r="J176" s="549"/>
      <c r="K176" s="549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8"/>
      <c r="I177" s="548"/>
      <c r="J177" s="549"/>
      <c r="K177" s="549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8"/>
      <c r="I182" s="548"/>
      <c r="J182" s="549"/>
      <c r="K182" s="549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SUMIFS(RAB!$F$14:$F$119,RAB!$C$14:$C$119,C224)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SUMIFS(RAB!$F$14:$F$119,RAB!$C$14:$C$119,C225)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SUMIFS(RAB!$F$14:$F$119,RAB!$C$14:$C$119,C226)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SUMIFS(RAB!$F$14:$F$119,RAB!$C$14:$C$119,C227)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SUMIFS(RAB!$F$14:$F$119,RAB!$C$14:$C$119,C228)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SUMIFS(RAB!$F$14:$F$119,RAB!$C$14:$C$119,C229)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SUMIFS(RAB!$F$14:$F$119,RAB!$C$14:$C$119,C230)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SUMIFS(RAB!$F$14:$F$119,RAB!$C$14:$C$119,C231)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SUMIFS(RAB!$F$14:$F$119,RAB!$C$14:$C$119,C232)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SUMIFS(RAB!$F$14:$F$119,RAB!$C$14:$C$119,C233)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SUMIFS(RAB!$F$14:$F$119,RAB!$C$14:$C$119,C234)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SUMIFS(RAB!$F$14:$F$119,RAB!$C$14:$C$119,C235)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SUMIFS(RAB!$F$14:$F$119,RAB!$C$14:$C$119,C236)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SUMIFS(RAB!$F$14:$F$119,RAB!$C$14:$C$119,C237)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SUMIFS(RAB!$F$14:$F$119,RAB!$C$14:$C$119,C238)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SUMIFS(RAB!$F$14:$F$119,RAB!$C$14:$C$119,C239)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SUMIFS(RAB!$F$14:$F$119,RAB!$C$14:$C$119,C240)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SUMIFS(RAB!$F$14:$F$119,RAB!$C$14:$C$119,C241)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SUMIFS(RAB!$F$14:$F$119,RAB!$C$14:$C$119,C242)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SUMIFS(RAB!$F$14:$F$119,RAB!$C$14:$C$119,C243)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SUMIFS(RAB!$F$14:$F$119,RAB!$C$14:$C$119,C244)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SUMIFS(RAB!$F$14:$F$119,RAB!$C$14:$C$119,C245)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SUMIFS(RAB!$F$14:$F$119,RAB!$C$14:$C$119,C246)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SUMIFS(RAB!$F$14:$F$119,RAB!$C$14:$C$119,C247)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SUMIFS(RAB!$F$14:$F$119,RAB!$C$14:$C$119,C248)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SUMIFS(RAB!$F$14:$F$119,RAB!$C$14:$C$119,C249)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SUMIFS(RAB!$F$14:$F$119,RAB!$C$14:$C$119,C250)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SUMIFS(RAB!$F$14:$F$119,RAB!$C$14:$C$119,C251)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SUMIFS(RAB!$F$14:$F$119,RAB!$C$14:$C$119,C252)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SUMIFS(RAB!$F$14:$F$119,RAB!$C$14:$C$119,C253)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SUMIFS(RAB!$F$14:$F$119,RAB!$C$14:$C$119,C254)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SUMIFS(RAB!$F$14:$F$119,RAB!$C$14:$C$119,C255)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SUMIFS(RAB!$F$14:$F$119,RAB!$C$14:$C$119,C256)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SUMIFS(RAB!$F$14:$F$119,RAB!$C$14:$C$119,C257)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SUMIFS(RAB!$F$14:$F$119,RAB!$C$14:$C$119,C258)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SUMIFS(RAB!$F$14:$F$119,RAB!$C$14:$C$119,C259)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SUMIFS(RAB!$F$14:$F$119,RAB!$C$14:$C$119,C260)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SUMIFS(RAB!$F$14:$F$119,RAB!$C$14:$C$119,C261)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SUMIFS(RAB!$F$14:$F$119,RAB!$C$14:$C$119,C262)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SUMIFS(RAB!$F$14:$F$119,RAB!$C$14:$C$119,C263)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SUMIFS(RAB!$F$14:$F$119,RAB!$C$14:$C$119,C264)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SUMIFS(RAB!$F$14:$F$119,RAB!$C$14:$C$119,C265)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SUMIFS(RAB!$F$14:$F$119,RAB!$C$14:$C$119,C266)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SUMIFS(RAB!$F$14:$F$119,RAB!$C$14:$C$119,C267)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SUMIFS(RAB!$F$14:$F$119,RAB!$C$14:$C$119,C268)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SUMIFS(RAB!$F$14:$F$119,RAB!$C$14:$C$119,C269)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SUMIFS(RAB!$F$14:$F$119,RAB!$C$14:$C$119,C270)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SUMIFS(RAB!$F$14:$F$119,RAB!$C$14:$C$119,C271)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SUMIFS(RAB!$F$14:$F$119,RAB!$C$14:$C$119,C272)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SUMIFS(RAB!$F$14:$F$119,RAB!$C$14:$C$119,C273)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SUMIFS(RAB!$F$14:$F$119,RAB!$C$14:$C$119,C274)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SUMIFS(RAB!$F$14:$F$119,RAB!$C$14:$C$119,C275)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SUMIFS(RAB!$F$14:$F$119,RAB!$C$14:$C$119,C276)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SUMIFS(RAB!$F$14:$F$119,RAB!$C$14:$C$119,C277)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SUMIFS(RAB!$F$14:$F$119,RAB!$C$14:$C$119,C278)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SUMIFS(RAB!$F$14:$F$119,RAB!$C$14:$C$119,C279)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SUMIFS(RAB!$F$14:$F$119,RAB!$C$14:$C$119,C280)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SUMIFS(RAB!$F$14:$F$119,RAB!$C$14:$C$119,C281)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SUMIFS(RAB!$F$14:$F$119,RAB!$C$14:$C$119,C282)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SUMIFS(RAB!$F$14:$F$119,RAB!$C$14:$C$119,C283)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SUMIFS(RAB!$F$14:$F$119,RAB!$C$14:$C$119,C284)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SUMIFS(RAB!$F$14:$F$119,RAB!$C$14:$C$119,C285)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SUMIFS(RAB!$F$14:$F$119,RAB!$C$14:$C$119,C286)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SUMIFS(RAB!$F$14:$F$119,RAB!$C$14:$C$119,C287)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SUMIFS(RAB!$F$14:$F$119,RAB!$C$14:$C$119,C288)</f>
        <v>1</v>
      </c>
      <c r="E288" s="24">
        <f t="shared" ca="1" si="21"/>
        <v>1</v>
      </c>
      <c r="F288" s="24">
        <f ca="1">IF(D288=0,0,SUM($E$223:E288))</f>
        <v>1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SUMIFS(RAB!$F$14:$F$119,RAB!$C$14:$C$119,C289)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SUMIFS(RAB!$F$14:$F$119,RAB!$C$14:$C$119,C290)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SUMIFS(RAB!$F$14:$F$119,RAB!$C$14:$C$119,C291)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SUMIFS(RAB!$F$14:$F$119,RAB!$C$14:$C$119,C292)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SUMIFS(RAB!$F$14:$F$119,RAB!$C$14:$C$119,C293)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SUMIFS(RAB!$F$14:$F$119,RAB!$C$14:$C$119,C294)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SUMIFS(RAB!$F$14:$F$119,RAB!$C$14:$C$119,C295)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SUMIFS(RAB!$F$14:$F$119,RAB!$C$14:$C$119,C296)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SUMIFS(RAB!$F$14:$F$119,RAB!$C$14:$C$119,C297)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SUMIFS(RAB!$F$14:$F$119,RAB!$C$14:$C$119,C298)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SUMIFS(RAB!$F$14:$F$119,RAB!$C$14:$C$119,C299)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SUMIFS(RAB!$F$14:$F$119,RAB!$C$14:$C$119,C300)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SUMIFS(RAB!$F$14:$F$119,RAB!$C$14:$C$119,C301)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SUMIFS(RAB!$F$14:$F$119,RAB!$C$14:$C$119,C302)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SUMIFS(RAB!$F$14:$F$119,RAB!$C$14:$C$119,C303)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SUMIFS(RAB!$F$14:$F$119,RAB!$C$14:$C$119,C304)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SUMIFS(RAB!$F$14:$F$119,RAB!$C$14:$C$119,C305)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SUMIFS(RAB!$F$14:$F$119,RAB!$C$14:$C$119,C306)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SUMIFS(RAB!$F$14:$F$119,RAB!$C$14:$C$119,C307)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SUMIFS(RAB!$F$14:$F$119,RAB!$C$14:$C$119,C308)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SUMIFS(RAB!$F$14:$F$119,RAB!$C$14:$C$119,C309)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SUMIFS(RAB!$F$14:$F$119,RAB!$C$14:$C$119,C310)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SUMIFS(RAB!$F$14:$F$119,RAB!$C$14:$C$119,C311)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SUMIFS(RAB!$F$14:$F$119,RAB!$C$14:$C$119,C312)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SUMIFS(RAB!$F$14:$F$119,RAB!$C$14:$C$119,C313)</f>
        <v>1</v>
      </c>
      <c r="E313" s="24">
        <f t="shared" ca="1" si="22"/>
        <v>1</v>
      </c>
      <c r="F313" s="24">
        <f ca="1">IF(D313=0,0,SUM($E$223:E313))</f>
        <v>2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SUMIFS(RAB!$F$14:$F$119,RAB!$C$14:$C$119,C314)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SUMIFS(RAB!$F$14:$F$119,RAB!$C$14:$C$119,C315)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SUMIFS(RAB!$F$14:$F$119,RAB!$C$14:$C$119,C316)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SUMIFS(RAB!$F$14:$F$119,RAB!$C$14:$C$119,C317)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SUMIFS(RAB!$F$14:$F$119,RAB!$C$14:$C$119,C318)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SUMIFS(RAB!$F$14:$F$119,RAB!$C$14:$C$119,C319)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SUMIFS(RAB!$F$14:$F$119,RAB!$C$14:$C$119,C320)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SUMIFS(RAB!$F$14:$F$119,RAB!$C$14:$C$119,C321)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SUMIFS(RAB!$F$14:$F$119,RAB!$C$14:$C$119,C322)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SUMIFS(RAB!$F$14:$F$119,RAB!$C$14:$C$119,C323)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SUMIFS(RAB!$F$14:$F$119,RAB!$C$14:$C$119,C324)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SUMIFS(RAB!$F$14:$F$119,RAB!$C$14:$C$119,C325)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SUMIFS(RAB!$F$14:$F$119,RAB!$C$14:$C$119,C326)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SUMIFS(RAB!$F$14:$F$119,RAB!$C$14:$C$119,C327)</f>
        <v>3</v>
      </c>
      <c r="E327" s="24">
        <f t="shared" ca="1" si="22"/>
        <v>1</v>
      </c>
      <c r="F327" s="24">
        <f ca="1">IF(D327=0,0,SUM($E$223:E327))</f>
        <v>3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SUMIFS(RAB!$F$14:$F$119,RAB!$C$14:$C$119,C328)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SUMIFS(RAB!$F$14:$F$119,RAB!$C$14:$C$119,C329)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SUMIFS(RAB!$F$14:$F$119,RAB!$C$14:$C$119,C330)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SUMIFS(RAB!$F$14:$F$119,RAB!$C$14:$C$119,C331)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SUMIFS(RAB!$F$14:$F$119,RAB!$C$14:$C$119,C332)</f>
        <v>3</v>
      </c>
      <c r="E332" s="24">
        <f t="shared" ca="1" si="22"/>
        <v>1</v>
      </c>
      <c r="F332" s="24">
        <f ca="1">IF(D332=0,0,SUM($E$223:E332))</f>
        <v>4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SUMIFS(RAB!$F$14:$F$119,RAB!$C$14:$C$119,C333)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SUMIFS(RAB!$F$14:$F$119,RAB!$C$14:$C$119,C334)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SUMIFS(RAB!$F$14:$F$119,RAB!$C$14:$C$119,C335)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SUMIFS(RAB!$F$14:$F$119,RAB!$C$14:$C$119,C336)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SUMIFS(RAB!$F$14:$F$119,RAB!$C$14:$C$119,C337)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SUMIFS(RAB!$F$14:$F$119,RAB!$C$14:$C$119,C338)</f>
        <v>9</v>
      </c>
      <c r="E338" s="24">
        <f t="shared" ca="1" si="22"/>
        <v>1</v>
      </c>
      <c r="F338" s="24">
        <f ca="1">IF(D338=0,0,SUM($E$223:E338))</f>
        <v>5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SUMIFS(RAB!$F$14:$F$119,RAB!$C$14:$C$119,C339)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SUMIFS(RAB!$F$14:$F$119,RAB!$C$14:$C$119,C340)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SUMIFS(RAB!$F$14:$F$119,RAB!$C$14:$C$119,C341)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SUMIFS(RAB!$F$14:$F$119,RAB!$C$14:$C$119,C342)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SUMIFS(RAB!$F$14:$F$119,RAB!$C$14:$C$119,C343)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SUMIFS(RAB!$F$14:$F$119,RAB!$C$14:$C$119,C344)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SUMIFS(RAB!$F$14:$F$119,RAB!$C$14:$C$119,C345)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SUMIFS(RAB!$F$14:$F$119,RAB!$C$14:$C$119,C346)</f>
        <v>210</v>
      </c>
      <c r="E346" s="24">
        <f t="shared" ca="1" si="22"/>
        <v>1</v>
      </c>
      <c r="F346" s="24">
        <f ca="1">IF(D346=0,0,SUM($E$223:E346))</f>
        <v>6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SUMIFS(RAB!$F$14:$F$119,RAB!$C$14:$C$119,C347)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SUMIFS(RAB!$F$14:$F$119,RAB!$C$14:$C$119,C348)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SUMIFS(RAB!$F$14:$F$119,RAB!$C$14:$C$119,C349)</f>
        <v>35</v>
      </c>
      <c r="E349" s="24">
        <f t="shared" ca="1" si="22"/>
        <v>1</v>
      </c>
      <c r="F349" s="24">
        <f ca="1">IF(D349=0,0,SUM($E$223:E349))</f>
        <v>7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SUMIFS(RAB!$F$14:$F$119,RAB!$C$14:$C$119,C350)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SUMIFS(RAB!$F$14:$F$119,RAB!$C$14:$C$119,C351)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SUMIFS(RAB!$F$14:$F$119,RAB!$C$14:$C$119,C352)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SUMIFS(RAB!$F$14:$F$119,RAB!$C$14:$C$119,C353)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SUMIFS(RAB!$F$14:$F$119,RAB!$C$14:$C$119,C354)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SUMIFS(RAB!$F$14:$F$119,RAB!$C$14:$C$119,C355)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SUMIFS(RAB!$F$14:$F$119,RAB!$C$14:$C$119,C356)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SUMIFS(RAB!$F$14:$F$119,RAB!$C$14:$C$119,C357)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SUMIFS(RAB!$F$14:$F$119,RAB!$C$14:$C$119,C358)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SUMIFS(RAB!$F$14:$F$119,RAB!$C$14:$C$119,C359)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SUMIFS(RAB!$F$14:$F$119,RAB!$C$14:$C$119,C360)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SUMIFS(RAB!$F$14:$F$119,RAB!$C$14:$C$119,C361)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SUMIFS(RAB!$F$14:$F$119,RAB!$C$14:$C$119,C362)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SUMIFS(RAB!$F$14:$F$119,RAB!$C$14:$C$119,C363)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SUMIFS(RAB!$F$14:$F$119,RAB!$C$14:$C$119,C364)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SUMIFS(RAB!$F$14:$F$119,RAB!$C$14:$C$119,C365)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SUMIFS(RAB!$F$14:$F$119,RAB!$C$14:$C$119,C366)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SUMIFS(RAB!$F$14:$F$119,RAB!$C$14:$C$119,C367)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SUMIFS(RAB!$F$14:$F$119,RAB!$C$14:$C$119,C368)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SUMIFS(RAB!$F$14:$F$119,RAB!$C$14:$C$119,C369)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SUMIFS(RAB!$F$14:$F$119,RAB!$C$14:$C$119,C370)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SUMIFS(RAB!$F$14:$F$119,RAB!$C$14:$C$119,C371)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SUMIFS(RAB!$F$14:$F$119,RAB!$C$14:$C$119,C372)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SUMIFS(RAB!$F$14:$F$119,RAB!$C$14:$C$119,C373)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5" priority="5" operator="equal">
      <formula>0</formula>
    </cfRule>
  </conditionalFormatting>
  <conditionalFormatting sqref="C16:C165">
    <cfRule type="cellIs" dxfId="44" priority="4" stopIfTrue="1" operator="equal">
      <formula>0</formula>
    </cfRule>
  </conditionalFormatting>
  <conditionalFormatting sqref="C16:E165">
    <cfRule type="cellIs" dxfId="43" priority="1" operator="equal">
      <formula>0</formula>
    </cfRule>
  </conditionalFormatting>
  <conditionalFormatting sqref="D224:F373">
    <cfRule type="cellIs" dxfId="42" priority="8" operator="equal">
      <formula>0</formula>
    </cfRule>
  </conditionalFormatting>
  <conditionalFormatting sqref="E1:E3 G1:G115 E6:E15 H12:I12 N13 F14:F15 H14:K115 E166:K166 G166:G223 E167:F167 H167:K167">
    <cfRule type="cellIs" dxfId="41" priority="43" stopIfTrue="1" operator="equal">
      <formula>0</formula>
    </cfRule>
  </conditionalFormatting>
  <conditionalFormatting sqref="E171:E65536">
    <cfRule type="cellIs" dxfId="40" priority="9" stopIfTrue="1" operator="equal">
      <formula>0</formula>
    </cfRule>
  </conditionalFormatting>
  <conditionalFormatting sqref="G224">
    <cfRule type="cellIs" dxfId="39" priority="10" operator="equal">
      <formula>0</formula>
    </cfRule>
  </conditionalFormatting>
  <conditionalFormatting sqref="G225:G65536">
    <cfRule type="cellIs" dxfId="38" priority="14" stopIfTrue="1" operator="equal">
      <formula>0</formula>
    </cfRule>
  </conditionalFormatting>
  <conditionalFormatting sqref="R14:T166 G116:K165">
    <cfRule type="cellIs" dxfId="37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63"/>
    </row>
    <row r="4" spans="4:4" ht="57" customHeight="1">
      <c r="D4" s="463">
        <v>3</v>
      </c>
    </row>
    <row r="5" spans="4:4" ht="57" customHeight="1">
      <c r="D5" s="46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C10" sqref="C10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4" t="s">
        <v>41</v>
      </c>
      <c r="C2" s="564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5" t="s">
        <v>23</v>
      </c>
      <c r="C4" s="566" t="s">
        <v>1012</v>
      </c>
      <c r="D4" s="566" t="s">
        <v>42</v>
      </c>
      <c r="E4" s="565" t="s">
        <v>43</v>
      </c>
      <c r="F4" s="108" t="s">
        <v>1610</v>
      </c>
      <c r="G4" s="108" t="s">
        <v>1609</v>
      </c>
      <c r="H4" s="563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5"/>
      <c r="C5" s="566"/>
      <c r="D5" s="566"/>
      <c r="E5" s="565"/>
      <c r="F5" s="93"/>
      <c r="G5" s="93"/>
      <c r="H5" s="563"/>
      <c r="I5" s="193" t="s">
        <v>1609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1553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1554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1555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1556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1557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1558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1559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1560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1461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1561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1562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1563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1564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1565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1566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1567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1462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1463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1568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1569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1570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1571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1572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1573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1574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1575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1576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1577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1578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1579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1580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1581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1582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1583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1584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1585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1586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1587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1588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1589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1590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1591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1592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1593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1594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1595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1596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1597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1598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1599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1600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1601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1602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1603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1604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1464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1465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1466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1467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1468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1469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1470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9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9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1471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1472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1473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1474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1475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1476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1477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1478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1479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1480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1481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1482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1483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1484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1485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1486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1487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1488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1489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1490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1491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1492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1493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1494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1495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1496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1497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1498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1499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1500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1501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1502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1503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1504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1505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1506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1507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1508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1509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1510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1511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1512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1513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1514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1515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1516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1517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1518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1519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1521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1520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1605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1606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1607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1522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1523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1524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1525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1526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1527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1528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1529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1608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90">
        <v>2740</v>
      </c>
      <c r="G1433" s="490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91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91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91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91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91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36" priority="138" operator="equal">
      <formula>0</formula>
    </cfRule>
  </conditionalFormatting>
  <conditionalFormatting sqref="B8:C135">
    <cfRule type="cellIs" dxfId="35" priority="51" operator="equal">
      <formula>0</formula>
    </cfRule>
  </conditionalFormatting>
  <conditionalFormatting sqref="B150:G1493">
    <cfRule type="cellIs" dxfId="34" priority="1" operator="equal">
      <formula>0</formula>
    </cfRule>
  </conditionalFormatting>
  <conditionalFormatting sqref="C143:G149">
    <cfRule type="cellIs" dxfId="33" priority="5" operator="equal">
      <formula>0</formula>
    </cfRule>
  </conditionalFormatting>
  <conditionalFormatting sqref="D9:G142">
    <cfRule type="cellIs" dxfId="32" priority="11" operator="equal">
      <formula>0</formula>
    </cfRule>
  </conditionalFormatting>
  <conditionalFormatting sqref="D1:IV5 A1:C7 D6:K6 H1455:IV1457 H1458:XFD1485 H1486:H1493 I1486:XFD1494 A1494:H1494 A1495:XFD65536">
    <cfRule type="cellIs" dxfId="31" priority="163" operator="equal">
      <formula>0</formula>
    </cfRule>
  </conditionalFormatting>
  <conditionalFormatting sqref="D7:IV8 C136:C142 B136:B149">
    <cfRule type="cellIs" dxfId="30" priority="62" operator="equal">
      <formula>0</formula>
    </cfRule>
  </conditionalFormatting>
  <conditionalFormatting sqref="H9:H1418">
    <cfRule type="cellIs" dxfId="29" priority="129" operator="equal">
      <formula>0</formula>
    </cfRule>
  </conditionalFormatting>
  <conditionalFormatting sqref="H1419:I1454">
    <cfRule type="cellIs" dxfId="28" priority="128" operator="equal">
      <formula>0</formula>
    </cfRule>
  </conditionalFormatting>
  <conditionalFormatting sqref="I108:I1418">
    <cfRule type="cellIs" dxfId="27" priority="125" operator="equal">
      <formula>0</formula>
    </cfRule>
  </conditionalFormatting>
  <conditionalFormatting sqref="J108:IV1454">
    <cfRule type="cellIs" dxfId="26" priority="139" operator="equal">
      <formula>0</formula>
    </cfRule>
  </conditionalFormatting>
  <conditionalFormatting sqref="M6:IV6">
    <cfRule type="cellIs" dxfId="25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7" zoomScale="70" zoomScaleNormal="70" zoomScaleSheetLayoutView="85" workbookViewId="0">
      <selection activeCell="P24" sqref="P24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98" t="s">
        <v>1454</v>
      </c>
      <c r="C2" s="598"/>
      <c r="D2" s="598"/>
      <c r="E2" s="598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603" t="s">
        <v>1535</v>
      </c>
      <c r="C4" s="604"/>
      <c r="D4" s="604"/>
      <c r="E4" s="605"/>
      <c r="F4" s="445"/>
      <c r="G4" s="445"/>
      <c r="H4" s="446"/>
      <c r="I4" s="567" t="s">
        <v>1536</v>
      </c>
      <c r="J4" s="568"/>
      <c r="K4" s="568"/>
      <c r="L4" s="569"/>
    </row>
    <row r="5" spans="1:12" ht="34.5" customHeight="1">
      <c r="A5" s="204"/>
      <c r="B5" s="448" t="s">
        <v>1379</v>
      </c>
      <c r="C5" s="277" t="s">
        <v>9</v>
      </c>
      <c r="D5" s="599" t="str">
        <f>DATA!D14</f>
        <v>PERCETAKAN HAMDAN</v>
      </c>
      <c r="E5" s="600"/>
      <c r="F5" s="208"/>
      <c r="G5" s="208"/>
      <c r="I5" s="449" t="s">
        <v>1379</v>
      </c>
      <c r="J5" s="277" t="s">
        <v>9</v>
      </c>
      <c r="K5" s="570" t="str">
        <f>D5</f>
        <v>PERCETAKAN HAMDAN</v>
      </c>
      <c r="L5" s="571"/>
    </row>
    <row r="6" spans="1:12" ht="31.5" customHeight="1">
      <c r="A6" s="204"/>
      <c r="B6" s="448" t="s">
        <v>1532</v>
      </c>
      <c r="C6" s="277" t="s">
        <v>9</v>
      </c>
      <c r="D6" s="608">
        <f>DATA!D17*1000</f>
        <v>0</v>
      </c>
      <c r="E6" s="609"/>
      <c r="F6" s="208"/>
      <c r="G6" s="208"/>
      <c r="I6" s="449" t="s">
        <v>1533</v>
      </c>
      <c r="J6" s="277" t="s">
        <v>9</v>
      </c>
      <c r="K6" s="572">
        <f>DATA!D20*1000</f>
        <v>13200</v>
      </c>
      <c r="L6" s="573"/>
    </row>
    <row r="7" spans="1:12" ht="30.75" customHeight="1">
      <c r="A7" s="204"/>
      <c r="B7" s="448" t="s">
        <v>1441</v>
      </c>
      <c r="C7" s="277" t="s">
        <v>9</v>
      </c>
      <c r="D7" s="606">
        <f>DATA!D18</f>
        <v>1</v>
      </c>
      <c r="E7" s="607"/>
      <c r="F7" s="447" t="s">
        <v>1453</v>
      </c>
      <c r="I7" s="449" t="s">
        <v>1441</v>
      </c>
      <c r="J7" s="277" t="s">
        <v>9</v>
      </c>
      <c r="K7" s="574">
        <f>DATA!D21</f>
        <v>3</v>
      </c>
      <c r="L7" s="575"/>
    </row>
    <row r="8" spans="1:12" ht="51" customHeight="1">
      <c r="A8" s="204"/>
      <c r="B8" s="448" t="s">
        <v>1442</v>
      </c>
      <c r="C8" s="277" t="s">
        <v>9</v>
      </c>
      <c r="D8" s="606">
        <f>DATA!D19</f>
        <v>220</v>
      </c>
      <c r="E8" s="607"/>
      <c r="F8" s="447" t="s">
        <v>1453</v>
      </c>
      <c r="G8" s="442">
        <v>220</v>
      </c>
      <c r="I8" s="449" t="s">
        <v>1442</v>
      </c>
      <c r="J8" s="277" t="s">
        <v>9</v>
      </c>
      <c r="K8" s="574">
        <f>DATA!D22</f>
        <v>380</v>
      </c>
      <c r="L8" s="575"/>
    </row>
    <row r="9" spans="1:12" ht="30" customHeight="1" thickBot="1">
      <c r="A9" s="204"/>
      <c r="B9" s="454" t="s">
        <v>1544</v>
      </c>
      <c r="C9" s="444" t="s">
        <v>9</v>
      </c>
      <c r="D9" s="601">
        <f>IF(D7=1,D6/(380/3^0.5),(D6/(380*3^0.5)))</f>
        <v>0</v>
      </c>
      <c r="E9" s="602"/>
      <c r="F9" s="207"/>
      <c r="G9" s="443">
        <v>380</v>
      </c>
      <c r="I9" s="455" t="s">
        <v>1544</v>
      </c>
      <c r="J9" s="444" t="s">
        <v>9</v>
      </c>
      <c r="K9" s="578">
        <f>IF(K7=1,K6/(380/3^0.5),(K6/(380*3^0.5)))</f>
        <v>20.055325140271211</v>
      </c>
      <c r="L9" s="579"/>
    </row>
    <row r="10" spans="1:12" ht="24.75" customHeight="1">
      <c r="B10" s="456"/>
      <c r="C10" s="453"/>
      <c r="D10" s="457"/>
      <c r="E10" s="457"/>
      <c r="F10" s="207"/>
      <c r="G10" s="443"/>
      <c r="I10" s="456"/>
      <c r="J10" s="453"/>
      <c r="K10" s="457"/>
      <c r="L10" s="457"/>
    </row>
    <row r="11" spans="1:12" ht="16.5" thickBot="1">
      <c r="B11" s="450" t="s">
        <v>1545</v>
      </c>
      <c r="I11" s="450" t="s">
        <v>1539</v>
      </c>
    </row>
    <row r="12" spans="1:12" ht="34.5" customHeight="1">
      <c r="A12" s="204"/>
      <c r="B12" s="478" t="s">
        <v>1537</v>
      </c>
      <c r="C12" s="472" t="s">
        <v>9</v>
      </c>
      <c r="D12" s="610" t="s">
        <v>1626</v>
      </c>
      <c r="E12" s="611"/>
      <c r="F12" s="208"/>
      <c r="G12" s="208"/>
      <c r="I12" s="471" t="s">
        <v>1537</v>
      </c>
      <c r="J12" s="472" t="s">
        <v>9</v>
      </c>
      <c r="K12" s="610" t="str">
        <f>D12</f>
        <v>K3-169/19/56/68/4</v>
      </c>
      <c r="L12" s="611"/>
    </row>
    <row r="13" spans="1:12" ht="31.5" customHeight="1">
      <c r="A13" s="204"/>
      <c r="B13" s="479" t="s">
        <v>1380</v>
      </c>
      <c r="C13" s="459" t="s">
        <v>9</v>
      </c>
      <c r="D13" s="576" t="s">
        <v>1627</v>
      </c>
      <c r="E13" s="577"/>
      <c r="F13" s="208"/>
      <c r="G13" s="208"/>
      <c r="I13" s="473" t="s">
        <v>1380</v>
      </c>
      <c r="J13" s="459" t="s">
        <v>9</v>
      </c>
      <c r="K13" s="576" t="str">
        <f>D13</f>
        <v>KDS 16</v>
      </c>
      <c r="L13" s="577"/>
    </row>
    <row r="14" spans="1:12" ht="30.75" customHeight="1">
      <c r="A14" s="204"/>
      <c r="B14" s="479" t="s">
        <v>1538</v>
      </c>
      <c r="C14" s="459" t="s">
        <v>9</v>
      </c>
      <c r="D14" s="580">
        <v>50</v>
      </c>
      <c r="E14" s="581"/>
      <c r="F14" s="447" t="s">
        <v>1453</v>
      </c>
      <c r="G14" s="451">
        <v>50</v>
      </c>
      <c r="I14" s="473" t="s">
        <v>1538</v>
      </c>
      <c r="J14" s="459" t="s">
        <v>9</v>
      </c>
      <c r="K14" s="582">
        <v>50</v>
      </c>
      <c r="L14" s="583"/>
    </row>
    <row r="15" spans="1:12" ht="57" customHeight="1">
      <c r="A15" s="204"/>
      <c r="B15" s="479" t="s">
        <v>1441</v>
      </c>
      <c r="C15" s="459" t="s">
        <v>9</v>
      </c>
      <c r="D15" s="465">
        <v>1</v>
      </c>
      <c r="E15" s="474"/>
      <c r="F15" s="447" t="s">
        <v>1453</v>
      </c>
      <c r="G15" s="451">
        <v>100</v>
      </c>
      <c r="I15" s="473" t="s">
        <v>1441</v>
      </c>
      <c r="J15" s="459" t="s">
        <v>9</v>
      </c>
      <c r="K15" s="465">
        <v>3</v>
      </c>
      <c r="L15" s="474"/>
    </row>
    <row r="16" spans="1:12" ht="44.25" customHeight="1">
      <c r="A16" s="204"/>
      <c r="B16" s="479" t="s">
        <v>1548</v>
      </c>
      <c r="C16" s="459"/>
      <c r="D16" s="584">
        <v>75</v>
      </c>
      <c r="E16" s="585"/>
      <c r="F16" s="447"/>
      <c r="G16" s="451">
        <v>160</v>
      </c>
      <c r="I16" s="473" t="s">
        <v>1540</v>
      </c>
      <c r="J16" s="459" t="s">
        <v>9</v>
      </c>
      <c r="K16" s="588">
        <f>K9</f>
        <v>20.055325140271211</v>
      </c>
      <c r="L16" s="589"/>
    </row>
    <row r="17" spans="1:12" ht="34.5" customHeight="1">
      <c r="A17" s="204"/>
      <c r="B17" s="479" t="s">
        <v>1541</v>
      </c>
      <c r="C17" s="459" t="s">
        <v>9</v>
      </c>
      <c r="D17" s="586">
        <f>IF(D15=1,D14/(20/3^0.5),(D14/(20*3^0.5)))</f>
        <v>4.3301270189221928</v>
      </c>
      <c r="E17" s="587"/>
      <c r="F17" s="447" t="s">
        <v>1453</v>
      </c>
      <c r="G17" s="452">
        <v>200</v>
      </c>
      <c r="I17" s="473" t="s">
        <v>1541</v>
      </c>
      <c r="J17" s="459" t="s">
        <v>9</v>
      </c>
      <c r="K17" s="592">
        <f>IF(K15=1,K14/(20/3^0.5),(K14/(20*3^0.5)))</f>
        <v>1.4433756729740645</v>
      </c>
      <c r="L17" s="593"/>
    </row>
    <row r="18" spans="1:12" ht="34.5" customHeight="1">
      <c r="A18" s="204"/>
      <c r="B18" s="479" t="s">
        <v>1542</v>
      </c>
      <c r="C18" s="459" t="s">
        <v>9</v>
      </c>
      <c r="D18" s="586">
        <f>IF(D15=1,D14/(380/3^0.5),(D14/(380*3^0.5)))*1000</f>
        <v>227.90142204853646</v>
      </c>
      <c r="E18" s="587"/>
      <c r="F18" s="447" t="s">
        <v>1453</v>
      </c>
      <c r="G18" s="452">
        <v>250</v>
      </c>
      <c r="I18" s="473" t="s">
        <v>1542</v>
      </c>
      <c r="J18" s="459" t="s">
        <v>9</v>
      </c>
      <c r="K18" s="592">
        <f>IF(K15=1,K14/(380/3^0.5),(K14/(380*3^0.5)))*1000</f>
        <v>75.96714068284551</v>
      </c>
      <c r="L18" s="593"/>
    </row>
    <row r="19" spans="1:12" ht="30" customHeight="1">
      <c r="A19" s="204"/>
      <c r="B19" s="480" t="s">
        <v>1534</v>
      </c>
      <c r="C19" s="458" t="s">
        <v>9</v>
      </c>
      <c r="D19" s="586">
        <f>IF(D15=1,D14/(380/3^0.5),(D14/(380*3^0.5)))</f>
        <v>0.22790142204853647</v>
      </c>
      <c r="E19" s="587"/>
      <c r="F19" s="207"/>
      <c r="G19" s="443"/>
      <c r="I19" s="475" t="s">
        <v>1534</v>
      </c>
      <c r="J19" s="458" t="s">
        <v>9</v>
      </c>
      <c r="K19" s="592">
        <f>IF(K15=1,K14/(380/3^0.5),(K14/(380*3^0.5)))</f>
        <v>7.5967140682845505E-2</v>
      </c>
      <c r="L19" s="593"/>
    </row>
    <row r="20" spans="1:12" ht="30" customHeight="1" thickBot="1">
      <c r="A20" s="204"/>
      <c r="B20" s="481" t="s">
        <v>1543</v>
      </c>
      <c r="C20" s="477" t="s">
        <v>9</v>
      </c>
      <c r="D20" s="612">
        <f>D16/D18</f>
        <v>0.32908965343808672</v>
      </c>
      <c r="E20" s="613"/>
      <c r="F20" s="207"/>
      <c r="G20" s="443"/>
      <c r="I20" s="476" t="s">
        <v>1534</v>
      </c>
      <c r="J20" s="477" t="s">
        <v>9</v>
      </c>
      <c r="K20" s="590">
        <f>K16/K18</f>
        <v>0.26399999999999996</v>
      </c>
      <c r="L20" s="591"/>
    </row>
    <row r="21" spans="1:12" ht="9.75" customHeight="1">
      <c r="A21" s="204"/>
      <c r="B21" s="466" t="s">
        <v>1543</v>
      </c>
      <c r="C21" s="467" t="s">
        <v>9</v>
      </c>
      <c r="D21" s="597">
        <v>1</v>
      </c>
      <c r="E21" s="597"/>
      <c r="F21" s="468"/>
      <c r="G21" s="469"/>
      <c r="H21" s="470"/>
      <c r="I21" s="466" t="s">
        <v>1534</v>
      </c>
      <c r="J21" s="467" t="s">
        <v>9</v>
      </c>
      <c r="K21" s="597">
        <v>1</v>
      </c>
      <c r="L21" s="597"/>
    </row>
    <row r="22" spans="1:12" ht="6.75" customHeight="1">
      <c r="B22" s="456"/>
      <c r="C22" s="453"/>
      <c r="D22" s="464"/>
      <c r="E22" s="464"/>
      <c r="F22" s="207"/>
      <c r="G22" s="443"/>
      <c r="J22" s="453"/>
      <c r="K22" s="464"/>
      <c r="L22" s="464"/>
    </row>
    <row r="23" spans="1:12" ht="15.75" thickBot="1"/>
    <row r="24" spans="1:12" ht="200.25" customHeight="1" thickBot="1">
      <c r="B24" s="594"/>
      <c r="C24" s="595"/>
      <c r="D24" s="595"/>
      <c r="E24" s="596"/>
      <c r="I24" s="594"/>
      <c r="J24" s="595"/>
      <c r="K24" s="595"/>
      <c r="L24" s="596"/>
    </row>
    <row r="26" spans="1:12">
      <c r="D26" s="461"/>
    </row>
    <row r="27" spans="1:12">
      <c r="D27" s="462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24" priority="5" stopIfTrue="1" operator="greaterThan">
      <formula>0.89</formula>
    </cfRule>
    <cfRule type="cellIs" dxfId="23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8" zoomScale="85" zoomScaleNormal="85" workbookViewId="0">
      <selection activeCell="D16" sqref="D16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6.2851562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14"/>
      <c r="C1" s="614"/>
      <c r="D1" s="614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93">
        <v>1084.1250458865841</v>
      </c>
      <c r="F5" s="488" t="s">
        <v>1611</v>
      </c>
      <c r="K5" s="487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88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13.2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12790800</v>
      </c>
    </row>
    <row r="10" spans="2:11" ht="20.100000000000001" customHeight="1">
      <c r="B10" s="291" t="s">
        <v>1446</v>
      </c>
      <c r="C10" s="292" t="s">
        <v>9</v>
      </c>
      <c r="D10" s="298">
        <f ca="1">RAB!K125</f>
        <v>116462896.07075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2329257.9214150002</v>
      </c>
    </row>
    <row r="12" spans="2:11" ht="9" customHeight="1">
      <c r="B12" s="615"/>
      <c r="C12" s="615"/>
      <c r="D12" s="615"/>
    </row>
    <row r="13" spans="2:11" ht="15.75" customHeight="1">
      <c r="B13" s="299"/>
      <c r="C13" s="299"/>
      <c r="D13" s="299"/>
    </row>
    <row r="14" spans="2:11" ht="33.75" customHeight="1">
      <c r="B14" s="418" t="s">
        <v>1379</v>
      </c>
      <c r="C14" s="419" t="s">
        <v>9</v>
      </c>
      <c r="D14" s="424" t="s">
        <v>1642</v>
      </c>
      <c r="E14" s="300" t="s">
        <v>1453</v>
      </c>
    </row>
    <row r="15" spans="2:11" ht="20.100000000000001" customHeight="1">
      <c r="B15" s="420" t="s">
        <v>1447</v>
      </c>
      <c r="C15" s="421" t="s">
        <v>9</v>
      </c>
      <c r="D15" s="425" t="s">
        <v>1646</v>
      </c>
      <c r="E15" s="300" t="s">
        <v>1453</v>
      </c>
    </row>
    <row r="16" spans="2:11" ht="20.100000000000001" customHeight="1">
      <c r="B16" s="420" t="s">
        <v>1448</v>
      </c>
      <c r="C16" s="421" t="s">
        <v>9</v>
      </c>
      <c r="D16" s="425" t="s">
        <v>1451</v>
      </c>
      <c r="E16" s="300" t="s">
        <v>1453</v>
      </c>
    </row>
    <row r="17" spans="2:5" ht="20.100000000000001" customHeight="1">
      <c r="B17" s="420" t="s">
        <v>1449</v>
      </c>
      <c r="C17" s="421" t="s">
        <v>9</v>
      </c>
      <c r="D17" s="426">
        <v>0</v>
      </c>
      <c r="E17" s="300" t="s">
        <v>1453</v>
      </c>
    </row>
    <row r="18" spans="2:5" ht="20.100000000000001" hidden="1" customHeight="1">
      <c r="B18" s="420" t="s">
        <v>1546</v>
      </c>
      <c r="C18" s="421"/>
      <c r="D18" s="426">
        <f>IF((D17&lt;=11),1,3)</f>
        <v>1</v>
      </c>
      <c r="E18" s="300"/>
    </row>
    <row r="19" spans="2:5" ht="20.100000000000001" hidden="1" customHeight="1">
      <c r="B19" s="420" t="s">
        <v>1547</v>
      </c>
      <c r="C19" s="421"/>
      <c r="D19" s="426">
        <f>IF((D17&lt;=11),220,380)</f>
        <v>220</v>
      </c>
      <c r="E19" s="300"/>
    </row>
    <row r="20" spans="2:5" ht="20.100000000000001" customHeight="1">
      <c r="B20" s="420" t="s">
        <v>1450</v>
      </c>
      <c r="C20" s="421" t="s">
        <v>9</v>
      </c>
      <c r="D20" s="426">
        <v>13.2</v>
      </c>
      <c r="E20" s="300" t="s">
        <v>1453</v>
      </c>
    </row>
    <row r="21" spans="2:5" ht="20.100000000000001" customHeight="1">
      <c r="B21" s="420" t="s">
        <v>1546</v>
      </c>
      <c r="C21" s="421"/>
      <c r="D21" s="426">
        <f>IF((D20&lt;=11),1,3)</f>
        <v>3</v>
      </c>
      <c r="E21" s="300"/>
    </row>
    <row r="22" spans="2:5" ht="20.100000000000001" customHeight="1">
      <c r="B22" s="420" t="s">
        <v>1547</v>
      </c>
      <c r="C22" s="421"/>
      <c r="D22" s="426">
        <f>IF((D20&lt;=11),220,380)</f>
        <v>380</v>
      </c>
      <c r="E22" s="300"/>
    </row>
    <row r="23" spans="2:5" ht="20.100000000000001" customHeight="1">
      <c r="B23" s="420" t="s">
        <v>1353</v>
      </c>
      <c r="C23" s="421" t="s">
        <v>9</v>
      </c>
      <c r="D23" s="425">
        <v>1444.7</v>
      </c>
      <c r="E23" s="300" t="s">
        <v>1453</v>
      </c>
    </row>
    <row r="24" spans="2:5" ht="20.100000000000001" customHeight="1">
      <c r="B24" s="420" t="s">
        <v>1354</v>
      </c>
      <c r="C24" s="421" t="s">
        <v>9</v>
      </c>
      <c r="D24" s="425">
        <v>1444.7</v>
      </c>
      <c r="E24" s="300" t="s">
        <v>1453</v>
      </c>
    </row>
    <row r="25" spans="2:5" ht="20.100000000000001" customHeight="1">
      <c r="B25" s="420" t="s">
        <v>1452</v>
      </c>
      <c r="C25" s="421" t="s">
        <v>9</v>
      </c>
      <c r="D25" s="426">
        <v>969</v>
      </c>
      <c r="E25" s="300" t="s">
        <v>1453</v>
      </c>
    </row>
    <row r="26" spans="2:5" ht="20.100000000000001" customHeight="1">
      <c r="B26" s="422" t="s">
        <v>1355</v>
      </c>
      <c r="C26" s="423" t="s">
        <v>9</v>
      </c>
      <c r="D26" s="427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85" zoomScaleNormal="85" workbookViewId="0">
      <pane ySplit="6" topLeftCell="A25" activePane="bottomLeft" state="frozen"/>
      <selection activeCell="H1093" sqref="H1093"/>
      <selection pane="bottomLeft" activeCell="C8" sqref="C8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22" t="s">
        <v>1357</v>
      </c>
      <c r="C3" s="622"/>
      <c r="D3" s="622"/>
      <c r="E3" s="622"/>
      <c r="F3" s="305" t="str">
        <f>DATA!D14</f>
        <v>PERCETAKAN HAMDAN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16" t="s">
        <v>1349</v>
      </c>
      <c r="C5" s="616" t="s">
        <v>1358</v>
      </c>
      <c r="D5" s="621" t="s">
        <v>1359</v>
      </c>
      <c r="E5" s="621" t="s">
        <v>1360</v>
      </c>
      <c r="F5" s="616" t="s">
        <v>1361</v>
      </c>
      <c r="G5" s="616"/>
      <c r="H5" s="616"/>
      <c r="I5" s="616"/>
      <c r="J5" s="616"/>
      <c r="K5" s="616" t="s">
        <v>1362</v>
      </c>
      <c r="L5" s="616"/>
      <c r="M5" s="307"/>
      <c r="N5" s="619" t="s">
        <v>1363</v>
      </c>
      <c r="O5" s="621" t="s">
        <v>1364</v>
      </c>
      <c r="P5" s="621" t="s">
        <v>1365</v>
      </c>
      <c r="Q5" s="621" t="s">
        <v>1366</v>
      </c>
      <c r="R5" s="308"/>
      <c r="S5" s="309"/>
      <c r="T5" s="617" t="s">
        <v>1367</v>
      </c>
      <c r="U5" s="310"/>
    </row>
    <row r="6" spans="1:21" ht="20.100000000000001" customHeight="1">
      <c r="B6" s="616"/>
      <c r="C6" s="616"/>
      <c r="D6" s="616"/>
      <c r="E6" s="616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20"/>
      <c r="O6" s="616"/>
      <c r="P6" s="616"/>
      <c r="Q6" s="616"/>
      <c r="R6" s="308"/>
      <c r="S6" s="309"/>
      <c r="T6" s="616"/>
      <c r="U6" s="312"/>
    </row>
    <row r="7" spans="1:21" ht="20.100000000000001" customHeight="1">
      <c r="A7" s="313">
        <v>0</v>
      </c>
      <c r="B7" s="314">
        <v>2023</v>
      </c>
      <c r="C7" s="482">
        <f>DATA!D8*DATA!D26*4</f>
        <v>2112</v>
      </c>
      <c r="D7" s="316">
        <f>C7*4/24</f>
        <v>352</v>
      </c>
      <c r="E7" s="316">
        <f>C7-D7</f>
        <v>1760</v>
      </c>
      <c r="F7" s="317">
        <f ca="1">DATA!D10/1000000</f>
        <v>116.46289607074999</v>
      </c>
      <c r="G7" s="318">
        <f ca="1">DATA!$D$11/1000000</f>
        <v>2.3292579214150004</v>
      </c>
      <c r="H7" s="318">
        <f>C7*DATA!$D$5/1000000</f>
        <v>2.2896720969124655</v>
      </c>
      <c r="I7" s="318">
        <f>(C7*DATA!$D$5*DATA!$D$7)/1000000</f>
        <v>5.1517622180530472E-2</v>
      </c>
      <c r="J7" s="316">
        <f ca="1">SUM(F7:I7)</f>
        <v>121.13334371125799</v>
      </c>
      <c r="K7" s="319">
        <f>DATA!D9/1000000</f>
        <v>12.790800000000001</v>
      </c>
      <c r="L7" s="316">
        <f>((D7*DATA!$D$23)/1000000)+((E7*DATA!$D$24)/1000000)</f>
        <v>3.0512063999999999</v>
      </c>
      <c r="M7" s="316">
        <f>K7+L7</f>
        <v>15.842006400000001</v>
      </c>
      <c r="N7" s="316">
        <f ca="1">M7-J7</f>
        <v>-105.29133731125799</v>
      </c>
      <c r="O7" s="314">
        <v>1</v>
      </c>
      <c r="P7" s="316">
        <f ca="1">O7*N7</f>
        <v>-105.29133731125799</v>
      </c>
      <c r="Q7" s="316">
        <f ca="1">P7</f>
        <v>-105.29133731125799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6336</v>
      </c>
      <c r="D8" s="316">
        <f>C8*4/24</f>
        <v>1056</v>
      </c>
      <c r="E8" s="316">
        <f t="shared" ref="E8:E32" si="0">C8-D8</f>
        <v>5280</v>
      </c>
      <c r="F8" s="314"/>
      <c r="G8" s="318">
        <f ca="1">DATA!$D$11/1000000</f>
        <v>2.3292579214150004</v>
      </c>
      <c r="H8" s="318">
        <f>C8*DATA!$D$5/1000000</f>
        <v>6.8690162907373971</v>
      </c>
      <c r="I8" s="318">
        <f>(C8*DATA!$D$5*DATA!$D$7)/1000000</f>
        <v>0.15455286654159142</v>
      </c>
      <c r="J8" s="316">
        <f t="shared" ref="J8:J32" ca="1" si="1">SUM(F8:I8)</f>
        <v>9.3528270786939895</v>
      </c>
      <c r="K8" s="321"/>
      <c r="L8" s="316">
        <f>((D8*DATA!$D$23)/1000000)+((E8*DATA!$D$24)/1000000)</f>
        <v>9.1536191999999996</v>
      </c>
      <c r="M8" s="316">
        <f t="shared" ref="M8:M32" si="2">K8+L8</f>
        <v>9.1536191999999996</v>
      </c>
      <c r="N8" s="316">
        <f ca="1">M8-J8</f>
        <v>-0.19920787869398993</v>
      </c>
      <c r="O8" s="315">
        <f>1/(1+'[93]Asumsi I'!$C$3)^(KKF!A8)</f>
        <v>0.89285714285714279</v>
      </c>
      <c r="P8" s="316">
        <f ca="1">O8*N8</f>
        <v>-0.17786417740534813</v>
      </c>
      <c r="Q8" s="316">
        <f ca="1">Q7+P8</f>
        <v>-105.46920148866334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6336</v>
      </c>
      <c r="D9" s="316">
        <f t="shared" ref="D9:D32" si="5">C9*4/24</f>
        <v>1056</v>
      </c>
      <c r="E9" s="316">
        <f t="shared" si="0"/>
        <v>5280</v>
      </c>
      <c r="F9" s="314"/>
      <c r="G9" s="318">
        <f ca="1">DATA!$D$11/1000000</f>
        <v>2.3292579214150004</v>
      </c>
      <c r="H9" s="318">
        <f>C9*DATA!$D$5/1000000</f>
        <v>6.8690162907373971</v>
      </c>
      <c r="I9" s="318">
        <f>(C9*DATA!$D$5*DATA!$D$7)/1000000</f>
        <v>0.15455286654159142</v>
      </c>
      <c r="J9" s="316">
        <f t="shared" ca="1" si="1"/>
        <v>9.3528270786939895</v>
      </c>
      <c r="K9" s="316"/>
      <c r="L9" s="316">
        <f>((D9*DATA!$D$23)/1000000)+((E9*DATA!$D$24)/1000000)</f>
        <v>9.1536191999999996</v>
      </c>
      <c r="M9" s="316">
        <f t="shared" si="2"/>
        <v>9.1536191999999996</v>
      </c>
      <c r="N9" s="316">
        <f t="shared" ref="N9:N32" ca="1" si="6">M9-J9</f>
        <v>-0.19920787869398993</v>
      </c>
      <c r="O9" s="322">
        <f>1/(1+'[93]Asumsi I'!$C$3)^(KKF!A9)</f>
        <v>0.79719387755102034</v>
      </c>
      <c r="P9" s="316">
        <f t="shared" ref="P9:P32" ca="1" si="7">O9*N9</f>
        <v>-0.15880730125477513</v>
      </c>
      <c r="Q9" s="316">
        <f ca="1">Q8+P9</f>
        <v>-105.62800878991811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6336</v>
      </c>
      <c r="D10" s="316">
        <f t="shared" si="5"/>
        <v>1056</v>
      </c>
      <c r="E10" s="316">
        <f t="shared" si="0"/>
        <v>5280</v>
      </c>
      <c r="F10" s="314"/>
      <c r="G10" s="318">
        <f ca="1">DATA!$D$11/1000000</f>
        <v>2.3292579214150004</v>
      </c>
      <c r="H10" s="318">
        <f>C10*DATA!$D$5/1000000</f>
        <v>6.8690162907373971</v>
      </c>
      <c r="I10" s="318">
        <f>(C10*DATA!$D$5*DATA!$D$7)/1000000</f>
        <v>0.15455286654159142</v>
      </c>
      <c r="J10" s="316">
        <f t="shared" ca="1" si="1"/>
        <v>9.3528270786939895</v>
      </c>
      <c r="K10" s="314"/>
      <c r="L10" s="316">
        <f>((D10*DATA!$D$23)/1000000)+((E10*DATA!$D$24)/1000000)</f>
        <v>9.1536191999999996</v>
      </c>
      <c r="M10" s="316">
        <f t="shared" si="2"/>
        <v>9.1536191999999996</v>
      </c>
      <c r="N10" s="316">
        <f t="shared" ca="1" si="6"/>
        <v>-0.19920787869398993</v>
      </c>
      <c r="O10" s="315">
        <f>1/(1+'[93]Asumsi I'!$C$3)^(KKF!A10)</f>
        <v>0.71178024781341087</v>
      </c>
      <c r="P10" s="316">
        <f t="shared" ca="1" si="7"/>
        <v>-0.14179223326319204</v>
      </c>
      <c r="Q10" s="316">
        <f t="shared" ref="Q10:Q30" ca="1" si="9">Q9+P10</f>
        <v>-105.7698010231813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6336</v>
      </c>
      <c r="D11" s="316">
        <f t="shared" si="5"/>
        <v>1056</v>
      </c>
      <c r="E11" s="316">
        <f t="shared" si="0"/>
        <v>5280</v>
      </c>
      <c r="F11" s="314"/>
      <c r="G11" s="318">
        <f ca="1">DATA!$D$11/1000000</f>
        <v>2.3292579214150004</v>
      </c>
      <c r="H11" s="318">
        <f>C11*DATA!$D$5/1000000</f>
        <v>6.8690162907373971</v>
      </c>
      <c r="I11" s="318">
        <f>(C11*DATA!$D$5*DATA!$D$7)/1000000</f>
        <v>0.15455286654159142</v>
      </c>
      <c r="J11" s="316">
        <f t="shared" ca="1" si="1"/>
        <v>9.3528270786939895</v>
      </c>
      <c r="K11" s="314"/>
      <c r="L11" s="316">
        <f>((D11*DATA!$D$23)/1000000)+((E11*DATA!$D$24)/1000000)</f>
        <v>9.1536191999999996</v>
      </c>
      <c r="M11" s="316">
        <f t="shared" si="2"/>
        <v>9.1536191999999996</v>
      </c>
      <c r="N11" s="316">
        <f t="shared" ca="1" si="6"/>
        <v>-0.19920787869398993</v>
      </c>
      <c r="O11" s="315">
        <f>1/(1+'[93]Asumsi I'!$C$3)^(KKF!A11)</f>
        <v>0.63551807840483121</v>
      </c>
      <c r="P11" s="316">
        <f t="shared" ca="1" si="7"/>
        <v>-0.1266002082707072</v>
      </c>
      <c r="Q11" s="316">
        <f t="shared" ca="1" si="9"/>
        <v>-105.896401231452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6336</v>
      </c>
      <c r="D12" s="316">
        <f t="shared" si="5"/>
        <v>1056</v>
      </c>
      <c r="E12" s="316">
        <f t="shared" si="0"/>
        <v>5280</v>
      </c>
      <c r="F12" s="314"/>
      <c r="G12" s="318">
        <f ca="1">DATA!$D$11/1000000</f>
        <v>2.3292579214150004</v>
      </c>
      <c r="H12" s="318">
        <f>C12*DATA!$D$5/1000000</f>
        <v>6.8690162907373971</v>
      </c>
      <c r="I12" s="318">
        <f>(C12*DATA!$D$5*DATA!$D$7)/1000000</f>
        <v>0.15455286654159142</v>
      </c>
      <c r="J12" s="316">
        <f t="shared" ca="1" si="1"/>
        <v>9.3528270786939895</v>
      </c>
      <c r="K12" s="314"/>
      <c r="L12" s="316">
        <f>((D12*DATA!$D$23)/1000000)+((E12*DATA!$D$24)/1000000)</f>
        <v>9.1536191999999996</v>
      </c>
      <c r="M12" s="316">
        <f t="shared" si="2"/>
        <v>9.1536191999999996</v>
      </c>
      <c r="N12" s="316">
        <f t="shared" ca="1" si="6"/>
        <v>-0.19920787869398993</v>
      </c>
      <c r="O12" s="315">
        <f>1/(1+'[93]Asumsi I'!$C$3)^(KKF!A12)</f>
        <v>0.56742685571859919</v>
      </c>
      <c r="P12" s="316">
        <f t="shared" ca="1" si="7"/>
        <v>-0.11303590024170283</v>
      </c>
      <c r="Q12" s="316">
        <f t="shared" ca="1" si="9"/>
        <v>-106.0094371316937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6336</v>
      </c>
      <c r="D13" s="316">
        <f t="shared" si="5"/>
        <v>1056</v>
      </c>
      <c r="E13" s="316">
        <f t="shared" si="0"/>
        <v>5280</v>
      </c>
      <c r="F13" s="314"/>
      <c r="G13" s="318">
        <f ca="1">DATA!$D$11/1000000</f>
        <v>2.3292579214150004</v>
      </c>
      <c r="H13" s="318">
        <f>C13*DATA!$D$5/1000000</f>
        <v>6.8690162907373971</v>
      </c>
      <c r="I13" s="318">
        <f>(C13*DATA!$D$5*DATA!$D$7)/1000000</f>
        <v>0.15455286654159142</v>
      </c>
      <c r="J13" s="316">
        <f t="shared" ca="1" si="1"/>
        <v>9.3528270786939895</v>
      </c>
      <c r="K13" s="314"/>
      <c r="L13" s="316">
        <f>((D13*DATA!$D$23)/1000000)+((E13*DATA!$D$24)/1000000)</f>
        <v>9.1536191999999996</v>
      </c>
      <c r="M13" s="316">
        <f t="shared" si="2"/>
        <v>9.1536191999999996</v>
      </c>
      <c r="N13" s="316">
        <f t="shared" ca="1" si="6"/>
        <v>-0.19920787869398993</v>
      </c>
      <c r="O13" s="315">
        <f>1/(1+'[93]Asumsi I'!$C$3)^(KKF!A13)</f>
        <v>0.50663112117732068</v>
      </c>
      <c r="P13" s="316">
        <f t="shared" ca="1" si="7"/>
        <v>-0.1009249109300918</v>
      </c>
      <c r="Q13" s="316">
        <f t="shared" ca="1" si="9"/>
        <v>-106.11036204262379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6336</v>
      </c>
      <c r="D14" s="316">
        <f t="shared" si="5"/>
        <v>1056</v>
      </c>
      <c r="E14" s="316">
        <f t="shared" si="0"/>
        <v>5280</v>
      </c>
      <c r="F14" s="314"/>
      <c r="G14" s="318">
        <f ca="1">DATA!$D$11/1000000</f>
        <v>2.3292579214150004</v>
      </c>
      <c r="H14" s="318">
        <f>C14*DATA!$D$5/1000000</f>
        <v>6.8690162907373971</v>
      </c>
      <c r="I14" s="318">
        <f>(C14*DATA!$D$5*DATA!$D$7)/1000000</f>
        <v>0.15455286654159142</v>
      </c>
      <c r="J14" s="316">
        <f t="shared" ca="1" si="1"/>
        <v>9.3528270786939895</v>
      </c>
      <c r="K14" s="314"/>
      <c r="L14" s="316">
        <f>((D14*DATA!$D$23)/1000000)+((E14*DATA!$D$24)/1000000)</f>
        <v>9.1536191999999996</v>
      </c>
      <c r="M14" s="316">
        <f t="shared" si="2"/>
        <v>9.1536191999999996</v>
      </c>
      <c r="N14" s="316">
        <f t="shared" ca="1" si="6"/>
        <v>-0.19920787869398993</v>
      </c>
      <c r="O14" s="315">
        <f>1/(1+'[93]Asumsi I'!$C$3)^(KKF!A14)</f>
        <v>0.45234921533689343</v>
      </c>
      <c r="P14" s="316">
        <f t="shared" ca="1" si="7"/>
        <v>-9.0111527616153389E-2</v>
      </c>
      <c r="Q14" s="316">
        <f t="shared" ca="1" si="9"/>
        <v>-106.20047357023995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6336</v>
      </c>
      <c r="D15" s="316">
        <f t="shared" si="5"/>
        <v>1056</v>
      </c>
      <c r="E15" s="316">
        <f t="shared" si="0"/>
        <v>5280</v>
      </c>
      <c r="F15" s="314"/>
      <c r="G15" s="318">
        <f ca="1">DATA!$D$11/1000000</f>
        <v>2.3292579214150004</v>
      </c>
      <c r="H15" s="318">
        <f>C15*DATA!$D$5/1000000</f>
        <v>6.8690162907373971</v>
      </c>
      <c r="I15" s="318">
        <f>(C15*DATA!$D$5*DATA!$D$7)/1000000</f>
        <v>0.15455286654159142</v>
      </c>
      <c r="J15" s="316">
        <f t="shared" ca="1" si="1"/>
        <v>9.3528270786939895</v>
      </c>
      <c r="K15" s="314"/>
      <c r="L15" s="316">
        <f>((D15*DATA!$D$23)/1000000)+((E15*DATA!$D$24)/1000000)</f>
        <v>9.1536191999999996</v>
      </c>
      <c r="M15" s="316">
        <f t="shared" si="2"/>
        <v>9.1536191999999996</v>
      </c>
      <c r="N15" s="316">
        <f t="shared" ca="1" si="6"/>
        <v>-0.19920787869398993</v>
      </c>
      <c r="O15" s="315">
        <f>1/(1+'[93]Asumsi I'!$C$3)^(KKF!A15)</f>
        <v>0.4038832279793691</v>
      </c>
      <c r="P15" s="316">
        <f t="shared" ca="1" si="7"/>
        <v>-8.0456721085851238E-2</v>
      </c>
      <c r="Q15" s="316">
        <f t="shared" ca="1" si="9"/>
        <v>-106.2809302913258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6336</v>
      </c>
      <c r="D16" s="316">
        <f t="shared" si="5"/>
        <v>1056</v>
      </c>
      <c r="E16" s="316">
        <f t="shared" si="0"/>
        <v>5280</v>
      </c>
      <c r="F16" s="314"/>
      <c r="G16" s="318">
        <f ca="1">DATA!$D$11/1000000</f>
        <v>2.3292579214150004</v>
      </c>
      <c r="H16" s="318">
        <f>C16*DATA!$D$5/1000000</f>
        <v>6.8690162907373971</v>
      </c>
      <c r="I16" s="318">
        <f>(C16*DATA!$D$5*DATA!$D$7)/1000000</f>
        <v>0.15455286654159142</v>
      </c>
      <c r="J16" s="316">
        <f t="shared" ca="1" si="1"/>
        <v>9.3528270786939895</v>
      </c>
      <c r="K16" s="314"/>
      <c r="L16" s="316">
        <f>((D16*DATA!$D$23)/1000000)+((E16*DATA!$D$24)/1000000)</f>
        <v>9.1536191999999996</v>
      </c>
      <c r="M16" s="316">
        <f t="shared" si="2"/>
        <v>9.1536191999999996</v>
      </c>
      <c r="N16" s="316">
        <f t="shared" ca="1" si="6"/>
        <v>-0.19920787869398993</v>
      </c>
      <c r="O16" s="315">
        <f>1/(1+'[93]Asumsi I'!$C$3)^(KKF!A16)</f>
        <v>0.36061002498157957</v>
      </c>
      <c r="P16" s="316">
        <f t="shared" ca="1" si="7"/>
        <v>-7.1836358112367174E-2</v>
      </c>
      <c r="Q16" s="316">
        <f t="shared" ca="1" si="9"/>
        <v>-106.35276664943817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6336</v>
      </c>
      <c r="D17" s="316">
        <f t="shared" si="5"/>
        <v>1056</v>
      </c>
      <c r="E17" s="316">
        <f t="shared" si="0"/>
        <v>5280</v>
      </c>
      <c r="F17" s="314"/>
      <c r="G17" s="318">
        <f ca="1">DATA!$D$11/1000000</f>
        <v>2.3292579214150004</v>
      </c>
      <c r="H17" s="318">
        <f>C17*DATA!$D$5/1000000</f>
        <v>6.8690162907373971</v>
      </c>
      <c r="I17" s="318">
        <f>(C17*DATA!$D$5*DATA!$D$7)/1000000</f>
        <v>0.15455286654159142</v>
      </c>
      <c r="J17" s="316">
        <f t="shared" ca="1" si="1"/>
        <v>9.3528270786939895</v>
      </c>
      <c r="K17" s="314"/>
      <c r="L17" s="316">
        <f>((D17*DATA!$D$23)/1000000)+((E17*DATA!$D$24)/1000000)</f>
        <v>9.1536191999999996</v>
      </c>
      <c r="M17" s="316">
        <f t="shared" si="2"/>
        <v>9.1536191999999996</v>
      </c>
      <c r="N17" s="316">
        <f t="shared" ca="1" si="6"/>
        <v>-0.19920787869398993</v>
      </c>
      <c r="O17" s="315">
        <f>1/(1+'[93]Asumsi I'!$C$3)^(KKF!A17)</f>
        <v>0.32197323659069599</v>
      </c>
      <c r="P17" s="316">
        <f t="shared" ca="1" si="7"/>
        <v>-6.4139605457470689E-2</v>
      </c>
      <c r="Q17" s="316">
        <f t="shared" ca="1" si="9"/>
        <v>-106.41690625489564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6336</v>
      </c>
      <c r="D18" s="316">
        <f t="shared" si="5"/>
        <v>1056</v>
      </c>
      <c r="E18" s="316">
        <f t="shared" si="0"/>
        <v>5280</v>
      </c>
      <c r="F18" s="314"/>
      <c r="G18" s="318">
        <f ca="1">DATA!$D$11/1000000</f>
        <v>2.3292579214150004</v>
      </c>
      <c r="H18" s="318">
        <f>C18*DATA!$D$5/1000000</f>
        <v>6.8690162907373971</v>
      </c>
      <c r="I18" s="318">
        <f>(C18*DATA!$D$5*DATA!$D$7)/1000000</f>
        <v>0.15455286654159142</v>
      </c>
      <c r="J18" s="316">
        <f t="shared" ca="1" si="1"/>
        <v>9.3528270786939895</v>
      </c>
      <c r="K18" s="314"/>
      <c r="L18" s="316">
        <f>((D18*DATA!$D$23)/1000000)+((E18*DATA!$D$24)/1000000)</f>
        <v>9.1536191999999996</v>
      </c>
      <c r="M18" s="316">
        <f t="shared" si="2"/>
        <v>9.1536191999999996</v>
      </c>
      <c r="N18" s="316">
        <f t="shared" ca="1" si="6"/>
        <v>-0.19920787869398993</v>
      </c>
      <c r="O18" s="315">
        <f>1/(1+'[93]Asumsi I'!$C$3)^(KKF!A18)</f>
        <v>0.28747610409883567</v>
      </c>
      <c r="P18" s="316">
        <f t="shared" ca="1" si="7"/>
        <v>-5.7267504872741674E-2</v>
      </c>
      <c r="Q18" s="316">
        <f t="shared" ca="1" si="9"/>
        <v>-106.47417375976838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6336</v>
      </c>
      <c r="D19" s="316">
        <f t="shared" si="5"/>
        <v>1056</v>
      </c>
      <c r="E19" s="316">
        <f t="shared" si="0"/>
        <v>5280</v>
      </c>
      <c r="F19" s="314"/>
      <c r="G19" s="318">
        <f ca="1">DATA!$D$11/1000000</f>
        <v>2.3292579214150004</v>
      </c>
      <c r="H19" s="318">
        <f>C19*DATA!$D$5/1000000</f>
        <v>6.8690162907373971</v>
      </c>
      <c r="I19" s="318">
        <f>(C19*DATA!$D$5*DATA!$D$7)/1000000</f>
        <v>0.15455286654159142</v>
      </c>
      <c r="J19" s="316">
        <f t="shared" ca="1" si="1"/>
        <v>9.3528270786939895</v>
      </c>
      <c r="K19" s="314"/>
      <c r="L19" s="316">
        <f>((D19*DATA!$D$23)/1000000)+((E19*DATA!$D$24)/1000000)</f>
        <v>9.1536191999999996</v>
      </c>
      <c r="M19" s="316">
        <f t="shared" si="2"/>
        <v>9.1536191999999996</v>
      </c>
      <c r="N19" s="316">
        <f t="shared" ca="1" si="6"/>
        <v>-0.19920787869398993</v>
      </c>
      <c r="O19" s="315">
        <f>1/(1+'[93]Asumsi I'!$C$3)^(KKF!A19)</f>
        <v>0.25667509294538904</v>
      </c>
      <c r="P19" s="316">
        <f t="shared" ca="1" si="7"/>
        <v>-5.1131700779233652E-2</v>
      </c>
      <c r="Q19" s="316">
        <f t="shared" ca="1" si="9"/>
        <v>-106.52530546054761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6336</v>
      </c>
      <c r="D20" s="316">
        <f t="shared" si="5"/>
        <v>1056</v>
      </c>
      <c r="E20" s="316">
        <f t="shared" si="0"/>
        <v>5280</v>
      </c>
      <c r="F20" s="314"/>
      <c r="G20" s="318">
        <f ca="1">DATA!$D$11/1000000</f>
        <v>2.3292579214150004</v>
      </c>
      <c r="H20" s="318">
        <f>C20*DATA!$D$5/1000000</f>
        <v>6.8690162907373971</v>
      </c>
      <c r="I20" s="318">
        <f>(C20*DATA!$D$5*DATA!$D$7)/1000000</f>
        <v>0.15455286654159142</v>
      </c>
      <c r="J20" s="316">
        <f t="shared" ca="1" si="1"/>
        <v>9.3528270786939895</v>
      </c>
      <c r="K20" s="314"/>
      <c r="L20" s="316">
        <f>((D20*DATA!$D$23)/1000000)+((E20*DATA!$D$24)/1000000)</f>
        <v>9.1536191999999996</v>
      </c>
      <c r="M20" s="316">
        <f t="shared" si="2"/>
        <v>9.1536191999999996</v>
      </c>
      <c r="N20" s="316">
        <f t="shared" ca="1" si="6"/>
        <v>-0.19920787869398993</v>
      </c>
      <c r="O20" s="315">
        <f>1/(1+'[93]Asumsi I'!$C$3)^(KKF!A20)</f>
        <v>0.22917419012981158</v>
      </c>
      <c r="P20" s="316">
        <f t="shared" ca="1" si="7"/>
        <v>-4.5653304267172887E-2</v>
      </c>
      <c r="Q20" s="316">
        <f t="shared" ca="1" si="9"/>
        <v>-106.57095876481479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6336</v>
      </c>
      <c r="D21" s="316">
        <f t="shared" si="5"/>
        <v>1056</v>
      </c>
      <c r="E21" s="316">
        <f t="shared" si="0"/>
        <v>5280</v>
      </c>
      <c r="F21" s="314"/>
      <c r="G21" s="318">
        <f ca="1">DATA!$D$11/1000000</f>
        <v>2.3292579214150004</v>
      </c>
      <c r="H21" s="318">
        <f>C21*DATA!$D$5/1000000</f>
        <v>6.8690162907373971</v>
      </c>
      <c r="I21" s="318">
        <f>(C21*DATA!$D$5*DATA!$D$7)/1000000</f>
        <v>0.15455286654159142</v>
      </c>
      <c r="J21" s="316">
        <f t="shared" ca="1" si="1"/>
        <v>9.3528270786939895</v>
      </c>
      <c r="K21" s="314"/>
      <c r="L21" s="316">
        <f>((D21*DATA!$D$23)/1000000)+((E21*DATA!$D$24)/1000000)</f>
        <v>9.1536191999999996</v>
      </c>
      <c r="M21" s="316">
        <f t="shared" si="2"/>
        <v>9.1536191999999996</v>
      </c>
      <c r="N21" s="316">
        <f t="shared" ca="1" si="6"/>
        <v>-0.19920787869398993</v>
      </c>
      <c r="O21" s="315">
        <f>1/(1+'[93]Asumsi I'!$C$3)^(KKF!A21)</f>
        <v>0.20461981261590317</v>
      </c>
      <c r="P21" s="316">
        <f t="shared" ca="1" si="7"/>
        <v>-4.0761878809975789E-2</v>
      </c>
      <c r="Q21" s="316">
        <f t="shared" ca="1" si="9"/>
        <v>-106.61172064362476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6336</v>
      </c>
      <c r="D22" s="316">
        <f t="shared" si="5"/>
        <v>1056</v>
      </c>
      <c r="E22" s="316">
        <f t="shared" si="0"/>
        <v>5280</v>
      </c>
      <c r="F22" s="314"/>
      <c r="G22" s="318">
        <f ca="1">DATA!$D$11/1000000</f>
        <v>2.3292579214150004</v>
      </c>
      <c r="H22" s="318">
        <f>C22*DATA!$D$5/1000000</f>
        <v>6.8690162907373971</v>
      </c>
      <c r="I22" s="318">
        <f>(C22*DATA!$D$5*DATA!$D$7)/1000000</f>
        <v>0.15455286654159142</v>
      </c>
      <c r="J22" s="316">
        <f t="shared" ca="1" si="1"/>
        <v>9.3528270786939895</v>
      </c>
      <c r="K22" s="314"/>
      <c r="L22" s="316">
        <f>((D22*DATA!$D$23)/1000000)+((E22*DATA!$D$24)/1000000)</f>
        <v>9.1536191999999996</v>
      </c>
      <c r="M22" s="316">
        <f t="shared" si="2"/>
        <v>9.1536191999999996</v>
      </c>
      <c r="N22" s="316">
        <f t="shared" ca="1" si="6"/>
        <v>-0.19920787869398993</v>
      </c>
      <c r="O22" s="315">
        <f>1/(1+'[93]Asumsi I'!$C$3)^(KKF!A22)</f>
        <v>0.18269626126419927</v>
      </c>
      <c r="P22" s="316">
        <f t="shared" ca="1" si="7"/>
        <v>-3.63945346517641E-2</v>
      </c>
      <c r="Q22" s="316">
        <f t="shared" ca="1" si="9"/>
        <v>-106.64811517827653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6336</v>
      </c>
      <c r="D23" s="316">
        <f t="shared" si="5"/>
        <v>1056</v>
      </c>
      <c r="E23" s="316">
        <f t="shared" si="0"/>
        <v>5280</v>
      </c>
      <c r="F23" s="314"/>
      <c r="G23" s="318">
        <f ca="1">DATA!$D$11/1000000</f>
        <v>2.3292579214150004</v>
      </c>
      <c r="H23" s="318">
        <f>C23*DATA!$D$5/1000000</f>
        <v>6.8690162907373971</v>
      </c>
      <c r="I23" s="318">
        <f>(C23*DATA!$D$5*DATA!$D$7)/1000000</f>
        <v>0.15455286654159142</v>
      </c>
      <c r="J23" s="316">
        <f t="shared" ca="1" si="1"/>
        <v>9.3528270786939895</v>
      </c>
      <c r="K23" s="314"/>
      <c r="L23" s="316">
        <f>((D23*DATA!$D$23)/1000000)+((E23*DATA!$D$24)/1000000)</f>
        <v>9.1536191999999996</v>
      </c>
      <c r="M23" s="316">
        <f t="shared" si="2"/>
        <v>9.1536191999999996</v>
      </c>
      <c r="N23" s="316">
        <f t="shared" ca="1" si="6"/>
        <v>-0.19920787869398993</v>
      </c>
      <c r="O23" s="315">
        <f>1/(1+'[93]Asumsi I'!$C$3)^(KKF!A23)</f>
        <v>0.16312166184303503</v>
      </c>
      <c r="P23" s="316">
        <f t="shared" ca="1" si="7"/>
        <v>-3.249512022478937E-2</v>
      </c>
      <c r="Q23" s="316">
        <f t="shared" ca="1" si="9"/>
        <v>-106.68061029850132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6336</v>
      </c>
      <c r="D24" s="316">
        <f t="shared" si="5"/>
        <v>1056</v>
      </c>
      <c r="E24" s="316">
        <f t="shared" si="0"/>
        <v>5280</v>
      </c>
      <c r="F24" s="314"/>
      <c r="G24" s="318">
        <f ca="1">DATA!$D$11/1000000</f>
        <v>2.3292579214150004</v>
      </c>
      <c r="H24" s="318">
        <f>C24*DATA!$D$5/1000000</f>
        <v>6.8690162907373971</v>
      </c>
      <c r="I24" s="318">
        <f>(C24*DATA!$D$5*DATA!$D$7)/1000000</f>
        <v>0.15455286654159142</v>
      </c>
      <c r="J24" s="316">
        <f t="shared" ca="1" si="1"/>
        <v>9.3528270786939895</v>
      </c>
      <c r="K24" s="314"/>
      <c r="L24" s="316">
        <f>((D24*DATA!$D$23)/1000000)+((E24*DATA!$D$24)/1000000)</f>
        <v>9.1536191999999996</v>
      </c>
      <c r="M24" s="316">
        <f t="shared" si="2"/>
        <v>9.1536191999999996</v>
      </c>
      <c r="N24" s="316">
        <f t="shared" ca="1" si="6"/>
        <v>-0.19920787869398993</v>
      </c>
      <c r="O24" s="315">
        <f>1/(1+'[93]Asumsi I'!$C$3)^(KKF!A24)</f>
        <v>0.14564434093128129</v>
      </c>
      <c r="P24" s="316">
        <f t="shared" ca="1" si="7"/>
        <v>-2.9013500200704794E-2</v>
      </c>
      <c r="Q24" s="316">
        <f t="shared" ca="1" si="9"/>
        <v>-106.70962379870203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6336</v>
      </c>
      <c r="D25" s="316">
        <f t="shared" si="5"/>
        <v>1056</v>
      </c>
      <c r="E25" s="316">
        <f t="shared" si="0"/>
        <v>5280</v>
      </c>
      <c r="F25" s="314"/>
      <c r="G25" s="318">
        <f ca="1">DATA!$D$11/1000000</f>
        <v>2.3292579214150004</v>
      </c>
      <c r="H25" s="318">
        <f>C25*DATA!$D$5/1000000</f>
        <v>6.8690162907373971</v>
      </c>
      <c r="I25" s="318">
        <f>(C25*DATA!$D$5*DATA!$D$7)/1000000</f>
        <v>0.15455286654159142</v>
      </c>
      <c r="J25" s="316">
        <f t="shared" ca="1" si="1"/>
        <v>9.3528270786939895</v>
      </c>
      <c r="K25" s="314"/>
      <c r="L25" s="316">
        <f>((D25*DATA!$D$23)/1000000)+((E25*DATA!$D$24)/1000000)</f>
        <v>9.1536191999999996</v>
      </c>
      <c r="M25" s="316">
        <f t="shared" si="2"/>
        <v>9.1536191999999996</v>
      </c>
      <c r="N25" s="316">
        <f t="shared" ca="1" si="6"/>
        <v>-0.19920787869398993</v>
      </c>
      <c r="O25" s="315">
        <f>1/(1+'[93]Asumsi I'!$C$3)^(KKF!A25)</f>
        <v>0.13003959011721541</v>
      </c>
      <c r="P25" s="316">
        <f t="shared" ca="1" si="7"/>
        <v>-2.590491089348642E-2</v>
      </c>
      <c r="Q25" s="316">
        <f t="shared" ca="1" si="9"/>
        <v>-106.73552870959551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6336</v>
      </c>
      <c r="D26" s="316">
        <f t="shared" si="5"/>
        <v>1056</v>
      </c>
      <c r="E26" s="316">
        <f t="shared" si="0"/>
        <v>5280</v>
      </c>
      <c r="F26" s="314"/>
      <c r="G26" s="318">
        <f ca="1">DATA!$D$11/1000000</f>
        <v>2.3292579214150004</v>
      </c>
      <c r="H26" s="318">
        <f>C26*DATA!$D$5/1000000</f>
        <v>6.8690162907373971</v>
      </c>
      <c r="I26" s="318">
        <f>(C26*DATA!$D$5*DATA!$D$7)/1000000</f>
        <v>0.15455286654159142</v>
      </c>
      <c r="J26" s="316">
        <f t="shared" ca="1" si="1"/>
        <v>9.3528270786939895</v>
      </c>
      <c r="K26" s="314"/>
      <c r="L26" s="316">
        <f>((D26*DATA!$D$23)/1000000)+((E26*DATA!$D$24)/1000000)</f>
        <v>9.1536191999999996</v>
      </c>
      <c r="M26" s="316">
        <f t="shared" si="2"/>
        <v>9.1536191999999996</v>
      </c>
      <c r="N26" s="316">
        <f t="shared" ca="1" si="6"/>
        <v>-0.19920787869398993</v>
      </c>
      <c r="O26" s="315">
        <f>1/(1+'[93]Asumsi I'!$C$3)^(KKF!A26)</f>
        <v>0.1161067768903709</v>
      </c>
      <c r="P26" s="316">
        <f t="shared" ca="1" si="7"/>
        <v>-2.3129384726327158E-2</v>
      </c>
      <c r="Q26" s="316">
        <f t="shared" ca="1" si="9"/>
        <v>-106.75865809432185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6336</v>
      </c>
      <c r="D27" s="316">
        <f t="shared" si="5"/>
        <v>1056</v>
      </c>
      <c r="E27" s="316">
        <f t="shared" si="0"/>
        <v>5280</v>
      </c>
      <c r="F27" s="314"/>
      <c r="G27" s="318">
        <f ca="1">DATA!$D$11/1000000</f>
        <v>2.3292579214150004</v>
      </c>
      <c r="H27" s="318">
        <f>C27*DATA!$D$5/1000000</f>
        <v>6.8690162907373971</v>
      </c>
      <c r="I27" s="318">
        <f>(C27*DATA!$D$5*DATA!$D$7)/1000000</f>
        <v>0.15455286654159142</v>
      </c>
      <c r="J27" s="316">
        <f t="shared" ca="1" si="1"/>
        <v>9.3528270786939895</v>
      </c>
      <c r="K27" s="314"/>
      <c r="L27" s="316">
        <f>((D27*DATA!$D$23)/1000000)+((E27*DATA!$D$24)/1000000)</f>
        <v>9.1536191999999996</v>
      </c>
      <c r="M27" s="316">
        <f t="shared" si="2"/>
        <v>9.1536191999999996</v>
      </c>
      <c r="N27" s="316">
        <f t="shared" ca="1" si="6"/>
        <v>-0.19920787869398993</v>
      </c>
      <c r="O27" s="315">
        <f>1/(1+'[93]Asumsi I'!$C$3)^(KKF!A27)</f>
        <v>0.1036667650806883</v>
      </c>
      <c r="P27" s="316">
        <f t="shared" ca="1" si="7"/>
        <v>-2.0651236362792105E-2</v>
      </c>
      <c r="Q27" s="316">
        <f t="shared" ca="1" si="9"/>
        <v>-106.77930933068464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6336</v>
      </c>
      <c r="D28" s="316">
        <f t="shared" si="5"/>
        <v>1056</v>
      </c>
      <c r="E28" s="316">
        <f t="shared" si="0"/>
        <v>5280</v>
      </c>
      <c r="F28" s="314"/>
      <c r="G28" s="318">
        <f ca="1">DATA!$D$11/1000000</f>
        <v>2.3292579214150004</v>
      </c>
      <c r="H28" s="318">
        <f>C28*DATA!$D$5/1000000</f>
        <v>6.8690162907373971</v>
      </c>
      <c r="I28" s="318">
        <f>(C28*DATA!$D$5*DATA!$D$7)/1000000</f>
        <v>0.15455286654159142</v>
      </c>
      <c r="J28" s="316">
        <f t="shared" ca="1" si="1"/>
        <v>9.3528270786939895</v>
      </c>
      <c r="K28" s="314"/>
      <c r="L28" s="316">
        <f>((D28*DATA!$D$23)/1000000)+((E28*DATA!$D$24)/1000000)</f>
        <v>9.1536191999999996</v>
      </c>
      <c r="M28" s="316">
        <f t="shared" si="2"/>
        <v>9.1536191999999996</v>
      </c>
      <c r="N28" s="316">
        <f t="shared" ca="1" si="6"/>
        <v>-0.19920787869398993</v>
      </c>
      <c r="O28" s="315">
        <f>1/(1+'[93]Asumsi I'!$C$3)^(KKF!A28)</f>
        <v>9.2559611679185971E-2</v>
      </c>
      <c r="P28" s="316">
        <f t="shared" ca="1" si="7"/>
        <v>-1.8438603895350091E-2</v>
      </c>
      <c r="Q28" s="316">
        <f t="shared" ca="1" si="9"/>
        <v>-106.79774793457999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6336</v>
      </c>
      <c r="D29" s="316">
        <f t="shared" si="5"/>
        <v>1056</v>
      </c>
      <c r="E29" s="316">
        <f t="shared" si="0"/>
        <v>5280</v>
      </c>
      <c r="F29" s="314"/>
      <c r="G29" s="318">
        <f ca="1">DATA!$D$11/1000000</f>
        <v>2.3292579214150004</v>
      </c>
      <c r="H29" s="318">
        <f>C29*DATA!$D$5/1000000</f>
        <v>6.8690162907373971</v>
      </c>
      <c r="I29" s="318">
        <f>(C29*DATA!$D$5*DATA!$D$7)/1000000</f>
        <v>0.15455286654159142</v>
      </c>
      <c r="J29" s="316">
        <f t="shared" ca="1" si="1"/>
        <v>9.3528270786939895</v>
      </c>
      <c r="K29" s="314"/>
      <c r="L29" s="316">
        <f>((D29*DATA!$D$23)/1000000)+((E29*DATA!$D$24)/1000000)</f>
        <v>9.1536191999999996</v>
      </c>
      <c r="M29" s="316">
        <f t="shared" si="2"/>
        <v>9.1536191999999996</v>
      </c>
      <c r="N29" s="316">
        <f t="shared" ca="1" si="6"/>
        <v>-0.19920787869398993</v>
      </c>
      <c r="O29" s="315">
        <f>1/(1+'[93]Asumsi I'!$C$3)^(KKF!A29)</f>
        <v>8.2642510427844609E-2</v>
      </c>
      <c r="P29" s="316">
        <f t="shared" ca="1" si="7"/>
        <v>-1.6463039192276867E-2</v>
      </c>
      <c r="Q29" s="316">
        <f t="shared" ca="1" si="9"/>
        <v>-106.81421097377226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6336</v>
      </c>
      <c r="D30" s="316">
        <f t="shared" si="5"/>
        <v>1056</v>
      </c>
      <c r="E30" s="316">
        <f t="shared" si="0"/>
        <v>5280</v>
      </c>
      <c r="F30" s="314"/>
      <c r="G30" s="318">
        <f ca="1">DATA!$D$11/1000000</f>
        <v>2.3292579214150004</v>
      </c>
      <c r="H30" s="318">
        <f>C30*DATA!$D$5/1000000</f>
        <v>6.8690162907373971</v>
      </c>
      <c r="I30" s="318">
        <f>(C30*DATA!$D$5*DATA!$D$7)/1000000</f>
        <v>0.15455286654159142</v>
      </c>
      <c r="J30" s="316">
        <f t="shared" ca="1" si="1"/>
        <v>9.3528270786939895</v>
      </c>
      <c r="K30" s="314"/>
      <c r="L30" s="316">
        <f>((D30*DATA!$D$23)/1000000)+((E30*DATA!$D$24)/1000000)</f>
        <v>9.1536191999999996</v>
      </c>
      <c r="M30" s="316">
        <f t="shared" si="2"/>
        <v>9.1536191999999996</v>
      </c>
      <c r="N30" s="316">
        <f t="shared" ca="1" si="6"/>
        <v>-0.19920787869398993</v>
      </c>
      <c r="O30" s="315">
        <f>1/(1+'[93]Asumsi I'!$C$3)^(KKF!A30)</f>
        <v>7.3787955739146982E-2</v>
      </c>
      <c r="P30" s="316">
        <f t="shared" ca="1" si="7"/>
        <v>-1.469914213596149E-2</v>
      </c>
      <c r="Q30" s="316">
        <f t="shared" ca="1" si="9"/>
        <v>-106.82891011590823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6336</v>
      </c>
      <c r="D31" s="316">
        <f t="shared" si="5"/>
        <v>1056</v>
      </c>
      <c r="E31" s="316">
        <f t="shared" si="0"/>
        <v>5280</v>
      </c>
      <c r="F31" s="314"/>
      <c r="G31" s="318">
        <f ca="1">DATA!$D$11/1000000</f>
        <v>2.3292579214150004</v>
      </c>
      <c r="H31" s="318">
        <f>C31*DATA!$D$5/1000000</f>
        <v>6.8690162907373971</v>
      </c>
      <c r="I31" s="318">
        <f>(C31*DATA!$D$5*DATA!$D$7)/1000000</f>
        <v>0.15455286654159142</v>
      </c>
      <c r="J31" s="316">
        <f t="shared" ca="1" si="1"/>
        <v>9.3528270786939895</v>
      </c>
      <c r="K31" s="314"/>
      <c r="L31" s="316">
        <f>((D31*DATA!$D$23)/1000000)+((E31*DATA!$D$24)/1000000)</f>
        <v>9.1536191999999996</v>
      </c>
      <c r="M31" s="316">
        <f t="shared" si="2"/>
        <v>9.1536191999999996</v>
      </c>
      <c r="N31" s="316">
        <f t="shared" ca="1" si="6"/>
        <v>-0.19920787869398993</v>
      </c>
      <c r="O31" s="315">
        <f>1/(1+'[93]Asumsi I'!$C$3)^(KKF!A31)</f>
        <v>6.5882103338524081E-2</v>
      </c>
      <c r="P31" s="316">
        <f t="shared" ca="1" si="7"/>
        <v>-1.3124234049965613E-2</v>
      </c>
      <c r="Q31" s="316">
        <f ca="1">Q30+P31</f>
        <v>-106.8420343499582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6336</v>
      </c>
      <c r="D32" s="316">
        <f t="shared" si="5"/>
        <v>1056</v>
      </c>
      <c r="E32" s="316">
        <f t="shared" si="0"/>
        <v>5280</v>
      </c>
      <c r="F32" s="314"/>
      <c r="G32" s="318">
        <f ca="1">DATA!$D$11/1000000</f>
        <v>2.3292579214150004</v>
      </c>
      <c r="H32" s="318">
        <f>C32*DATA!$D$5/1000000</f>
        <v>6.8690162907373971</v>
      </c>
      <c r="I32" s="318">
        <f>(C32*DATA!$D$5*DATA!$D$7)/1000000</f>
        <v>0.15455286654159142</v>
      </c>
      <c r="J32" s="316">
        <f t="shared" ca="1" si="1"/>
        <v>9.3528270786939895</v>
      </c>
      <c r="K32" s="314"/>
      <c r="L32" s="316">
        <f>((D32*DATA!$D$23)/1000000)+((E32*DATA!$D$24)/1000000)</f>
        <v>9.1536191999999996</v>
      </c>
      <c r="M32" s="316">
        <f t="shared" si="2"/>
        <v>9.1536191999999996</v>
      </c>
      <c r="N32" s="316">
        <f t="shared" ca="1" si="6"/>
        <v>-0.19920787869398993</v>
      </c>
      <c r="O32" s="315">
        <f>1/(1+'[93]Asumsi I'!$C$3)^(KKF!A32)</f>
        <v>5.8823306552253637E-2</v>
      </c>
      <c r="P32" s="316">
        <f t="shared" ca="1" si="7"/>
        <v>-1.1718066116040725E-2</v>
      </c>
      <c r="Q32" s="316">
        <f ca="1">Q31+P32</f>
        <v>-106.85375241607424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18" t="s">
        <v>1374</v>
      </c>
      <c r="G33" s="618"/>
      <c r="H33" s="618"/>
      <c r="I33" s="324"/>
      <c r="J33" s="325">
        <f ca="1">SUM(J7:J32)</f>
        <v>354.95402067860749</v>
      </c>
      <c r="K33" s="618" t="s">
        <v>1375</v>
      </c>
      <c r="L33" s="618"/>
      <c r="M33" s="325">
        <f>SUM(M7:M32)</f>
        <v>244.68248640000007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-608.07506462801643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0.68933572278519817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-95.405136085780569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22" priority="1" stopIfTrue="1" operator="greaterThanOrEqual">
      <formula>$F$7</formula>
    </cfRule>
    <cfRule type="cellIs" dxfId="21" priority="2" stopIfTrue="1" operator="lessThan">
      <formula>$F$7</formula>
    </cfRule>
  </conditionalFormatting>
  <conditionalFormatting sqref="Q7:Q32">
    <cfRule type="cellIs" dxfId="20" priority="3" operator="lessThan">
      <formula>0</formula>
    </cfRule>
    <cfRule type="cellIs" dxfId="19" priority="4" operator="lessThan">
      <formula>0</formula>
    </cfRule>
    <cfRule type="cellIs" dxfId="18" priority="5" operator="lessThan">
      <formula>-6395.81</formula>
    </cfRule>
    <cfRule type="cellIs" dxfId="17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140"/>
  <sheetViews>
    <sheetView showGridLines="0" tabSelected="1" zoomScale="70" zoomScaleNormal="70" zoomScaleSheetLayoutView="70" workbookViewId="0">
      <pane ySplit="13" topLeftCell="A80" activePane="bottomLeft" state="frozen"/>
      <selection activeCell="H1093" sqref="H1093"/>
      <selection pane="bottomLeft" activeCell="F93" sqref="F93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12" customWidth="1"/>
    <col min="4" max="4" width="13.7109375" style="412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41" t="s">
        <v>1036</v>
      </c>
      <c r="P3" s="641"/>
      <c r="Q3" s="346"/>
      <c r="T3" s="344"/>
      <c r="U3" s="345" t="s">
        <v>1041</v>
      </c>
      <c r="V3" s="344"/>
    </row>
    <row r="4" spans="1:22" ht="18.75">
      <c r="B4" s="642" t="s">
        <v>1023</v>
      </c>
      <c r="C4" s="642"/>
      <c r="D4" s="642"/>
      <c r="E4" s="642"/>
      <c r="F4" s="642"/>
      <c r="G4" s="642"/>
      <c r="H4" s="642"/>
      <c r="I4" s="642"/>
      <c r="J4" s="642"/>
      <c r="K4" s="642"/>
      <c r="O4" s="641"/>
      <c r="P4" s="641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5" t="str">
        <f>DATA!D14</f>
        <v>PERCETAKAN HAMDAN</v>
      </c>
      <c r="H6" s="625"/>
      <c r="I6" s="625"/>
      <c r="J6" s="625"/>
      <c r="K6" s="625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1640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1551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44" t="s">
        <v>0</v>
      </c>
      <c r="C11" s="646" t="s">
        <v>1</v>
      </c>
      <c r="D11" s="635" t="s">
        <v>42</v>
      </c>
      <c r="E11" s="635" t="s">
        <v>43</v>
      </c>
      <c r="F11" s="635" t="s">
        <v>2</v>
      </c>
      <c r="G11" s="649" t="s">
        <v>41</v>
      </c>
      <c r="H11" s="635" t="s">
        <v>3</v>
      </c>
      <c r="I11" s="635"/>
      <c r="J11" s="635"/>
      <c r="K11" s="636"/>
      <c r="O11" s="351"/>
      <c r="P11" s="352"/>
      <c r="Q11" s="351"/>
      <c r="S11" s="353"/>
      <c r="T11" s="354"/>
      <c r="U11" s="354"/>
      <c r="V11" s="354"/>
    </row>
    <row r="12" spans="1:22">
      <c r="B12" s="645"/>
      <c r="C12" s="647"/>
      <c r="D12" s="639"/>
      <c r="E12" s="639"/>
      <c r="F12" s="639"/>
      <c r="G12" s="650"/>
      <c r="H12" s="637" t="s">
        <v>46</v>
      </c>
      <c r="I12" s="637" t="s">
        <v>5</v>
      </c>
      <c r="J12" s="639" t="s">
        <v>47</v>
      </c>
      <c r="K12" s="640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45"/>
      <c r="C13" s="648"/>
      <c r="D13" s="639"/>
      <c r="E13" s="639"/>
      <c r="F13" s="639"/>
      <c r="G13" s="651"/>
      <c r="H13" s="638"/>
      <c r="I13" s="638"/>
      <c r="J13" s="639"/>
      <c r="K13" s="640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8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 s="370" customFormat="1">
      <c r="A15" s="336" t="e">
        <f>IF(AND(C15=0,#REF!=0,#REF!=0),"BLANKS",1)</f>
        <v>#REF!</v>
      </c>
      <c r="B15" s="366" t="s">
        <v>10</v>
      </c>
      <c r="C15" s="367" t="s">
        <v>1455</v>
      </c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368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  <c r="L15" s="369"/>
      <c r="M15" s="369"/>
      <c r="N15" s="369"/>
      <c r="O15" s="363"/>
      <c r="P15" s="363"/>
      <c r="Q15" s="344"/>
      <c r="R15" s="336"/>
      <c r="S15" s="364"/>
      <c r="T15" s="341"/>
      <c r="U15" s="341"/>
      <c r="V15" s="341"/>
    </row>
    <row r="16" spans="1:22" s="370" customFormat="1">
      <c r="A16" s="336"/>
      <c r="B16" s="356"/>
      <c r="C16" s="357"/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368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" ca="1" si="8">IF(OR(D16="MDU",D16="MDU-KD"),(IF($O$3="RAB NON MDU","PLN KD",G16*F16)),0)</f>
        <v>0</v>
      </c>
      <c r="I16" s="361">
        <f t="shared" ref="I16" ca="1" si="9">IF(D16="HDW",G16*F16,0)</f>
        <v>0</v>
      </c>
      <c r="J16" s="361">
        <f t="shared" ref="J16" ca="1" si="10">IF(D16="JASA",G16*F16,0)</f>
        <v>0</v>
      </c>
      <c r="K16" s="362">
        <f t="shared" ref="K16" ca="1" si="11">SUM(H16:J16)</f>
        <v>0</v>
      </c>
      <c r="L16" s="369"/>
      <c r="M16" s="369"/>
      <c r="N16" s="369"/>
      <c r="O16" s="363"/>
      <c r="P16" s="363"/>
      <c r="Q16" s="344"/>
      <c r="R16" s="336"/>
      <c r="S16" s="364"/>
      <c r="T16" s="341"/>
      <c r="U16" s="341"/>
      <c r="V16" s="341"/>
    </row>
    <row r="17" spans="1:22" s="370" customFormat="1">
      <c r="A17" s="336"/>
      <c r="B17" s="356">
        <v>1</v>
      </c>
      <c r="C17" s="109" t="s">
        <v>103</v>
      </c>
      <c r="D17" s="358" t="str">
        <f ca="1">IF(ISERROR(OFFSET('HARGA SATUAN'!$D$6,MATCH(RAB!C17,'HARGA SATUAN'!$C$7:$C$1492,0),0)),"",OFFSET('HARGA SATUAN'!$D$6,MATCH(RAB!C17,'HARGA SATUAN'!$C$7:$C$1492,0),0))</f>
        <v>HDW</v>
      </c>
      <c r="E17" s="359" t="str">
        <f ca="1">IF(B17="+","Unit",IF(ISERROR(OFFSET('HARGA SATUAN'!$E$6,MATCH(RAB!C17,'HARGA SATUAN'!$C$7:$C$1492,0),0)),"",OFFSET('HARGA SATUAN'!$E$6,MATCH(RAB!C17,'HARGA SATUAN'!$C$7:$C$1492,0),0)))</f>
        <v>Btg</v>
      </c>
      <c r="F17" s="368">
        <v>2</v>
      </c>
      <c r="G17" s="360">
        <f ca="1">IF(ISERROR(OFFSET('HARGA SATUAN'!$I$6,MATCH(RAB!C17,'HARGA SATUAN'!$C$7:$C$1492,0),0)),0,OFFSET('HARGA SATUAN'!$I$6,MATCH(RAB!C17,'HARGA SATUAN'!$C$7:$C$1492,0),0))</f>
        <v>5800000</v>
      </c>
      <c r="H17" s="361">
        <f t="shared" ref="H17" ca="1" si="12">IF(OR(D17="MDU",D17="MDU-KD"),(IF($O$3="RAB NON MDU","PLN KD",G17*F17)),0)</f>
        <v>0</v>
      </c>
      <c r="I17" s="361">
        <f t="shared" ref="I17" ca="1" si="13">IF(D17="HDW",G17*F17,0)</f>
        <v>11600000</v>
      </c>
      <c r="J17" s="361">
        <f t="shared" ref="J17" ca="1" si="14">IF(D17="JASA",G17*F17,0)</f>
        <v>0</v>
      </c>
      <c r="K17" s="362">
        <f t="shared" ref="K17" ca="1" si="15">SUM(H17:J17)</f>
        <v>11600000</v>
      </c>
      <c r="L17" s="369"/>
      <c r="M17" s="369"/>
      <c r="N17" s="369"/>
      <c r="O17" s="363"/>
      <c r="P17" s="363"/>
      <c r="Q17" s="344"/>
      <c r="R17" s="336"/>
      <c r="S17" s="364"/>
      <c r="T17" s="341"/>
      <c r="U17" s="341"/>
      <c r="V17" s="341"/>
    </row>
    <row r="18" spans="1:22" s="370" customFormat="1">
      <c r="A18" s="336"/>
      <c r="B18" s="356">
        <v>2</v>
      </c>
      <c r="C18" s="109" t="s">
        <v>101</v>
      </c>
      <c r="D18" s="358" t="str">
        <f ca="1">IF(ISERROR(OFFSET('HARGA SATUAN'!$D$6,MATCH(RAB!C18,'HARGA SATUAN'!$C$7:$C$1492,0),0)),"",OFFSET('HARGA SATUAN'!$D$6,MATCH(RAB!C18,'HARGA SATUAN'!$C$7:$C$1492,0),0))</f>
        <v>HDW</v>
      </c>
      <c r="E18" s="359" t="str">
        <f ca="1">IF(B18="+","Unit",IF(ISERROR(OFFSET('HARGA SATUAN'!$E$6,MATCH(RAB!C18,'HARGA SATUAN'!$C$7:$C$1492,0),0)),"",OFFSET('HARGA SATUAN'!$E$6,MATCH(RAB!C18,'HARGA SATUAN'!$C$7:$C$1492,0),0)))</f>
        <v>Btg</v>
      </c>
      <c r="F18" s="368">
        <v>3</v>
      </c>
      <c r="G18" s="360">
        <f ca="1">IF(ISERROR(OFFSET('HARGA SATUAN'!$I$6,MATCH(RAB!C18,'HARGA SATUAN'!$C$7:$C$1492,0),0)),0,OFFSET('HARGA SATUAN'!$I$6,MATCH(RAB!C18,'HARGA SATUAN'!$C$7:$C$1492,0),0))</f>
        <v>3382600</v>
      </c>
      <c r="H18" s="361">
        <f t="shared" ref="H18:H20" ca="1" si="16">IF(OR(D18="MDU",D18="MDU-KD"),(IF($O$3="RAB NON MDU","PLN KD",G18*F18)),0)</f>
        <v>0</v>
      </c>
      <c r="I18" s="361">
        <f t="shared" ref="I18:I20" ca="1" si="17">IF(D18="HDW",G18*F18,0)</f>
        <v>10147800</v>
      </c>
      <c r="J18" s="361">
        <f t="shared" ref="J18:J20" ca="1" si="18">IF(D18="JASA",G18*F18,0)</f>
        <v>0</v>
      </c>
      <c r="K18" s="362">
        <f t="shared" ref="K18:K20" ca="1" si="19">SUM(H18:J18)</f>
        <v>10147800</v>
      </c>
      <c r="L18" s="369"/>
      <c r="M18" s="369"/>
      <c r="N18" s="369"/>
      <c r="O18" s="363"/>
      <c r="P18" s="363"/>
      <c r="Q18" s="344"/>
      <c r="R18" s="336"/>
      <c r="S18" s="364"/>
      <c r="T18" s="341"/>
      <c r="U18" s="341"/>
      <c r="V18" s="341"/>
    </row>
    <row r="19" spans="1:22" s="370" customFormat="1">
      <c r="A19" s="336">
        <v>2</v>
      </c>
      <c r="B19" s="356">
        <v>3</v>
      </c>
      <c r="C19" s="109" t="s">
        <v>6</v>
      </c>
      <c r="D19" s="358" t="str">
        <f ca="1">IF(ISERROR(OFFSET('HARGA SATUAN'!$D$6,MATCH(RAB!C19,'HARGA SATUAN'!$C$7:$C$1492,0),0)),"",OFFSET('HARGA SATUAN'!$D$6,MATCH(RAB!C19,'HARGA SATUAN'!$C$7:$C$1492,0),0))</f>
        <v>JASA</v>
      </c>
      <c r="E19" s="359" t="str">
        <f ca="1">IF(B19="+","Unit",IF(ISERROR(OFFSET('HARGA SATUAN'!$E$6,MATCH(RAB!C19,'HARGA SATUAN'!$C$7:$C$1492,0),0)),"",OFFSET('HARGA SATUAN'!$E$6,MATCH(RAB!C19,'HARGA SATUAN'!$C$7:$C$1492,0),0)))</f>
        <v>Btg</v>
      </c>
      <c r="F19" s="502">
        <f>F17+F18</f>
        <v>5</v>
      </c>
      <c r="G19" s="360">
        <f ca="1">IF(ISERROR(OFFSET('HARGA SATUAN'!$I$6,MATCH(RAB!C19,'HARGA SATUAN'!$C$7:$C$1492,0),0)),0,OFFSET('HARGA SATUAN'!$I$6,MATCH(RAB!C19,'HARGA SATUAN'!$C$7:$C$1492,0),0))</f>
        <v>10066.666666666668</v>
      </c>
      <c r="H19" s="361">
        <f t="shared" ca="1" si="16"/>
        <v>0</v>
      </c>
      <c r="I19" s="361">
        <f t="shared" ca="1" si="17"/>
        <v>0</v>
      </c>
      <c r="J19" s="361">
        <f t="shared" ca="1" si="18"/>
        <v>50333.333333333343</v>
      </c>
      <c r="K19" s="362">
        <f t="shared" ca="1" si="19"/>
        <v>50333.333333333343</v>
      </c>
      <c r="L19" s="369"/>
      <c r="M19" s="369"/>
      <c r="N19" s="369"/>
      <c r="O19" s="363"/>
      <c r="P19" s="363"/>
      <c r="Q19" s="344"/>
      <c r="R19" s="336"/>
      <c r="S19" s="364"/>
      <c r="T19" s="341"/>
      <c r="U19" s="341"/>
      <c r="V19" s="341"/>
    </row>
    <row r="20" spans="1:22" s="370" customFormat="1">
      <c r="A20" s="336"/>
      <c r="B20" s="356">
        <v>4</v>
      </c>
      <c r="C20" s="109" t="s">
        <v>461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Set</v>
      </c>
      <c r="F20" s="368">
        <v>1</v>
      </c>
      <c r="G20" s="360">
        <f ca="1">IF(ISERROR(OFFSET('HARGA SATUAN'!$I$6,MATCH(RAB!C20,'HARGA SATUAN'!$C$7:$C$1492,0),0)),0,OFFSET('HARGA SATUAN'!$I$6,MATCH(RAB!C20,'HARGA SATUAN'!$C$7:$C$1492,0),0))</f>
        <v>200000</v>
      </c>
      <c r="H20" s="361">
        <f t="shared" ca="1" si="16"/>
        <v>0</v>
      </c>
      <c r="I20" s="361">
        <f t="shared" ca="1" si="17"/>
        <v>200000</v>
      </c>
      <c r="J20" s="361">
        <f t="shared" ca="1" si="18"/>
        <v>0</v>
      </c>
      <c r="K20" s="362">
        <f t="shared" ca="1" si="19"/>
        <v>200000</v>
      </c>
      <c r="L20" s="369"/>
      <c r="M20" s="369"/>
      <c r="N20" s="369"/>
      <c r="O20" s="363"/>
      <c r="P20" s="363"/>
      <c r="Q20" s="344"/>
      <c r="R20" s="336"/>
      <c r="S20" s="364"/>
      <c r="T20" s="341"/>
      <c r="U20" s="341"/>
      <c r="V20" s="341"/>
    </row>
    <row r="21" spans="1:22" s="370" customFormat="1">
      <c r="A21" s="336"/>
      <c r="B21" s="356"/>
      <c r="C21" s="357"/>
      <c r="D21" s="358" t="str">
        <f ca="1">IF(ISERROR(OFFSET('HARGA SATUAN'!$D$6,MATCH(RAB!C21,'HARGA SATUAN'!$C$7:$C$1492,0),0)),"",OFFSET('HARGA SATUAN'!$D$6,MATCH(RAB!C21,'HARGA SATUAN'!$C$7:$C$1492,0),0))</f>
        <v/>
      </c>
      <c r="E21" s="359" t="str">
        <f ca="1">IF(B21="+","Unit",IF(ISERROR(OFFSET('HARGA SATUAN'!$E$6,MATCH(RAB!C21,'HARGA SATUAN'!$C$7:$C$1492,0),0)),"",OFFSET('HARGA SATUAN'!$E$6,MATCH(RAB!C21,'HARGA SATUAN'!$C$7:$C$1492,0),0)))</f>
        <v/>
      </c>
      <c r="F21" s="368"/>
      <c r="G21" s="360">
        <f ca="1">IF(ISERROR(OFFSET('HARGA SATUAN'!$I$6,MATCH(RAB!C21,'HARGA SATUAN'!$C$7:$C$1492,0),0)),0,OFFSET('HARGA SATUAN'!$I$6,MATCH(RAB!C21,'HARGA SATUAN'!$C$7:$C$1492,0),0))</f>
        <v>0</v>
      </c>
      <c r="H21" s="361">
        <f t="shared" ref="H21:H23" ca="1" si="20">IF(OR(D21="MDU",D21="MDU-KD"),(IF($O$3="RAB NON MDU","PLN KD",G21*F21)),0)</f>
        <v>0</v>
      </c>
      <c r="I21" s="361">
        <f t="shared" ref="I21:I23" ca="1" si="21">IF(D21="HDW",G21*F21,0)</f>
        <v>0</v>
      </c>
      <c r="J21" s="361">
        <f t="shared" ref="J21:J23" ca="1" si="22">IF(D21="JASA",G21*F21,0)</f>
        <v>0</v>
      </c>
      <c r="K21" s="362">
        <f t="shared" ref="K21:K23" ca="1" si="23">SUM(H21:J21)</f>
        <v>0</v>
      </c>
      <c r="L21" s="369"/>
      <c r="M21" s="369"/>
      <c r="N21" s="369"/>
      <c r="O21" s="363"/>
      <c r="P21" s="363"/>
      <c r="Q21" s="344"/>
      <c r="R21" s="336"/>
      <c r="S21" s="364"/>
      <c r="T21" s="341"/>
      <c r="U21" s="341"/>
      <c r="V21" s="341"/>
    </row>
    <row r="22" spans="1:22" s="370" customFormat="1">
      <c r="A22" s="336" t="e">
        <f>IF(AND(C22=0,#REF!=0,#REF!=0),"BLANKS",1)</f>
        <v>#REF!</v>
      </c>
      <c r="B22" s="371" t="s">
        <v>1456</v>
      </c>
      <c r="C22" s="372" t="s">
        <v>1630</v>
      </c>
      <c r="D22" s="358" t="str">
        <f ca="1">IF(ISERROR(OFFSET('HARGA SATUAN'!$D$6,MATCH(RAB!C22,'HARGA SATUAN'!$C$7:$C$1492,0),0)),"",OFFSET('HARGA SATUAN'!$D$6,MATCH(RAB!C22,'HARGA SATUAN'!$C$7:$C$1492,0),0))</f>
        <v/>
      </c>
      <c r="E22" s="359" t="str">
        <f ca="1">IF(B22="+","Unit",IF(ISERROR(OFFSET('HARGA SATUAN'!$E$6,MATCH(RAB!C22,'HARGA SATUAN'!$C$7:$C$1492,0),0)),"",OFFSET('HARGA SATUAN'!$E$6,MATCH(RAB!C22,'HARGA SATUAN'!$C$7:$C$1492,0),0)))</f>
        <v/>
      </c>
      <c r="F22" s="368"/>
      <c r="G22" s="360">
        <f ca="1">IF(ISERROR(OFFSET('HARGA SATUAN'!$I$6,MATCH(RAB!C22,'HARGA SATUAN'!$C$7:$C$1492,0),0)),0,OFFSET('HARGA SATUAN'!$I$6,MATCH(RAB!C22,'HARGA SATUAN'!$C$7:$C$1492,0),0))</f>
        <v>0</v>
      </c>
      <c r="H22" s="361">
        <f t="shared" ca="1" si="20"/>
        <v>0</v>
      </c>
      <c r="I22" s="361">
        <f t="shared" ca="1" si="21"/>
        <v>0</v>
      </c>
      <c r="J22" s="361">
        <f t="shared" ca="1" si="22"/>
        <v>0</v>
      </c>
      <c r="K22" s="362">
        <f t="shared" ca="1" si="23"/>
        <v>0</v>
      </c>
      <c r="L22" s="369"/>
      <c r="M22" s="369"/>
      <c r="N22" s="369"/>
      <c r="O22" s="363"/>
      <c r="P22" s="363"/>
      <c r="Q22" s="344"/>
      <c r="R22" s="336"/>
      <c r="S22" s="364"/>
      <c r="T22" s="341"/>
      <c r="U22" s="341"/>
      <c r="V22" s="341"/>
    </row>
    <row r="23" spans="1:22" s="370" customFormat="1">
      <c r="A23" s="336"/>
      <c r="B23" s="495"/>
      <c r="C23" s="496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368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ca="1" si="20"/>
        <v>0</v>
      </c>
      <c r="I23" s="361">
        <f t="shared" ca="1" si="21"/>
        <v>0</v>
      </c>
      <c r="J23" s="361">
        <f t="shared" ca="1" si="22"/>
        <v>0</v>
      </c>
      <c r="K23" s="362">
        <f t="shared" ca="1" si="23"/>
        <v>0</v>
      </c>
      <c r="L23" s="369"/>
      <c r="M23" s="369"/>
      <c r="N23" s="369"/>
      <c r="O23" s="363"/>
      <c r="P23" s="363"/>
      <c r="Q23" s="344"/>
      <c r="R23" s="336"/>
      <c r="S23" s="364"/>
      <c r="T23" s="341"/>
      <c r="U23" s="341"/>
      <c r="V23" s="341"/>
    </row>
    <row r="24" spans="1:22" s="370" customFormat="1">
      <c r="A24" s="336"/>
      <c r="B24" s="371" t="s">
        <v>1456</v>
      </c>
      <c r="C24" s="372" t="s">
        <v>1623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368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ref="H24:H25" ca="1" si="24">IF(OR(D24="MDU",D24="MDU-KD"),(IF($O$3="RAB NON MDU","PLN KD",G24*F24)),0)</f>
        <v>0</v>
      </c>
      <c r="I24" s="361">
        <f t="shared" ref="I24:I25" ca="1" si="25">IF(D24="HDW",G24*F24,0)</f>
        <v>0</v>
      </c>
      <c r="J24" s="361">
        <f t="shared" ref="J24:J25" ca="1" si="26">IF(D24="JASA",G24*F24,0)</f>
        <v>0</v>
      </c>
      <c r="K24" s="362">
        <f t="shared" ref="K24:K25" ca="1" si="27">SUM(H24:J24)</f>
        <v>0</v>
      </c>
      <c r="L24" s="369"/>
      <c r="M24" s="369"/>
      <c r="N24" s="369"/>
      <c r="O24" s="363"/>
      <c r="P24" s="363"/>
      <c r="Q24" s="344"/>
      <c r="R24" s="336"/>
      <c r="S24" s="364"/>
      <c r="T24" s="341"/>
      <c r="U24" s="341"/>
      <c r="V24" s="341"/>
    </row>
    <row r="25" spans="1:22" s="370" customFormat="1">
      <c r="A25" s="336"/>
      <c r="B25" s="495"/>
      <c r="C25" s="496"/>
      <c r="D25" s="358" t="str">
        <f ca="1">IF(ISERROR(OFFSET('HARGA SATUAN'!$D$6,MATCH(RAB!C25,'HARGA SATUAN'!$C$7:$C$1492,0),0)),"",OFFSET('HARGA SATUAN'!$D$6,MATCH(RAB!C25,'HARGA SATUAN'!$C$7:$C$1492,0),0))</f>
        <v/>
      </c>
      <c r="E25" s="359" t="str">
        <f ca="1">IF(B25="+","Unit",IF(ISERROR(OFFSET('HARGA SATUAN'!$E$6,MATCH(RAB!C25,'HARGA SATUAN'!$C$7:$C$1492,0),0)),"",OFFSET('HARGA SATUAN'!$E$6,MATCH(RAB!C25,'HARGA SATUAN'!$C$7:$C$1492,0),0)))</f>
        <v/>
      </c>
      <c r="F25" s="368"/>
      <c r="G25" s="360">
        <f ca="1">IF(ISERROR(OFFSET('HARGA SATUAN'!$I$6,MATCH(RAB!C25,'HARGA SATUAN'!$C$7:$C$1492,0),0)),0,OFFSET('HARGA SATUAN'!$I$6,MATCH(RAB!C25,'HARGA SATUAN'!$C$7:$C$1492,0),0))</f>
        <v>0</v>
      </c>
      <c r="H25" s="361">
        <f t="shared" ca="1" si="24"/>
        <v>0</v>
      </c>
      <c r="I25" s="361">
        <f t="shared" ca="1" si="25"/>
        <v>0</v>
      </c>
      <c r="J25" s="361">
        <f t="shared" ca="1" si="26"/>
        <v>0</v>
      </c>
      <c r="K25" s="362">
        <f t="shared" ca="1" si="27"/>
        <v>0</v>
      </c>
      <c r="L25" s="369"/>
      <c r="M25" s="369"/>
      <c r="N25" s="369"/>
      <c r="O25" s="363"/>
      <c r="P25" s="363"/>
      <c r="Q25" s="344"/>
      <c r="R25" s="336"/>
      <c r="S25" s="364"/>
      <c r="T25" s="341"/>
      <c r="U25" s="341"/>
      <c r="V25" s="341"/>
    </row>
    <row r="26" spans="1:22" s="370" customFormat="1">
      <c r="A26" s="336"/>
      <c r="B26" s="509" t="s">
        <v>1035</v>
      </c>
      <c r="C26" s="512" t="s">
        <v>1625</v>
      </c>
      <c r="D26" s="358" t="str">
        <f ca="1">IF(ISERROR(OFFSET('HARGA SATUAN'!$D$6,MATCH(RAB!C26,'HARGA SATUAN'!$C$7:$C$1492,0),0)),"",OFFSET('HARGA SATUAN'!$D$6,MATCH(RAB!C26,'HARGA SATUAN'!$C$7:$C$1492,0),0))</f>
        <v/>
      </c>
      <c r="E26" s="359" t="str">
        <f ca="1">IF(B26="+","Unit",IF(ISERROR(OFFSET('HARGA SATUAN'!$E$6,MATCH(RAB!C26,'HARGA SATUAN'!$C$7:$C$1492,0),0)),"",OFFSET('HARGA SATUAN'!$E$6,MATCH(RAB!C26,'HARGA SATUAN'!$C$7:$C$1492,0),0)))</f>
        <v>Unit</v>
      </c>
      <c r="F26" s="483">
        <v>10</v>
      </c>
      <c r="G26" s="360">
        <f ca="1">IF(ISERROR(OFFSET('HARGA SATUAN'!$I$6,MATCH(RAB!C26,'HARGA SATUAN'!$C$7:$C$1492,0),0)),0,OFFSET('HARGA SATUAN'!$I$6,MATCH(RAB!C26,'HARGA SATUAN'!$C$7:$C$1492,0),0))</f>
        <v>0</v>
      </c>
      <c r="H26" s="361">
        <f t="shared" ref="H26:H31" ca="1" si="28">IF(OR(D26="MDU",D26="MDU-KD"),(IF($O$3="RAB NON MDU","PLN KD",G26*F26)),0)</f>
        <v>0</v>
      </c>
      <c r="I26" s="361">
        <f t="shared" ref="I26:I31" ca="1" si="29">IF(D26="HDW",G26*F26,0)</f>
        <v>0</v>
      </c>
      <c r="J26" s="361">
        <f t="shared" ref="J26:J31" ca="1" si="30">IF(D26="JASA",G26*F26,0)</f>
        <v>0</v>
      </c>
      <c r="K26" s="362">
        <f t="shared" ref="K26:K31" ca="1" si="31">SUM(H26:J26)</f>
        <v>0</v>
      </c>
      <c r="L26" s="369"/>
      <c r="M26" s="369"/>
      <c r="N26" s="369"/>
      <c r="O26" s="363"/>
      <c r="P26" s="363"/>
      <c r="Q26" s="344"/>
      <c r="R26" s="336"/>
      <c r="S26" s="364"/>
      <c r="T26" s="341"/>
      <c r="U26" s="341"/>
      <c r="V26" s="341"/>
    </row>
    <row r="27" spans="1:22" s="370" customFormat="1">
      <c r="A27" s="336"/>
      <c r="B27" s="509">
        <v>1</v>
      </c>
      <c r="C27" s="512" t="s">
        <v>595</v>
      </c>
      <c r="D27" s="358" t="str">
        <f ca="1">IF(ISERROR(OFFSET('HARGA SATUAN'!$D$6,MATCH(RAB!C27,'HARGA SATUAN'!$C$7:$C$1492,0),0)),"",OFFSET('HARGA SATUAN'!$D$6,MATCH(RAB!C27,'HARGA SATUAN'!$C$7:$C$1492,0),0))</f>
        <v>HDW</v>
      </c>
      <c r="E27" s="359" t="str">
        <f ca="1">IF(B27="+","Unit",IF(ISERROR(OFFSET('HARGA SATUAN'!$E$6,MATCH(RAB!C27,'HARGA SATUAN'!$C$7:$C$1492,0),0)),"",OFFSET('HARGA SATUAN'!$E$6,MATCH(RAB!C27,'HARGA SATUAN'!$C$7:$C$1492,0),0)))</f>
        <v>Bh</v>
      </c>
      <c r="F27" s="483">
        <f>F26*1</f>
        <v>10</v>
      </c>
      <c r="G27" s="360">
        <f ca="1">IF(ISERROR(OFFSET('HARGA SATUAN'!$I$6,MATCH(RAB!C27,'HARGA SATUAN'!$C$7:$C$1492,0),0)),0,OFFSET('HARGA SATUAN'!$I$6,MATCH(RAB!C27,'HARGA SATUAN'!$C$7:$C$1492,0),0))</f>
        <v>78500</v>
      </c>
      <c r="H27" s="361">
        <f t="shared" ca="1" si="28"/>
        <v>0</v>
      </c>
      <c r="I27" s="361">
        <f t="shared" ca="1" si="29"/>
        <v>785000</v>
      </c>
      <c r="J27" s="361">
        <f t="shared" ca="1" si="30"/>
        <v>0</v>
      </c>
      <c r="K27" s="362">
        <f t="shared" ca="1" si="31"/>
        <v>785000</v>
      </c>
      <c r="L27" s="369"/>
      <c r="M27" s="369"/>
      <c r="N27" s="369"/>
      <c r="O27" s="363"/>
      <c r="P27" s="363"/>
      <c r="Q27" s="344"/>
      <c r="R27" s="336"/>
      <c r="S27" s="364"/>
      <c r="T27" s="341"/>
      <c r="U27" s="341"/>
      <c r="V27" s="341"/>
    </row>
    <row r="28" spans="1:22" s="370" customFormat="1">
      <c r="A28" s="336"/>
      <c r="B28" s="509">
        <v>2</v>
      </c>
      <c r="C28" s="512" t="s">
        <v>229</v>
      </c>
      <c r="D28" s="358" t="str">
        <f ca="1">IF(ISERROR(OFFSET('HARGA SATUAN'!$D$6,MATCH(RAB!C28,'HARGA SATUAN'!$C$7:$C$1492,0),0)),"",OFFSET('HARGA SATUAN'!$D$6,MATCH(RAB!C28,'HARGA SATUAN'!$C$7:$C$1492,0),0))</f>
        <v>HDW</v>
      </c>
      <c r="E28" s="359" t="str">
        <f ca="1">IF(B28="+","Unit",IF(ISERROR(OFFSET('HARGA SATUAN'!$E$6,MATCH(RAB!C28,'HARGA SATUAN'!$C$7:$C$1492,0),0)),"",OFFSET('HARGA SATUAN'!$E$6,MATCH(RAB!C28,'HARGA SATUAN'!$C$7:$C$1492,0),0)))</f>
        <v>Bh</v>
      </c>
      <c r="F28" s="483">
        <f>F26*1</f>
        <v>10</v>
      </c>
      <c r="G28" s="360">
        <f ca="1">IF(ISERROR(OFFSET('HARGA SATUAN'!$I$6,MATCH(RAB!C28,'HARGA SATUAN'!$C$7:$C$1492,0),0)),0,OFFSET('HARGA SATUAN'!$I$6,MATCH(RAB!C28,'HARGA SATUAN'!$C$7:$C$1492,0),0))</f>
        <v>4212</v>
      </c>
      <c r="H28" s="361">
        <f t="shared" ca="1" si="28"/>
        <v>0</v>
      </c>
      <c r="I28" s="361">
        <f t="shared" ca="1" si="29"/>
        <v>42120</v>
      </c>
      <c r="J28" s="361">
        <f t="shared" ca="1" si="30"/>
        <v>0</v>
      </c>
      <c r="K28" s="362">
        <f t="shared" ca="1" si="31"/>
        <v>42120</v>
      </c>
      <c r="L28" s="369"/>
      <c r="M28" s="369"/>
      <c r="N28" s="369"/>
      <c r="O28" s="363"/>
      <c r="P28" s="363"/>
      <c r="Q28" s="344"/>
      <c r="R28" s="336"/>
      <c r="S28" s="364"/>
      <c r="T28" s="341"/>
      <c r="U28" s="341"/>
      <c r="V28" s="341"/>
    </row>
    <row r="29" spans="1:22" s="370" customFormat="1">
      <c r="A29" s="336"/>
      <c r="B29" s="509">
        <v>3</v>
      </c>
      <c r="C29" s="512" t="s">
        <v>266</v>
      </c>
      <c r="D29" s="358" t="str">
        <f ca="1">IF(ISERROR(OFFSET('HARGA SATUAN'!$D$6,MATCH(RAB!C29,'HARGA SATUAN'!$C$7:$C$1492,0),0)),"",OFFSET('HARGA SATUAN'!$D$6,MATCH(RAB!C29,'HARGA SATUAN'!$C$7:$C$1492,0),0))</f>
        <v>HDW</v>
      </c>
      <c r="E29" s="359" t="str">
        <f ca="1">IF(B29="+","Unit",IF(ISERROR(OFFSET('HARGA SATUAN'!$E$6,MATCH(RAB!C29,'HARGA SATUAN'!$C$7:$C$1492,0),0)),"",OFFSET('HARGA SATUAN'!$E$6,MATCH(RAB!C29,'HARGA SATUAN'!$C$7:$C$1492,0),0)))</f>
        <v>Mtr</v>
      </c>
      <c r="F29" s="483">
        <f>F26*1</f>
        <v>10</v>
      </c>
      <c r="G29" s="360">
        <f ca="1">IF(ISERROR(OFFSET('HARGA SATUAN'!$I$6,MATCH(RAB!C29,'HARGA SATUAN'!$C$7:$C$1492,0),0)),0,OFFSET('HARGA SATUAN'!$I$6,MATCH(RAB!C29,'HARGA SATUAN'!$C$7:$C$1492,0),0))</f>
        <v>23310</v>
      </c>
      <c r="H29" s="361">
        <f t="shared" ca="1" si="28"/>
        <v>0</v>
      </c>
      <c r="I29" s="361">
        <f t="shared" ca="1" si="29"/>
        <v>233100</v>
      </c>
      <c r="J29" s="361">
        <f t="shared" ca="1" si="30"/>
        <v>0</v>
      </c>
      <c r="K29" s="362">
        <f t="shared" ca="1" si="31"/>
        <v>233100</v>
      </c>
      <c r="L29" s="369"/>
      <c r="M29" s="369"/>
      <c r="N29" s="369"/>
      <c r="O29" s="363"/>
      <c r="P29" s="363"/>
      <c r="Q29" s="344"/>
      <c r="R29" s="336"/>
      <c r="S29" s="364"/>
      <c r="T29" s="341"/>
      <c r="U29" s="341"/>
      <c r="V29" s="341"/>
    </row>
    <row r="30" spans="1:22" s="370" customFormat="1">
      <c r="A30" s="336"/>
      <c r="B30" s="509">
        <v>4</v>
      </c>
      <c r="C30" s="512" t="s">
        <v>35</v>
      </c>
      <c r="D30" s="358" t="str">
        <f ca="1">IF(ISERROR(OFFSET('HARGA SATUAN'!$D$6,MATCH(RAB!C30,'HARGA SATUAN'!$C$7:$C$1492,0),0)),"",OFFSET('HARGA SATUAN'!$D$6,MATCH(RAB!C30,'HARGA SATUAN'!$C$7:$C$1492,0),0))</f>
        <v>HDW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483">
        <f>F26*1</f>
        <v>10</v>
      </c>
      <c r="G30" s="360">
        <f ca="1">IF(ISERROR(OFFSET('HARGA SATUAN'!$I$6,MATCH(RAB!C30,'HARGA SATUAN'!$C$7:$C$1492,0),0)),0,OFFSET('HARGA SATUAN'!$I$6,MATCH(RAB!C30,'HARGA SATUAN'!$C$7:$C$1492,0),0))</f>
        <v>2300</v>
      </c>
      <c r="H30" s="361">
        <f t="shared" ca="1" si="28"/>
        <v>0</v>
      </c>
      <c r="I30" s="361">
        <f t="shared" ca="1" si="29"/>
        <v>23000</v>
      </c>
      <c r="J30" s="361">
        <f t="shared" ca="1" si="30"/>
        <v>0</v>
      </c>
      <c r="K30" s="362">
        <f t="shared" ca="1" si="31"/>
        <v>23000</v>
      </c>
      <c r="L30" s="369"/>
      <c r="M30" s="369"/>
      <c r="N30" s="369"/>
      <c r="O30" s="363"/>
      <c r="P30" s="363"/>
      <c r="Q30" s="344"/>
      <c r="R30" s="336"/>
      <c r="S30" s="364"/>
      <c r="T30" s="341"/>
      <c r="U30" s="341"/>
      <c r="V30" s="341"/>
    </row>
    <row r="31" spans="1:22" s="370" customFormat="1">
      <c r="A31" s="336"/>
      <c r="B31" s="509">
        <v>5</v>
      </c>
      <c r="C31" s="512" t="s">
        <v>630</v>
      </c>
      <c r="D31" s="358" t="str">
        <f ca="1">IF(ISERROR(OFFSET('HARGA SATUAN'!$D$6,MATCH(RAB!C31,'HARGA SATUAN'!$C$7:$C$1492,0),0)),"",OFFSET('HARGA SATUAN'!$D$6,MATCH(RAB!C31,'HARGA SATUAN'!$C$7:$C$1492,0),0))</f>
        <v>JASA</v>
      </c>
      <c r="E31" s="359" t="str">
        <f ca="1">IF(B31="+","Unit",IF(ISERROR(OFFSET('HARGA SATUAN'!$E$6,MATCH(RAB!C31,'HARGA SATUAN'!$C$7:$C$1492,0),0)),"",OFFSET('HARGA SATUAN'!$E$6,MATCH(RAB!C31,'HARGA SATUAN'!$C$7:$C$1492,0),0)))</f>
        <v>Unit</v>
      </c>
      <c r="F31" s="483">
        <f>F26*1</f>
        <v>10</v>
      </c>
      <c r="G31" s="360">
        <f ca="1">IF(ISERROR(OFFSET('HARGA SATUAN'!$I$6,MATCH(RAB!C31,'HARGA SATUAN'!$C$7:$C$1492,0),0)),0,OFFSET('HARGA SATUAN'!$I$6,MATCH(RAB!C31,'HARGA SATUAN'!$C$7:$C$1492,0),0))</f>
        <v>35700</v>
      </c>
      <c r="H31" s="361">
        <f t="shared" ca="1" si="28"/>
        <v>0</v>
      </c>
      <c r="I31" s="361">
        <f t="shared" ca="1" si="29"/>
        <v>0</v>
      </c>
      <c r="J31" s="361">
        <f t="shared" ca="1" si="30"/>
        <v>357000</v>
      </c>
      <c r="K31" s="362">
        <f t="shared" ca="1" si="31"/>
        <v>357000</v>
      </c>
      <c r="L31" s="369"/>
      <c r="M31" s="369"/>
      <c r="N31" s="369"/>
      <c r="O31" s="363"/>
      <c r="P31" s="363"/>
      <c r="Q31" s="344"/>
      <c r="R31" s="336"/>
      <c r="S31" s="364"/>
      <c r="T31" s="341"/>
      <c r="U31" s="341"/>
      <c r="V31" s="341"/>
    </row>
    <row r="32" spans="1:22" s="370" customFormat="1">
      <c r="A32" s="336"/>
      <c r="B32" s="495"/>
      <c r="C32" s="496"/>
      <c r="D32" s="358" t="str">
        <f ca="1">IF(ISERROR(OFFSET('HARGA SATUAN'!$D$6,MATCH(RAB!C32,'HARGA SATUAN'!$C$7:$C$1492,0),0)),"",OFFSET('HARGA SATUAN'!$D$6,MATCH(RAB!C32,'HARGA SATUAN'!$C$7:$C$1492,0),0))</f>
        <v/>
      </c>
      <c r="E32" s="359" t="str">
        <f ca="1">IF(B32="+","Unit",IF(ISERROR(OFFSET('HARGA SATUAN'!$E$6,MATCH(RAB!C32,'HARGA SATUAN'!$C$7:$C$1492,0),0)),"",OFFSET('HARGA SATUAN'!$E$6,MATCH(RAB!C32,'HARGA SATUAN'!$C$7:$C$1492,0),0)))</f>
        <v/>
      </c>
      <c r="F32" s="368"/>
      <c r="G32" s="360">
        <f ca="1">IF(ISERROR(OFFSET('HARGA SATUAN'!$I$6,MATCH(RAB!C32,'HARGA SATUAN'!$C$7:$C$1492,0),0)),0,OFFSET('HARGA SATUAN'!$I$6,MATCH(RAB!C32,'HARGA SATUAN'!$C$7:$C$1492,0),0))</f>
        <v>0</v>
      </c>
      <c r="H32" s="361">
        <f t="shared" ref="H32:H33" ca="1" si="32">IF(OR(D32="MDU",D32="MDU-KD"),(IF($O$3="RAB NON MDU","PLN KD",G32*F32)),0)</f>
        <v>0</v>
      </c>
      <c r="I32" s="361">
        <f t="shared" ref="I32:I33" ca="1" si="33">IF(D32="HDW",G32*F32,0)</f>
        <v>0</v>
      </c>
      <c r="J32" s="361">
        <f t="shared" ref="J32:J33" ca="1" si="34">IF(D32="JASA",G32*F32,0)</f>
        <v>0</v>
      </c>
      <c r="K32" s="362">
        <f t="shared" ref="K32:K33" ca="1" si="35">SUM(H32:J32)</f>
        <v>0</v>
      </c>
      <c r="L32" s="369"/>
      <c r="M32" s="369"/>
      <c r="N32" s="369"/>
      <c r="O32" s="363"/>
      <c r="P32" s="363"/>
      <c r="Q32" s="344"/>
      <c r="R32" s="336"/>
      <c r="S32" s="364"/>
      <c r="T32" s="341"/>
      <c r="U32" s="341"/>
      <c r="V32" s="341"/>
    </row>
    <row r="33" spans="1:22" s="365" customFormat="1">
      <c r="A33" s="336"/>
      <c r="B33" s="373"/>
      <c r="C33" s="506" t="s">
        <v>1617</v>
      </c>
      <c r="D33" s="358" t="str">
        <f ca="1">IF(ISERROR(OFFSET('HARGA SATUAN'!$D$6,MATCH(RAB!C33,'HARGA SATUAN'!$C$7:$C$1492,0),0)),"",OFFSET('HARGA SATUAN'!$D$6,MATCH(RAB!C33,'HARGA SATUAN'!$C$7:$C$1492,0),0))</f>
        <v/>
      </c>
      <c r="E33" s="359" t="str">
        <f ca="1">IF(B33="+","Unit",IF(ISERROR(OFFSET('HARGA SATUAN'!$E$6,MATCH(RAB!C33,'HARGA SATUAN'!$C$7:$C$1492,0),0)),"",OFFSET('HARGA SATUAN'!$E$6,MATCH(RAB!C33,'HARGA SATUAN'!$C$7:$C$1492,0),0)))</f>
        <v/>
      </c>
      <c r="F33" s="368"/>
      <c r="G33" s="360">
        <f ca="1">IF(ISERROR(OFFSET('HARGA SATUAN'!$I$6,MATCH(RAB!C33,'HARGA SATUAN'!$C$7:$C$1492,0),0)),0,OFFSET('HARGA SATUAN'!$I$6,MATCH(RAB!C33,'HARGA SATUAN'!$C$7:$C$1492,0),0))</f>
        <v>0</v>
      </c>
      <c r="H33" s="361">
        <f t="shared" ca="1" si="32"/>
        <v>0</v>
      </c>
      <c r="I33" s="361">
        <f t="shared" ca="1" si="33"/>
        <v>0</v>
      </c>
      <c r="J33" s="361">
        <f t="shared" ca="1" si="34"/>
        <v>0</v>
      </c>
      <c r="K33" s="362">
        <f t="shared" ca="1" si="35"/>
        <v>0</v>
      </c>
      <c r="L33" s="342"/>
      <c r="M33" s="342"/>
      <c r="N33" s="369"/>
      <c r="O33" s="344"/>
      <c r="P33" s="344"/>
      <c r="Q33" s="398"/>
      <c r="R33" s="344"/>
      <c r="S33" s="398"/>
      <c r="T33" s="399"/>
      <c r="U33" s="399"/>
      <c r="V33" s="399"/>
    </row>
    <row r="34" spans="1:22" s="365" customFormat="1">
      <c r="A34" s="336"/>
      <c r="B34" s="373">
        <v>1</v>
      </c>
      <c r="C34" s="109" t="s">
        <v>1462</v>
      </c>
      <c r="D34" s="358" t="str">
        <f ca="1">IF(ISERROR(OFFSET('HARGA SATUAN'!$D$6,MATCH(RAB!C34,'HARGA SATUAN'!$C$7:$C$1492,0),0)),"",OFFSET('HARGA SATUAN'!$D$6,MATCH(RAB!C34,'HARGA SATUAN'!$C$7:$C$1492,0),0))</f>
        <v>MDU-KD</v>
      </c>
      <c r="E34" s="359" t="str">
        <f ca="1">IF(B34="+","Unit",IF(ISERROR(OFFSET('HARGA SATUAN'!$E$6,MATCH(RAB!C34,'HARGA SATUAN'!$C$7:$C$1492,0),0)),"",OFFSET('HARGA SATUAN'!$E$6,MATCH(RAB!C34,'HARGA SATUAN'!$C$7:$C$1492,0),0)))</f>
        <v>Mtr</v>
      </c>
      <c r="F34" s="483">
        <v>210</v>
      </c>
      <c r="G34" s="360">
        <f ca="1">IF(ISERROR(OFFSET('HARGA SATUAN'!$I$6,MATCH(RAB!C34,'HARGA SATUAN'!$C$7:$C$1492,0),0)),0,OFFSET('HARGA SATUAN'!$I$6,MATCH(RAB!C34,'HARGA SATUAN'!$C$7:$C$1492,0),0))</f>
        <v>54500</v>
      </c>
      <c r="H34" s="361">
        <f t="shared" ref="H34:H35" ca="1" si="36">IF(OR(D34="MDU",D34="MDU-KD"),(IF($O$3="RAB NON MDU","PLN KD",G34*F34)),0)</f>
        <v>11445000</v>
      </c>
      <c r="I34" s="361">
        <f t="shared" ref="I34:I35" ca="1" si="37">IF(D34="HDW",G34*F34,0)</f>
        <v>0</v>
      </c>
      <c r="J34" s="361">
        <f t="shared" ref="J34:J35" ca="1" si="38">IF(D34="JASA",G34*F34,0)</f>
        <v>0</v>
      </c>
      <c r="K34" s="362">
        <f t="shared" ref="K34:K35" ca="1" si="39">SUM(H34:J34)</f>
        <v>11445000</v>
      </c>
      <c r="L34" s="342"/>
      <c r="M34" s="342"/>
      <c r="N34" s="369"/>
      <c r="O34" s="344"/>
      <c r="P34" s="344"/>
      <c r="Q34" s="398"/>
      <c r="R34" s="344"/>
      <c r="S34" s="398"/>
      <c r="T34" s="399"/>
      <c r="U34" s="399"/>
      <c r="V34" s="399"/>
    </row>
    <row r="35" spans="1:22" s="365" customFormat="1">
      <c r="A35" s="336"/>
      <c r="B35" s="373">
        <v>2</v>
      </c>
      <c r="C35" s="109" t="s">
        <v>346</v>
      </c>
      <c r="D35" s="358" t="str">
        <f ca="1">IF(ISERROR(OFFSET('HARGA SATUAN'!$D$6,MATCH(RAB!C35,'HARGA SATUAN'!$C$7:$C$1492,0),0)),"",OFFSET('HARGA SATUAN'!$D$6,MATCH(RAB!C35,'HARGA SATUAN'!$C$7:$C$1492,0),0))</f>
        <v>JASA</v>
      </c>
      <c r="E35" s="359" t="str">
        <f ca="1">IF(B35="+","Unit",IF(ISERROR(OFFSET('HARGA SATUAN'!$E$6,MATCH(RAB!C35,'HARGA SATUAN'!$C$7:$C$1492,0),0)),"",OFFSET('HARGA SATUAN'!$E$6,MATCH(RAB!C35,'HARGA SATUAN'!$C$7:$C$1492,0),0)))</f>
        <v>Per 50 m</v>
      </c>
      <c r="F35" s="483">
        <f>F34/50</f>
        <v>4.2</v>
      </c>
      <c r="G35" s="360">
        <f ca="1">IF(ISERROR(OFFSET('HARGA SATUAN'!$I$6,MATCH(RAB!C35,'HARGA SATUAN'!$C$7:$C$1492,0),0)),0,OFFSET('HARGA SATUAN'!$I$6,MATCH(RAB!C35,'HARGA SATUAN'!$C$7:$C$1492,0),0))</f>
        <v>223500</v>
      </c>
      <c r="H35" s="361">
        <f t="shared" ca="1" si="36"/>
        <v>0</v>
      </c>
      <c r="I35" s="361">
        <f t="shared" ca="1" si="37"/>
        <v>0</v>
      </c>
      <c r="J35" s="361">
        <f t="shared" ca="1" si="38"/>
        <v>938700</v>
      </c>
      <c r="K35" s="362">
        <f t="shared" ca="1" si="39"/>
        <v>938700</v>
      </c>
      <c r="L35" s="342"/>
      <c r="M35" s="342"/>
      <c r="N35" s="369"/>
      <c r="O35" s="344"/>
      <c r="P35" s="344"/>
      <c r="Q35" s="398"/>
      <c r="R35" s="344"/>
      <c r="S35" s="398"/>
      <c r="T35" s="399"/>
      <c r="U35" s="399"/>
      <c r="V35" s="399"/>
    </row>
    <row r="36" spans="1:22" s="365" customFormat="1">
      <c r="A36" s="336"/>
      <c r="B36" s="373"/>
      <c r="C36" s="374"/>
      <c r="D36" s="358" t="str">
        <f ca="1">IF(ISERROR(OFFSET('HARGA SATUAN'!$D$6,MATCH(RAB!C36,'HARGA SATUAN'!$C$7:$C$1492,0),0)),"",OFFSET('HARGA SATUAN'!$D$6,MATCH(RAB!C36,'HARGA SATUAN'!$C$7:$C$1492,0),0))</f>
        <v/>
      </c>
      <c r="E36" s="359" t="str">
        <f ca="1">IF(B36="+","Unit",IF(ISERROR(OFFSET('HARGA SATUAN'!$E$6,MATCH(RAB!C36,'HARGA SATUAN'!$C$7:$C$1492,0),0)),"",OFFSET('HARGA SATUAN'!$E$6,MATCH(RAB!C36,'HARGA SATUAN'!$C$7:$C$1492,0),0)))</f>
        <v/>
      </c>
      <c r="F36" s="483"/>
      <c r="G36" s="360">
        <f ca="1">IF(ISERROR(OFFSET('HARGA SATUAN'!$I$6,MATCH(RAB!C36,'HARGA SATUAN'!$C$7:$C$1492,0),0)),0,OFFSET('HARGA SATUAN'!$I$6,MATCH(RAB!C36,'HARGA SATUAN'!$C$7:$C$1492,0),0))</f>
        <v>0</v>
      </c>
      <c r="H36" s="361">
        <f t="shared" ref="H36:H37" ca="1" si="40">IF(OR(D36="MDU",D36="MDU-KD"),(IF($O$3="RAB NON MDU","PLN KD",G36*F36)),0)</f>
        <v>0</v>
      </c>
      <c r="I36" s="361">
        <f t="shared" ref="I36:I37" ca="1" si="41">IF(D36="HDW",G36*F36,0)</f>
        <v>0</v>
      </c>
      <c r="J36" s="361">
        <f t="shared" ref="J36:J37" ca="1" si="42">IF(D36="JASA",G36*F36,0)</f>
        <v>0</v>
      </c>
      <c r="K36" s="362">
        <f t="shared" ref="K36:K37" ca="1" si="43">SUM(H36:J36)</f>
        <v>0</v>
      </c>
      <c r="L36" s="342"/>
      <c r="M36" s="342"/>
      <c r="N36" s="369"/>
      <c r="O36" s="344"/>
      <c r="P36" s="344"/>
      <c r="Q36" s="398"/>
      <c r="R36" s="344"/>
      <c r="S36" s="398"/>
      <c r="T36" s="399"/>
      <c r="U36" s="399"/>
      <c r="V36" s="399"/>
    </row>
    <row r="37" spans="1:22" s="365" customFormat="1">
      <c r="A37" s="336"/>
      <c r="B37" s="373"/>
      <c r="C37" s="506" t="s">
        <v>1619</v>
      </c>
      <c r="D37" s="358" t="str">
        <f ca="1">IF(ISERROR(OFFSET('HARGA SATUAN'!$D$6,MATCH(RAB!C37,'HARGA SATUAN'!$C$7:$C$1492,0),0)),"",OFFSET('HARGA SATUAN'!$D$6,MATCH(RAB!C37,'HARGA SATUAN'!$C$7:$C$1492,0),0))</f>
        <v/>
      </c>
      <c r="E37" s="359" t="str">
        <f ca="1">IF(B37="+","Unit",IF(ISERROR(OFFSET('HARGA SATUAN'!$E$6,MATCH(RAB!C37,'HARGA SATUAN'!$C$7:$C$1492,0),0)),"",OFFSET('HARGA SATUAN'!$E$6,MATCH(RAB!C37,'HARGA SATUAN'!$C$7:$C$1492,0),0)))</f>
        <v/>
      </c>
      <c r="F37" s="483"/>
      <c r="G37" s="360">
        <f ca="1">IF(ISERROR(OFFSET('HARGA SATUAN'!$I$6,MATCH(RAB!C37,'HARGA SATUAN'!$C$7:$C$1492,0),0)),0,OFFSET('HARGA SATUAN'!$I$6,MATCH(RAB!C37,'HARGA SATUAN'!$C$7:$C$1492,0),0))</f>
        <v>0</v>
      </c>
      <c r="H37" s="361">
        <f t="shared" ca="1" si="40"/>
        <v>0</v>
      </c>
      <c r="I37" s="361">
        <f t="shared" ca="1" si="41"/>
        <v>0</v>
      </c>
      <c r="J37" s="361">
        <f t="shared" ca="1" si="42"/>
        <v>0</v>
      </c>
      <c r="K37" s="362">
        <f t="shared" ca="1" si="43"/>
        <v>0</v>
      </c>
      <c r="L37" s="342"/>
      <c r="M37" s="342"/>
      <c r="N37" s="369"/>
      <c r="O37" s="344"/>
      <c r="P37" s="344"/>
      <c r="Q37" s="398"/>
      <c r="R37" s="344"/>
      <c r="S37" s="398"/>
      <c r="T37" s="399"/>
      <c r="U37" s="399"/>
      <c r="V37" s="399"/>
    </row>
    <row r="38" spans="1:22" s="365" customFormat="1">
      <c r="A38" s="336"/>
      <c r="B38" s="373"/>
      <c r="C38" s="374"/>
      <c r="D38" s="358" t="str">
        <f ca="1">IF(ISERROR(OFFSET('HARGA SATUAN'!$D$6,MATCH(RAB!C38,'HARGA SATUAN'!$C$7:$C$1492,0),0)),"",OFFSET('HARGA SATUAN'!$D$6,MATCH(RAB!C38,'HARGA SATUAN'!$C$7:$C$1492,0),0))</f>
        <v/>
      </c>
      <c r="E38" s="359" t="str">
        <f ca="1">IF(B38="+","Unit",IF(ISERROR(OFFSET('HARGA SATUAN'!$E$6,MATCH(RAB!C38,'HARGA SATUAN'!$C$7:$C$1492,0),0)),"",OFFSET('HARGA SATUAN'!$E$6,MATCH(RAB!C38,'HARGA SATUAN'!$C$7:$C$1492,0),0)))</f>
        <v/>
      </c>
      <c r="F38" s="483"/>
      <c r="G38" s="360">
        <f ca="1">IF(ISERROR(OFFSET('HARGA SATUAN'!$I$6,MATCH(RAB!C38,'HARGA SATUAN'!$C$7:$C$1492,0),0)),0,OFFSET('HARGA SATUAN'!$I$6,MATCH(RAB!C38,'HARGA SATUAN'!$C$7:$C$1492,0),0))</f>
        <v>0</v>
      </c>
      <c r="H38" s="361">
        <f t="shared" ref="H38:H60" ca="1" si="44">IF(OR(D38="MDU",D38="MDU-KD"),(IF($O$3="RAB NON MDU","PLN KD",G38*F38)),0)</f>
        <v>0</v>
      </c>
      <c r="I38" s="361">
        <f t="shared" ref="I38:I60" ca="1" si="45">IF(D38="HDW",G38*F38,0)</f>
        <v>0</v>
      </c>
      <c r="J38" s="361">
        <f t="shared" ref="J38:J60" ca="1" si="46">IF(D38="JASA",G38*F38,0)</f>
        <v>0</v>
      </c>
      <c r="K38" s="362">
        <f t="shared" ref="K38:K60" ca="1" si="47">SUM(H38:J38)</f>
        <v>0</v>
      </c>
      <c r="L38" s="342"/>
      <c r="M38" s="342"/>
      <c r="N38" s="369"/>
      <c r="O38" s="344"/>
      <c r="P38" s="344"/>
      <c r="Q38" s="398"/>
      <c r="R38" s="344"/>
      <c r="S38" s="398"/>
      <c r="T38" s="399"/>
      <c r="U38" s="399"/>
      <c r="V38" s="399"/>
    </row>
    <row r="39" spans="1:22" s="365" customFormat="1">
      <c r="A39" s="336"/>
      <c r="B39" s="520" t="s">
        <v>1035</v>
      </c>
      <c r="C39" s="519" t="s">
        <v>1620</v>
      </c>
      <c r="D39" s="358" t="str">
        <f ca="1">IF(ISERROR(OFFSET('HARGA SATUAN'!$D$6,MATCH(RAB!C39,'HARGA SATUAN'!$C$7:$C$1492,0),0)),"",OFFSET('HARGA SATUAN'!$D$6,MATCH(RAB!C39,'HARGA SATUAN'!$C$7:$C$1492,0),0))</f>
        <v/>
      </c>
      <c r="E39" s="359" t="str">
        <f ca="1">IF(B39="+","Unit",IF(ISERROR(OFFSET('HARGA SATUAN'!$E$6,MATCH(RAB!C39,'HARGA SATUAN'!$C$7:$C$1492,0),0)),"",OFFSET('HARGA SATUAN'!$E$6,MATCH(RAB!C39,'HARGA SATUAN'!$C$7:$C$1492,0),0)))</f>
        <v>Unit</v>
      </c>
      <c r="F39" s="483">
        <v>4</v>
      </c>
      <c r="G39" s="360">
        <f ca="1">IF(ISERROR(OFFSET('HARGA SATUAN'!$I$6,MATCH(RAB!C39,'HARGA SATUAN'!$C$7:$C$1492,0),0)),0,OFFSET('HARGA SATUAN'!$I$6,MATCH(RAB!C39,'HARGA SATUAN'!$C$7:$C$1492,0),0))</f>
        <v>0</v>
      </c>
      <c r="H39" s="361">
        <f t="shared" ca="1" si="44"/>
        <v>0</v>
      </c>
      <c r="I39" s="361">
        <f t="shared" ca="1" si="45"/>
        <v>0</v>
      </c>
      <c r="J39" s="361">
        <f t="shared" ca="1" si="46"/>
        <v>0</v>
      </c>
      <c r="K39" s="362">
        <f t="shared" ca="1" si="47"/>
        <v>0</v>
      </c>
      <c r="L39" s="342"/>
      <c r="M39" s="342"/>
      <c r="N39" s="369"/>
      <c r="O39" s="344"/>
      <c r="P39" s="344"/>
      <c r="Q39" s="398"/>
      <c r="R39" s="344"/>
      <c r="S39" s="398"/>
      <c r="T39" s="399"/>
      <c r="U39" s="399"/>
      <c r="V39" s="399"/>
    </row>
    <row r="40" spans="1:22" s="365" customFormat="1">
      <c r="A40" s="336"/>
      <c r="B40" s="520">
        <v>1</v>
      </c>
      <c r="C40" s="519" t="s">
        <v>28</v>
      </c>
      <c r="D40" s="358" t="str">
        <f ca="1">IF(ISERROR(OFFSET('HARGA SATUAN'!$D$6,MATCH(RAB!C40,'HARGA SATUAN'!$C$7:$C$1492,0),0)),"",OFFSET('HARGA SATUAN'!$D$6,MATCH(RAB!C40,'HARGA SATUAN'!$C$7:$C$1492,0),0))</f>
        <v>HDW</v>
      </c>
      <c r="E40" s="359" t="str">
        <f ca="1">IF(B40="+","Unit",IF(ISERROR(OFFSET('HARGA SATUAN'!$E$6,MATCH(RAB!C40,'HARGA SATUAN'!$C$7:$C$1492,0),0)),"",OFFSET('HARGA SATUAN'!$E$6,MATCH(RAB!C40,'HARGA SATUAN'!$C$7:$C$1492,0),0)))</f>
        <v>Bh</v>
      </c>
      <c r="F40" s="483">
        <f>F39*1</f>
        <v>4</v>
      </c>
      <c r="G40" s="360">
        <f ca="1">IF(ISERROR(OFFSET('HARGA SATUAN'!$I$6,MATCH(RAB!C40,'HARGA SATUAN'!$C$7:$C$1492,0),0)),0,OFFSET('HARGA SATUAN'!$I$6,MATCH(RAB!C40,'HARGA SATUAN'!$C$7:$C$1492,0),0))</f>
        <v>26500</v>
      </c>
      <c r="H40" s="361">
        <f t="shared" ca="1" si="44"/>
        <v>0</v>
      </c>
      <c r="I40" s="361">
        <f t="shared" ca="1" si="45"/>
        <v>106000</v>
      </c>
      <c r="J40" s="361">
        <f t="shared" ca="1" si="46"/>
        <v>0</v>
      </c>
      <c r="K40" s="362">
        <f t="shared" ca="1" si="47"/>
        <v>106000</v>
      </c>
      <c r="L40" s="342"/>
      <c r="M40" s="342"/>
      <c r="N40" s="369"/>
      <c r="O40" s="344"/>
      <c r="P40" s="344"/>
      <c r="Q40" s="398"/>
      <c r="R40" s="344"/>
      <c r="S40" s="398"/>
      <c r="T40" s="399"/>
      <c r="U40" s="399"/>
      <c r="V40" s="399"/>
    </row>
    <row r="41" spans="1:22" s="365" customFormat="1">
      <c r="A41" s="336"/>
      <c r="B41" s="520">
        <v>2</v>
      </c>
      <c r="C41" s="519" t="s">
        <v>203</v>
      </c>
      <c r="D41" s="358" t="str">
        <f ca="1">IF(ISERROR(OFFSET('HARGA SATUAN'!$D$6,MATCH(RAB!C41,'HARGA SATUAN'!$C$7:$C$1492,0),0)),"",OFFSET('HARGA SATUAN'!$D$6,MATCH(RAB!C41,'HARGA SATUAN'!$C$7:$C$1492,0),0))</f>
        <v>HDW</v>
      </c>
      <c r="E41" s="359" t="str">
        <f ca="1">IF(B41="+","Unit",IF(ISERROR(OFFSET('HARGA SATUAN'!$E$6,MATCH(RAB!C41,'HARGA SATUAN'!$C$7:$C$1492,0),0)),"",OFFSET('HARGA SATUAN'!$E$6,MATCH(RAB!C41,'HARGA SATUAN'!$C$7:$C$1492,0),0)))</f>
        <v>Bh</v>
      </c>
      <c r="F41" s="483">
        <f>F39*1</f>
        <v>4</v>
      </c>
      <c r="G41" s="360">
        <f ca="1">IF(ISERROR(OFFSET('HARGA SATUAN'!$I$6,MATCH(RAB!C41,'HARGA SATUAN'!$C$7:$C$1492,0),0)),0,OFFSET('HARGA SATUAN'!$I$6,MATCH(RAB!C41,'HARGA SATUAN'!$C$7:$C$1492,0),0))</f>
        <v>12500</v>
      </c>
      <c r="H41" s="361">
        <f t="shared" ca="1" si="44"/>
        <v>0</v>
      </c>
      <c r="I41" s="361">
        <f t="shared" ca="1" si="45"/>
        <v>50000</v>
      </c>
      <c r="J41" s="361">
        <f t="shared" ca="1" si="46"/>
        <v>0</v>
      </c>
      <c r="K41" s="362">
        <f t="shared" ca="1" si="47"/>
        <v>50000</v>
      </c>
      <c r="L41" s="342"/>
      <c r="M41" s="342"/>
      <c r="N41" s="369"/>
      <c r="O41" s="344"/>
      <c r="P41" s="344"/>
      <c r="Q41" s="398"/>
      <c r="R41" s="344"/>
      <c r="S41" s="398"/>
      <c r="T41" s="399"/>
      <c r="U41" s="399"/>
      <c r="V41" s="399"/>
    </row>
    <row r="42" spans="1:22" s="365" customFormat="1">
      <c r="A42" s="336"/>
      <c r="B42" s="520">
        <v>3</v>
      </c>
      <c r="C42" s="519" t="s">
        <v>206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Mtr</v>
      </c>
      <c r="F42" s="483">
        <f>F39*12</f>
        <v>48</v>
      </c>
      <c r="G42" s="360">
        <f ca="1">IF(ISERROR(OFFSET('HARGA SATUAN'!$I$6,MATCH(RAB!C42,'HARGA SATUAN'!$C$7:$C$1492,0),0)),0,OFFSET('HARGA SATUAN'!$I$6,MATCH(RAB!C42,'HARGA SATUAN'!$C$7:$C$1492,0),0))</f>
        <v>39204</v>
      </c>
      <c r="H42" s="361">
        <f t="shared" ca="1" si="44"/>
        <v>0</v>
      </c>
      <c r="I42" s="361">
        <f t="shared" ca="1" si="45"/>
        <v>1881792</v>
      </c>
      <c r="J42" s="361">
        <f t="shared" ca="1" si="46"/>
        <v>0</v>
      </c>
      <c r="K42" s="362">
        <f t="shared" ca="1" si="47"/>
        <v>1881792</v>
      </c>
      <c r="L42" s="342"/>
      <c r="M42" s="342"/>
      <c r="N42" s="369"/>
      <c r="O42" s="344"/>
      <c r="P42" s="344"/>
      <c r="Q42" s="398"/>
      <c r="R42" s="344"/>
      <c r="S42" s="398"/>
      <c r="T42" s="399"/>
      <c r="U42" s="399"/>
      <c r="V42" s="399"/>
    </row>
    <row r="43" spans="1:22" s="365" customFormat="1">
      <c r="A43" s="336"/>
      <c r="B43" s="520">
        <v>4</v>
      </c>
      <c r="C43" s="519" t="s">
        <v>287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483">
        <f>F39*2</f>
        <v>8</v>
      </c>
      <c r="G43" s="360">
        <f ca="1">IF(ISERROR(OFFSET('HARGA SATUAN'!$I$6,MATCH(RAB!C43,'HARGA SATUAN'!$C$7:$C$1492,0),0)),0,OFFSET('HARGA SATUAN'!$I$6,MATCH(RAB!C43,'HARGA SATUAN'!$C$7:$C$1492,0),0))</f>
        <v>40000</v>
      </c>
      <c r="H43" s="361">
        <f t="shared" ca="1" si="44"/>
        <v>0</v>
      </c>
      <c r="I43" s="361">
        <f t="shared" ca="1" si="45"/>
        <v>320000</v>
      </c>
      <c r="J43" s="361">
        <f t="shared" ca="1" si="46"/>
        <v>0</v>
      </c>
      <c r="K43" s="362">
        <f t="shared" ca="1" si="47"/>
        <v>320000</v>
      </c>
      <c r="L43" s="342"/>
      <c r="M43" s="342"/>
      <c r="N43" s="369"/>
      <c r="O43" s="344"/>
      <c r="P43" s="344"/>
      <c r="Q43" s="398"/>
      <c r="R43" s="344"/>
      <c r="S43" s="398"/>
      <c r="T43" s="399"/>
      <c r="U43" s="399"/>
      <c r="V43" s="399"/>
    </row>
    <row r="44" spans="1:22" s="365" customFormat="1">
      <c r="A44" s="336"/>
      <c r="B44" s="520">
        <v>5</v>
      </c>
      <c r="C44" s="519" t="s">
        <v>26</v>
      </c>
      <c r="D44" s="358" t="str">
        <f ca="1">IF(ISERROR(OFFSET('HARGA SATUAN'!$D$6,MATCH(RAB!C44,'HARGA SATUAN'!$C$7:$C$1492,0),0)),"",OFFSET('HARGA SATUAN'!$D$6,MATCH(RAB!C44,'HARGA SATUAN'!$C$7:$C$1492,0),0))</f>
        <v>HDW</v>
      </c>
      <c r="E44" s="359" t="str">
        <f ca="1">IF(B44="+","Unit",IF(ISERROR(OFFSET('HARGA SATUAN'!$E$6,MATCH(RAB!C44,'HARGA SATUAN'!$C$7:$C$1492,0),0)),"",OFFSET('HARGA SATUAN'!$E$6,MATCH(RAB!C44,'HARGA SATUAN'!$C$7:$C$1492,0),0)))</f>
        <v>Bh</v>
      </c>
      <c r="F44" s="483">
        <f>F39*1</f>
        <v>4</v>
      </c>
      <c r="G44" s="360">
        <f ca="1">IF(ISERROR(OFFSET('HARGA SATUAN'!$I$6,MATCH(RAB!C44,'HARGA SATUAN'!$C$7:$C$1492,0),0)),0,OFFSET('HARGA SATUAN'!$I$6,MATCH(RAB!C44,'HARGA SATUAN'!$C$7:$C$1492,0),0))</f>
        <v>2500</v>
      </c>
      <c r="H44" s="361">
        <f t="shared" ca="1" si="44"/>
        <v>0</v>
      </c>
      <c r="I44" s="361">
        <f t="shared" ca="1" si="45"/>
        <v>10000</v>
      </c>
      <c r="J44" s="361">
        <f t="shared" ca="1" si="46"/>
        <v>0</v>
      </c>
      <c r="K44" s="362">
        <f t="shared" ca="1" si="47"/>
        <v>10000</v>
      </c>
      <c r="L44" s="342"/>
      <c r="M44" s="342"/>
      <c r="N44" s="369"/>
      <c r="O44" s="344"/>
      <c r="P44" s="344"/>
      <c r="Q44" s="398"/>
      <c r="R44" s="344"/>
      <c r="S44" s="398"/>
      <c r="T44" s="399"/>
      <c r="U44" s="399"/>
      <c r="V44" s="399"/>
    </row>
    <row r="45" spans="1:22" s="365" customFormat="1">
      <c r="A45" s="336"/>
      <c r="B45" s="520">
        <v>6</v>
      </c>
      <c r="C45" s="519" t="s">
        <v>760</v>
      </c>
      <c r="D45" s="358" t="str">
        <f ca="1">IF(ISERROR(OFFSET('HARGA SATUAN'!$D$6,MATCH(RAB!C45,'HARGA SATUAN'!$C$7:$C$1492,0),0)),"",OFFSET('HARGA SATUAN'!$D$6,MATCH(RAB!C45,'HARGA SATUAN'!$C$7:$C$1492,0),0))</f>
        <v>JASA</v>
      </c>
      <c r="E45" s="359" t="str">
        <f ca="1">IF(B45="+","Unit",IF(ISERROR(OFFSET('HARGA SATUAN'!$E$6,MATCH(RAB!C45,'HARGA SATUAN'!$C$7:$C$1492,0),0)),"",OFFSET('HARGA SATUAN'!$E$6,MATCH(RAB!C45,'HARGA SATUAN'!$C$7:$C$1492,0),0)))</f>
        <v>Unit</v>
      </c>
      <c r="F45" s="483">
        <f>F39*1</f>
        <v>4</v>
      </c>
      <c r="G45" s="360">
        <f ca="1">IF(ISERROR(OFFSET('HARGA SATUAN'!$I$6,MATCH(RAB!C45,'HARGA SATUAN'!$C$7:$C$1492,0),0)),0,OFFSET('HARGA SATUAN'!$I$6,MATCH(RAB!C45,'HARGA SATUAN'!$C$7:$C$1492,0),0))</f>
        <v>36600</v>
      </c>
      <c r="H45" s="361">
        <f t="shared" ca="1" si="44"/>
        <v>0</v>
      </c>
      <c r="I45" s="361">
        <f t="shared" ca="1" si="45"/>
        <v>0</v>
      </c>
      <c r="J45" s="361">
        <f t="shared" ca="1" si="46"/>
        <v>146400</v>
      </c>
      <c r="K45" s="362">
        <f t="shared" ca="1" si="47"/>
        <v>146400</v>
      </c>
      <c r="L45" s="342"/>
      <c r="M45" s="342"/>
      <c r="N45" s="369"/>
      <c r="O45" s="344"/>
      <c r="P45" s="344"/>
      <c r="Q45" s="398"/>
      <c r="R45" s="344"/>
      <c r="S45" s="398"/>
      <c r="T45" s="399"/>
      <c r="U45" s="399"/>
      <c r="V45" s="399"/>
    </row>
    <row r="46" spans="1:22" s="365" customFormat="1">
      <c r="A46" s="336"/>
      <c r="B46" s="373"/>
      <c r="C46" s="374"/>
      <c r="D46" s="358" t="str">
        <f ca="1">IF(ISERROR(OFFSET('HARGA SATUAN'!$D$6,MATCH(RAB!C46,'HARGA SATUAN'!$C$7:$C$1492,0),0)),"",OFFSET('HARGA SATUAN'!$D$6,MATCH(RAB!C46,'HARGA SATUAN'!$C$7:$C$1492,0),0))</f>
        <v/>
      </c>
      <c r="E46" s="359" t="str">
        <f ca="1">IF(B46="+","Unit",IF(ISERROR(OFFSET('HARGA SATUAN'!$E$6,MATCH(RAB!C46,'HARGA SATUAN'!$C$7:$C$1492,0),0)),"",OFFSET('HARGA SATUAN'!$E$6,MATCH(RAB!C46,'HARGA SATUAN'!$C$7:$C$1492,0),0)))</f>
        <v/>
      </c>
      <c r="F46" s="483"/>
      <c r="G46" s="360">
        <f ca="1">IF(ISERROR(OFFSET('HARGA SATUAN'!$I$6,MATCH(RAB!C46,'HARGA SATUAN'!$C$7:$C$1492,0),0)),0,OFFSET('HARGA SATUAN'!$I$6,MATCH(RAB!C46,'HARGA SATUAN'!$C$7:$C$1492,0),0))</f>
        <v>0</v>
      </c>
      <c r="H46" s="361">
        <f t="shared" ca="1" si="44"/>
        <v>0</v>
      </c>
      <c r="I46" s="361">
        <f t="shared" ca="1" si="45"/>
        <v>0</v>
      </c>
      <c r="J46" s="361">
        <f t="shared" ca="1" si="46"/>
        <v>0</v>
      </c>
      <c r="K46" s="362">
        <f t="shared" ca="1" si="47"/>
        <v>0</v>
      </c>
      <c r="L46" s="342"/>
      <c r="M46" s="342"/>
      <c r="N46" s="369"/>
      <c r="O46" s="344"/>
      <c r="P46" s="344"/>
      <c r="Q46" s="398"/>
      <c r="R46" s="344"/>
      <c r="S46" s="398"/>
      <c r="T46" s="399"/>
      <c r="U46" s="399"/>
      <c r="V46" s="399"/>
    </row>
    <row r="47" spans="1:22" s="365" customFormat="1">
      <c r="A47" s="336"/>
      <c r="B47" s="520" t="s">
        <v>1035</v>
      </c>
      <c r="C47" s="519" t="s">
        <v>1621</v>
      </c>
      <c r="D47" s="358" t="str">
        <f ca="1">IF(ISERROR(OFFSET('HARGA SATUAN'!$D$6,MATCH(RAB!C47,'HARGA SATUAN'!$C$7:$C$1492,0),0)),"",OFFSET('HARGA SATUAN'!$D$6,MATCH(RAB!C47,'HARGA SATUAN'!$C$7:$C$1492,0),0))</f>
        <v/>
      </c>
      <c r="E47" s="359" t="str">
        <f ca="1">IF(B47="+","Unit",IF(ISERROR(OFFSET('HARGA SATUAN'!$E$6,MATCH(RAB!C47,'HARGA SATUAN'!$C$7:$C$1492,0),0)),"",OFFSET('HARGA SATUAN'!$E$6,MATCH(RAB!C47,'HARGA SATUAN'!$C$7:$C$1492,0),0)))</f>
        <v>Unit</v>
      </c>
      <c r="F47" s="483">
        <f>F39</f>
        <v>4</v>
      </c>
      <c r="G47" s="360">
        <f ca="1">IF(ISERROR(OFFSET('HARGA SATUAN'!$I$6,MATCH(RAB!C47,'HARGA SATUAN'!$C$7:$C$1492,0),0)),0,OFFSET('HARGA SATUAN'!$I$6,MATCH(RAB!C47,'HARGA SATUAN'!$C$7:$C$1492,0),0))</f>
        <v>0</v>
      </c>
      <c r="H47" s="361">
        <f t="shared" ca="1" si="44"/>
        <v>0</v>
      </c>
      <c r="I47" s="361">
        <f t="shared" ca="1" si="45"/>
        <v>0</v>
      </c>
      <c r="J47" s="361">
        <f t="shared" ca="1" si="46"/>
        <v>0</v>
      </c>
      <c r="K47" s="362">
        <f t="shared" ca="1" si="47"/>
        <v>0</v>
      </c>
      <c r="L47" s="342"/>
      <c r="M47" s="342"/>
      <c r="N47" s="369"/>
      <c r="O47" s="344"/>
      <c r="P47" s="344"/>
      <c r="Q47" s="398"/>
      <c r="R47" s="344"/>
      <c r="S47" s="398"/>
      <c r="T47" s="399"/>
      <c r="U47" s="399"/>
      <c r="V47" s="399"/>
    </row>
    <row r="48" spans="1:22" s="365" customFormat="1">
      <c r="A48" s="336"/>
      <c r="B48" s="523">
        <v>1</v>
      </c>
      <c r="C48" s="524" t="s">
        <v>597</v>
      </c>
      <c r="D48" s="358" t="str">
        <f ca="1">IF(ISERROR(OFFSET('HARGA SATUAN'!$D$6,MATCH(RAB!C48,'HARGA SATUAN'!$C$7:$C$1492,0),0)),"",OFFSET('HARGA SATUAN'!$D$6,MATCH(RAB!C48,'HARGA SATUAN'!$C$7:$C$1492,0),0))</f>
        <v>HDW</v>
      </c>
      <c r="E48" s="359" t="str">
        <f ca="1">IF(B48="+","Unit",IF(ISERROR(OFFSET('HARGA SATUAN'!$E$6,MATCH(RAB!C48,'HARGA SATUAN'!$C$7:$C$1492,0),0)),"",OFFSET('HARGA SATUAN'!$E$6,MATCH(RAB!C48,'HARGA SATUAN'!$C$7:$C$1492,0),0)))</f>
        <v>Bh</v>
      </c>
      <c r="F48" s="483">
        <f>F47*1</f>
        <v>4</v>
      </c>
      <c r="G48" s="360">
        <f ca="1">IF(ISERROR(OFFSET('HARGA SATUAN'!$I$6,MATCH(RAB!C48,'HARGA SATUAN'!$C$7:$C$1492,0),0)),0,OFFSET('HARGA SATUAN'!$I$6,MATCH(RAB!C48,'HARGA SATUAN'!$C$7:$C$1492,0),0))</f>
        <v>120900</v>
      </c>
      <c r="H48" s="361">
        <f t="shared" ca="1" si="44"/>
        <v>0</v>
      </c>
      <c r="I48" s="361">
        <f t="shared" ca="1" si="45"/>
        <v>483600</v>
      </c>
      <c r="J48" s="361">
        <f t="shared" ca="1" si="46"/>
        <v>0</v>
      </c>
      <c r="K48" s="362">
        <f t="shared" ca="1" si="47"/>
        <v>483600</v>
      </c>
      <c r="L48" s="342"/>
      <c r="M48" s="342"/>
      <c r="N48" s="369"/>
      <c r="O48" s="344"/>
      <c r="P48" s="344"/>
      <c r="Q48" s="398"/>
      <c r="R48" s="344"/>
      <c r="S48" s="398"/>
      <c r="T48" s="399"/>
      <c r="U48" s="399"/>
      <c r="V48" s="399"/>
    </row>
    <row r="49" spans="1:22" s="365" customFormat="1">
      <c r="A49" s="336"/>
      <c r="B49" s="507">
        <v>2</v>
      </c>
      <c r="C49" s="508" t="s">
        <v>261</v>
      </c>
      <c r="D49" s="358" t="str">
        <f ca="1">IF(ISERROR(OFFSET('HARGA SATUAN'!$D$6,MATCH(RAB!C49,'HARGA SATUAN'!$C$7:$C$1492,0),0)),"",OFFSET('HARGA SATUAN'!$D$6,MATCH(RAB!C49,'HARGA SATUAN'!$C$7:$C$1492,0),0))</f>
        <v>HDW</v>
      </c>
      <c r="E49" s="359" t="str">
        <f ca="1">IF(B49="+","Unit",IF(ISERROR(OFFSET('HARGA SATUAN'!$E$6,MATCH(RAB!C49,'HARGA SATUAN'!$C$7:$C$1492,0),0)),"",OFFSET('HARGA SATUAN'!$E$6,MATCH(RAB!C49,'HARGA SATUAN'!$C$7:$C$1492,0),0)))</f>
        <v>Bh</v>
      </c>
      <c r="F49" s="483">
        <f>F47*1</f>
        <v>4</v>
      </c>
      <c r="G49" s="360">
        <f ca="1">IF(ISERROR(OFFSET('HARGA SATUAN'!$I$6,MATCH(RAB!C49,'HARGA SATUAN'!$C$7:$C$1492,0),0)),0,OFFSET('HARGA SATUAN'!$I$6,MATCH(RAB!C49,'HARGA SATUAN'!$C$7:$C$1492,0),0))</f>
        <v>135800</v>
      </c>
      <c r="H49" s="361">
        <f t="shared" ca="1" si="44"/>
        <v>0</v>
      </c>
      <c r="I49" s="361">
        <f t="shared" ca="1" si="45"/>
        <v>543200</v>
      </c>
      <c r="J49" s="361">
        <f t="shared" ca="1" si="46"/>
        <v>0</v>
      </c>
      <c r="K49" s="362">
        <f t="shared" ca="1" si="47"/>
        <v>543200</v>
      </c>
      <c r="L49" s="342"/>
      <c r="M49" s="342"/>
      <c r="N49" s="369"/>
      <c r="O49" s="344"/>
      <c r="P49" s="344"/>
      <c r="Q49" s="398"/>
      <c r="R49" s="344"/>
      <c r="S49" s="398"/>
      <c r="T49" s="399"/>
      <c r="U49" s="399"/>
      <c r="V49" s="399"/>
    </row>
    <row r="50" spans="1:22" s="365" customFormat="1">
      <c r="A50" s="336"/>
      <c r="B50" s="507">
        <v>3</v>
      </c>
      <c r="C50" s="505" t="s">
        <v>214</v>
      </c>
      <c r="D50" s="358" t="str">
        <f ca="1">IF(ISERROR(OFFSET('HARGA SATUAN'!$D$6,MATCH(RAB!C50,'HARGA SATUAN'!$C$7:$C$1492,0),0)),"",OFFSET('HARGA SATUAN'!$D$6,MATCH(RAB!C50,'HARGA SATUAN'!$C$7:$C$1492,0),0))</f>
        <v>HDW</v>
      </c>
      <c r="E50" s="359" t="str">
        <f ca="1">IF(B50="+","Unit",IF(ISERROR(OFFSET('HARGA SATUAN'!$E$6,MATCH(RAB!C50,'HARGA SATUAN'!$C$7:$C$1492,0),0)),"",OFFSET('HARGA SATUAN'!$E$6,MATCH(RAB!C50,'HARGA SATUAN'!$C$7:$C$1492,0),0)))</f>
        <v>Bh</v>
      </c>
      <c r="F50" s="522">
        <f>F47*1</f>
        <v>4</v>
      </c>
      <c r="G50" s="360">
        <f ca="1">IF(ISERROR(OFFSET('HARGA SATUAN'!$I$6,MATCH(RAB!C50,'HARGA SATUAN'!$C$7:$C$1492,0),0)),0,OFFSET('HARGA SATUAN'!$I$6,MATCH(RAB!C50,'HARGA SATUAN'!$C$7:$C$1492,0),0))</f>
        <v>4500</v>
      </c>
      <c r="H50" s="361">
        <f t="shared" ca="1" si="44"/>
        <v>0</v>
      </c>
      <c r="I50" s="361">
        <f t="shared" ca="1" si="45"/>
        <v>18000</v>
      </c>
      <c r="J50" s="361">
        <f t="shared" ca="1" si="46"/>
        <v>0</v>
      </c>
      <c r="K50" s="362">
        <f t="shared" ca="1" si="47"/>
        <v>18000</v>
      </c>
      <c r="L50" s="342"/>
      <c r="M50" s="342"/>
      <c r="N50" s="369"/>
      <c r="O50" s="344"/>
      <c r="P50" s="344"/>
      <c r="Q50" s="398"/>
      <c r="R50" s="344"/>
      <c r="S50" s="398"/>
      <c r="T50" s="399"/>
      <c r="U50" s="399"/>
      <c r="V50" s="399"/>
    </row>
    <row r="51" spans="1:22" s="365" customFormat="1">
      <c r="A51" s="336"/>
      <c r="B51" s="520">
        <v>4</v>
      </c>
      <c r="C51" s="519" t="s">
        <v>768</v>
      </c>
      <c r="D51" s="358" t="str">
        <f ca="1">IF(ISERROR(OFFSET('HARGA SATUAN'!$D$6,MATCH(RAB!C51,'HARGA SATUAN'!$C$7:$C$1492,0),0)),"",OFFSET('HARGA SATUAN'!$D$6,MATCH(RAB!C51,'HARGA SATUAN'!$C$7:$C$1492,0),0))</f>
        <v>JASA</v>
      </c>
      <c r="E51" s="359" t="str">
        <f ca="1">IF(B51="+","Unit",IF(ISERROR(OFFSET('HARGA SATUAN'!$E$6,MATCH(RAB!C51,'HARGA SATUAN'!$C$7:$C$1492,0),0)),"",OFFSET('HARGA SATUAN'!$E$6,MATCH(RAB!C51,'HARGA SATUAN'!$C$7:$C$1492,0),0)))</f>
        <v>Unit</v>
      </c>
      <c r="F51" s="483">
        <f>F47*1</f>
        <v>4</v>
      </c>
      <c r="G51" s="360">
        <f ca="1">IF(ISERROR(OFFSET('HARGA SATUAN'!$I$6,MATCH(RAB!C51,'HARGA SATUAN'!$C$7:$C$1492,0),0)),0,OFFSET('HARGA SATUAN'!$I$6,MATCH(RAB!C51,'HARGA SATUAN'!$C$7:$C$1492,0),0))</f>
        <v>55500</v>
      </c>
      <c r="H51" s="361">
        <f t="shared" ca="1" si="44"/>
        <v>0</v>
      </c>
      <c r="I51" s="361">
        <f t="shared" ca="1" si="45"/>
        <v>0</v>
      </c>
      <c r="J51" s="361">
        <f t="shared" ca="1" si="46"/>
        <v>222000</v>
      </c>
      <c r="K51" s="362">
        <f t="shared" ca="1" si="47"/>
        <v>222000</v>
      </c>
      <c r="L51" s="342"/>
      <c r="M51" s="342"/>
      <c r="N51" s="369"/>
      <c r="O51" s="344"/>
      <c r="P51" s="344"/>
      <c r="Q51" s="398"/>
      <c r="R51" s="344"/>
      <c r="S51" s="398"/>
      <c r="T51" s="399"/>
      <c r="U51" s="399"/>
      <c r="V51" s="399"/>
    </row>
    <row r="52" spans="1:22" s="365" customFormat="1">
      <c r="A52" s="336"/>
      <c r="B52" s="373"/>
      <c r="C52" s="374"/>
      <c r="D52" s="358" t="str">
        <f ca="1">IF(ISERROR(OFFSET('HARGA SATUAN'!$D$6,MATCH(RAB!C52,'HARGA SATUAN'!$C$7:$C$1492,0),0)),"",OFFSET('HARGA SATUAN'!$D$6,MATCH(RAB!C52,'HARGA SATUAN'!$C$7:$C$1492,0),0))</f>
        <v/>
      </c>
      <c r="E52" s="359" t="str">
        <f ca="1">IF(B52="+","Unit",IF(ISERROR(OFFSET('HARGA SATUAN'!$E$6,MATCH(RAB!C52,'HARGA SATUAN'!$C$7:$C$1492,0),0)),"",OFFSET('HARGA SATUAN'!$E$6,MATCH(RAB!C52,'HARGA SATUAN'!$C$7:$C$1492,0),0)))</f>
        <v/>
      </c>
      <c r="F52" s="483"/>
      <c r="G52" s="360">
        <f ca="1">IF(ISERROR(OFFSET('HARGA SATUAN'!$I$6,MATCH(RAB!C52,'HARGA SATUAN'!$C$7:$C$1492,0),0)),0,OFFSET('HARGA SATUAN'!$I$6,MATCH(RAB!C52,'HARGA SATUAN'!$C$7:$C$1492,0),0))</f>
        <v>0</v>
      </c>
      <c r="H52" s="361">
        <f t="shared" ca="1" si="44"/>
        <v>0</v>
      </c>
      <c r="I52" s="361">
        <f t="shared" ca="1" si="45"/>
        <v>0</v>
      </c>
      <c r="J52" s="361">
        <f t="shared" ca="1" si="46"/>
        <v>0</v>
      </c>
      <c r="K52" s="362">
        <f t="shared" ca="1" si="47"/>
        <v>0</v>
      </c>
      <c r="L52" s="342"/>
      <c r="M52" s="342"/>
      <c r="N52" s="369"/>
      <c r="O52" s="344"/>
      <c r="P52" s="344"/>
      <c r="Q52" s="398"/>
      <c r="R52" s="344"/>
      <c r="S52" s="398"/>
      <c r="T52" s="399"/>
      <c r="U52" s="399"/>
      <c r="V52" s="399"/>
    </row>
    <row r="53" spans="1:22" s="365" customFormat="1">
      <c r="A53" s="336"/>
      <c r="B53" s="520" t="s">
        <v>1035</v>
      </c>
      <c r="C53" s="519" t="s">
        <v>1622</v>
      </c>
      <c r="D53" s="358" t="str">
        <f ca="1">IF(ISERROR(OFFSET('HARGA SATUAN'!$D$6,MATCH(RAB!C53,'HARGA SATUAN'!$C$7:$C$1492,0),0)),"",OFFSET('HARGA SATUAN'!$D$6,MATCH(RAB!C53,'HARGA SATUAN'!$C$7:$C$1492,0),0))</f>
        <v/>
      </c>
      <c r="E53" s="359" t="str">
        <f ca="1">IF(B53="+","Unit",IF(ISERROR(OFFSET('HARGA SATUAN'!$E$6,MATCH(RAB!C53,'HARGA SATUAN'!$C$7:$C$1492,0),0)),"",OFFSET('HARGA SATUAN'!$E$6,MATCH(RAB!C53,'HARGA SATUAN'!$C$7:$C$1492,0),0)))</f>
        <v>Unit</v>
      </c>
      <c r="F53" s="483">
        <f>F39</f>
        <v>4</v>
      </c>
      <c r="G53" s="360">
        <f ca="1">IF(ISERROR(OFFSET('HARGA SATUAN'!$I$6,MATCH(RAB!C53,'HARGA SATUAN'!$C$7:$C$1492,0),0)),0,OFFSET('HARGA SATUAN'!$I$6,MATCH(RAB!C53,'HARGA SATUAN'!$C$7:$C$1492,0),0))</f>
        <v>0</v>
      </c>
      <c r="H53" s="361">
        <f t="shared" ca="1" si="44"/>
        <v>0</v>
      </c>
      <c r="I53" s="361">
        <f t="shared" ca="1" si="45"/>
        <v>0</v>
      </c>
      <c r="J53" s="361">
        <f t="shared" ca="1" si="46"/>
        <v>0</v>
      </c>
      <c r="K53" s="362">
        <f t="shared" ca="1" si="47"/>
        <v>0</v>
      </c>
      <c r="L53" s="342"/>
      <c r="M53" s="342"/>
      <c r="N53" s="369"/>
      <c r="O53" s="344"/>
      <c r="P53" s="344"/>
      <c r="Q53" s="398"/>
      <c r="R53" s="344"/>
      <c r="S53" s="398"/>
      <c r="T53" s="399"/>
      <c r="U53" s="399"/>
      <c r="V53" s="399"/>
    </row>
    <row r="54" spans="1:22" s="365" customFormat="1">
      <c r="A54" s="336"/>
      <c r="B54" s="520">
        <v>1</v>
      </c>
      <c r="C54" s="519" t="s">
        <v>30</v>
      </c>
      <c r="D54" s="358" t="str">
        <f ca="1">IF(ISERROR(OFFSET('HARGA SATUAN'!$D$6,MATCH(RAB!C54,'HARGA SATUAN'!$C$7:$C$1492,0),0)),"",OFFSET('HARGA SATUAN'!$D$6,MATCH(RAB!C54,'HARGA SATUAN'!$C$7:$C$1492,0),0))</f>
        <v>HDW</v>
      </c>
      <c r="E54" s="359" t="str">
        <f ca="1">IF(B54="+","Unit",IF(ISERROR(OFFSET('HARGA SATUAN'!$E$6,MATCH(RAB!C54,'HARGA SATUAN'!$C$7:$C$1492,0),0)),"",OFFSET('HARGA SATUAN'!$E$6,MATCH(RAB!C54,'HARGA SATUAN'!$C$7:$C$1492,0),0)))</f>
        <v>Bh</v>
      </c>
      <c r="F54" s="483">
        <f>F53*1</f>
        <v>4</v>
      </c>
      <c r="G54" s="360">
        <f ca="1">IF(ISERROR(OFFSET('HARGA SATUAN'!$I$6,MATCH(RAB!C54,'HARGA SATUAN'!$C$7:$C$1492,0),0)),0,OFFSET('HARGA SATUAN'!$I$6,MATCH(RAB!C54,'HARGA SATUAN'!$C$7:$C$1492,0),0))</f>
        <v>47459</v>
      </c>
      <c r="H54" s="361">
        <f t="shared" ca="1" si="44"/>
        <v>0</v>
      </c>
      <c r="I54" s="361">
        <f t="shared" ca="1" si="45"/>
        <v>189836</v>
      </c>
      <c r="J54" s="361">
        <f t="shared" ca="1" si="46"/>
        <v>0</v>
      </c>
      <c r="K54" s="362">
        <f t="shared" ca="1" si="47"/>
        <v>189836</v>
      </c>
      <c r="L54" s="342"/>
      <c r="M54" s="342"/>
      <c r="N54" s="369"/>
      <c r="O54" s="344"/>
      <c r="P54" s="344"/>
      <c r="Q54" s="398"/>
      <c r="R54" s="344"/>
      <c r="S54" s="398"/>
      <c r="T54" s="399"/>
      <c r="U54" s="399"/>
      <c r="V54" s="399"/>
    </row>
    <row r="55" spans="1:22" s="365" customFormat="1">
      <c r="A55" s="336"/>
      <c r="B55" s="520">
        <v>2</v>
      </c>
      <c r="C55" s="519" t="s">
        <v>32</v>
      </c>
      <c r="D55" s="358" t="str">
        <f ca="1">IF(ISERROR(OFFSET('HARGA SATUAN'!$D$6,MATCH(RAB!C55,'HARGA SATUAN'!$C$7:$C$1492,0),0)),"",OFFSET('HARGA SATUAN'!$D$6,MATCH(RAB!C55,'HARGA SATUAN'!$C$7:$C$1492,0),0))</f>
        <v>HDW</v>
      </c>
      <c r="E55" s="359" t="str">
        <f ca="1">IF(B55="+","Unit",IF(ISERROR(OFFSET('HARGA SATUAN'!$E$6,MATCH(RAB!C55,'HARGA SATUAN'!$C$7:$C$1492,0),0)),"",OFFSET('HARGA SATUAN'!$E$6,MATCH(RAB!C55,'HARGA SATUAN'!$C$7:$C$1492,0),0)))</f>
        <v>Mtr</v>
      </c>
      <c r="F55" s="483">
        <f>F53*1</f>
        <v>4</v>
      </c>
      <c r="G55" s="360">
        <f ca="1">IF(ISERROR(OFFSET('HARGA SATUAN'!$I$6,MATCH(RAB!C55,'HARGA SATUAN'!$C$7:$C$1492,0),0)),0,OFFSET('HARGA SATUAN'!$I$6,MATCH(RAB!C55,'HARGA SATUAN'!$C$7:$C$1492,0),0))</f>
        <v>30000</v>
      </c>
      <c r="H55" s="361">
        <f t="shared" ca="1" si="44"/>
        <v>0</v>
      </c>
      <c r="I55" s="361">
        <f t="shared" ca="1" si="45"/>
        <v>120000</v>
      </c>
      <c r="J55" s="361">
        <f t="shared" ca="1" si="46"/>
        <v>0</v>
      </c>
      <c r="K55" s="362">
        <f t="shared" ca="1" si="47"/>
        <v>120000</v>
      </c>
      <c r="L55" s="342"/>
      <c r="M55" s="342"/>
      <c r="N55" s="369"/>
      <c r="O55" s="344"/>
      <c r="P55" s="344"/>
      <c r="Q55" s="398"/>
      <c r="R55" s="344"/>
      <c r="S55" s="398"/>
      <c r="T55" s="399"/>
      <c r="U55" s="399"/>
      <c r="V55" s="399"/>
    </row>
    <row r="56" spans="1:22" s="365" customFormat="1">
      <c r="A56" s="336"/>
      <c r="B56" s="520">
        <v>3</v>
      </c>
      <c r="C56" s="519" t="s">
        <v>33</v>
      </c>
      <c r="D56" s="358" t="str">
        <f ca="1">IF(ISERROR(OFFSET('HARGA SATUAN'!$D$6,MATCH(RAB!C56,'HARGA SATUAN'!$C$7:$C$1492,0),0)),"",OFFSET('HARGA SATUAN'!$D$6,MATCH(RAB!C56,'HARGA SATUAN'!$C$7:$C$1492,0),0))</f>
        <v>HDW</v>
      </c>
      <c r="E56" s="359" t="str">
        <f ca="1">IF(B56="+","Unit",IF(ISERROR(OFFSET('HARGA SATUAN'!$E$6,MATCH(RAB!C56,'HARGA SATUAN'!$C$7:$C$1492,0),0)),"",OFFSET('HARGA SATUAN'!$E$6,MATCH(RAB!C56,'HARGA SATUAN'!$C$7:$C$1492,0),0)))</f>
        <v>Bh</v>
      </c>
      <c r="F56" s="483">
        <f>F53*1</f>
        <v>4</v>
      </c>
      <c r="G56" s="360">
        <f ca="1">IF(ISERROR(OFFSET('HARGA SATUAN'!$I$6,MATCH(RAB!C56,'HARGA SATUAN'!$C$7:$C$1492,0),0)),0,OFFSET('HARGA SATUAN'!$I$6,MATCH(RAB!C56,'HARGA SATUAN'!$C$7:$C$1492,0),0))</f>
        <v>9500</v>
      </c>
      <c r="H56" s="361">
        <f t="shared" ca="1" si="44"/>
        <v>0</v>
      </c>
      <c r="I56" s="361">
        <f t="shared" ca="1" si="45"/>
        <v>38000</v>
      </c>
      <c r="J56" s="361">
        <f t="shared" ca="1" si="46"/>
        <v>0</v>
      </c>
      <c r="K56" s="362">
        <f t="shared" ca="1" si="47"/>
        <v>38000</v>
      </c>
      <c r="L56" s="342"/>
      <c r="M56" s="342"/>
      <c r="N56" s="369"/>
      <c r="O56" s="344"/>
      <c r="P56" s="344"/>
      <c r="Q56" s="398"/>
      <c r="R56" s="344"/>
      <c r="S56" s="398"/>
      <c r="T56" s="399"/>
      <c r="U56" s="399"/>
      <c r="V56" s="399"/>
    </row>
    <row r="57" spans="1:22" s="365" customFormat="1">
      <c r="A57" s="336"/>
      <c r="B57" s="520">
        <v>4</v>
      </c>
      <c r="C57" s="519" t="s">
        <v>738</v>
      </c>
      <c r="D57" s="358" t="str">
        <f ca="1">IF(ISERROR(OFFSET('HARGA SATUAN'!$D$6,MATCH(RAB!C57,'HARGA SATUAN'!$C$7:$C$1492,0),0)),"",OFFSET('HARGA SATUAN'!$D$6,MATCH(RAB!C57,'HARGA SATUAN'!$C$7:$C$1492,0),0))</f>
        <v>JASA</v>
      </c>
      <c r="E57" s="359" t="str">
        <f ca="1">IF(B57="+","Unit",IF(ISERROR(OFFSET('HARGA SATUAN'!$E$6,MATCH(RAB!C57,'HARGA SATUAN'!$C$7:$C$1492,0),0)),"",OFFSET('HARGA SATUAN'!$E$6,MATCH(RAB!C57,'HARGA SATUAN'!$C$7:$C$1492,0),0)))</f>
        <v>Unit</v>
      </c>
      <c r="F57" s="483">
        <f>F53*1</f>
        <v>4</v>
      </c>
      <c r="G57" s="360">
        <f ca="1">IF(ISERROR(OFFSET('HARGA SATUAN'!$I$6,MATCH(RAB!C57,'HARGA SATUAN'!$C$7:$C$1492,0),0)),0,OFFSET('HARGA SATUAN'!$I$6,MATCH(RAB!C57,'HARGA SATUAN'!$C$7:$C$1492,0),0))</f>
        <v>21200</v>
      </c>
      <c r="H57" s="361">
        <f t="shared" ca="1" si="44"/>
        <v>0</v>
      </c>
      <c r="I57" s="361">
        <f t="shared" ca="1" si="45"/>
        <v>0</v>
      </c>
      <c r="J57" s="361">
        <f t="shared" ca="1" si="46"/>
        <v>84800</v>
      </c>
      <c r="K57" s="362">
        <f t="shared" ca="1" si="47"/>
        <v>84800</v>
      </c>
      <c r="L57" s="342"/>
      <c r="M57" s="342"/>
      <c r="N57" s="369"/>
      <c r="O57" s="344"/>
      <c r="P57" s="344"/>
      <c r="Q57" s="398"/>
      <c r="R57" s="344"/>
      <c r="S57" s="398"/>
      <c r="T57" s="399"/>
      <c r="U57" s="399"/>
      <c r="V57" s="399"/>
    </row>
    <row r="58" spans="1:22" s="365" customFormat="1">
      <c r="A58" s="336"/>
      <c r="B58" s="373"/>
      <c r="C58" s="374"/>
      <c r="D58" s="358" t="str">
        <f ca="1">IF(ISERROR(OFFSET('HARGA SATUAN'!$D$6,MATCH(RAB!C58,'HARGA SATUAN'!$C$7:$C$1492,0),0)),"",OFFSET('HARGA SATUAN'!$D$6,MATCH(RAB!C58,'HARGA SATUAN'!$C$7:$C$1492,0),0))</f>
        <v/>
      </c>
      <c r="E58" s="359" t="str">
        <f ca="1">IF(B58="+","Unit",IF(ISERROR(OFFSET('HARGA SATUAN'!$E$6,MATCH(RAB!C58,'HARGA SATUAN'!$C$7:$C$1492,0),0)),"",OFFSET('HARGA SATUAN'!$E$6,MATCH(RAB!C58,'HARGA SATUAN'!$C$7:$C$1492,0),0)))</f>
        <v/>
      </c>
      <c r="F58" s="483"/>
      <c r="G58" s="360">
        <f ca="1">IF(ISERROR(OFFSET('HARGA SATUAN'!$I$6,MATCH(RAB!C58,'HARGA SATUAN'!$C$7:$C$1492,0),0)),0,OFFSET('HARGA SATUAN'!$I$6,MATCH(RAB!C58,'HARGA SATUAN'!$C$7:$C$1492,0),0))</f>
        <v>0</v>
      </c>
      <c r="H58" s="361">
        <f t="shared" ca="1" si="44"/>
        <v>0</v>
      </c>
      <c r="I58" s="361">
        <f t="shared" ca="1" si="45"/>
        <v>0</v>
      </c>
      <c r="J58" s="361">
        <f t="shared" ca="1" si="46"/>
        <v>0</v>
      </c>
      <c r="K58" s="362">
        <f t="shared" ca="1" si="47"/>
        <v>0</v>
      </c>
      <c r="L58" s="342"/>
      <c r="M58" s="342"/>
      <c r="N58" s="369"/>
      <c r="O58" s="344"/>
      <c r="P58" s="344"/>
      <c r="Q58" s="398"/>
      <c r="R58" s="344"/>
      <c r="S58" s="398"/>
      <c r="T58" s="399"/>
      <c r="U58" s="399"/>
      <c r="V58" s="399"/>
    </row>
    <row r="59" spans="1:22" s="365" customFormat="1">
      <c r="A59" s="336"/>
      <c r="B59" s="373" t="s">
        <v>1549</v>
      </c>
      <c r="C59" s="374" t="s">
        <v>1616</v>
      </c>
      <c r="D59" s="358" t="str">
        <f ca="1">IF(ISERROR(OFFSET('HARGA SATUAN'!$D$6,MATCH(RAB!C59,'HARGA SATUAN'!$C$7:$C$1492,0),0)),"",OFFSET('HARGA SATUAN'!$D$6,MATCH(RAB!C59,'HARGA SATUAN'!$C$7:$C$1492,0),0))</f>
        <v/>
      </c>
      <c r="E59" s="359" t="str">
        <f ca="1">IF(B59="+","Unit",IF(ISERROR(OFFSET('HARGA SATUAN'!$E$6,MATCH(RAB!C59,'HARGA SATUAN'!$C$7:$C$1492,0),0)),"",OFFSET('HARGA SATUAN'!$E$6,MATCH(RAB!C59,'HARGA SATUAN'!$C$7:$C$1492,0),0)))</f>
        <v/>
      </c>
      <c r="F59" s="483"/>
      <c r="G59" s="360">
        <f ca="1">IF(ISERROR(OFFSET('HARGA SATUAN'!$I$6,MATCH(RAB!C59,'HARGA SATUAN'!$C$7:$C$1492,0),0)),0,OFFSET('HARGA SATUAN'!$I$6,MATCH(RAB!C59,'HARGA SATUAN'!$C$7:$C$1492,0),0))</f>
        <v>0</v>
      </c>
      <c r="H59" s="361">
        <f t="shared" ca="1" si="44"/>
        <v>0</v>
      </c>
      <c r="I59" s="361">
        <f t="shared" ca="1" si="45"/>
        <v>0</v>
      </c>
      <c r="J59" s="361">
        <f t="shared" ca="1" si="46"/>
        <v>0</v>
      </c>
      <c r="K59" s="362">
        <f t="shared" ca="1" si="47"/>
        <v>0</v>
      </c>
      <c r="L59" s="342"/>
      <c r="M59" s="342"/>
      <c r="N59" s="369"/>
      <c r="O59" s="344"/>
      <c r="P59" s="344"/>
      <c r="Q59" s="398"/>
      <c r="R59" s="344"/>
      <c r="S59" s="398"/>
      <c r="T59" s="399"/>
      <c r="U59" s="399"/>
      <c r="V59" s="399"/>
    </row>
    <row r="60" spans="1:22" s="365" customFormat="1">
      <c r="A60" s="336"/>
      <c r="B60" s="373"/>
      <c r="C60" s="374"/>
      <c r="D60" s="358" t="str">
        <f ca="1">IF(ISERROR(OFFSET('HARGA SATUAN'!$D$6,MATCH(RAB!C60,'HARGA SATUAN'!$C$7:$C$1492,0),0)),"",OFFSET('HARGA SATUAN'!$D$6,MATCH(RAB!C60,'HARGA SATUAN'!$C$7:$C$1492,0),0))</f>
        <v/>
      </c>
      <c r="E60" s="359" t="str">
        <f ca="1">IF(B60="+","Unit",IF(ISERROR(OFFSET('HARGA SATUAN'!$E$6,MATCH(RAB!C60,'HARGA SATUAN'!$C$7:$C$1492,0),0)),"",OFFSET('HARGA SATUAN'!$E$6,MATCH(RAB!C60,'HARGA SATUAN'!$C$7:$C$1492,0),0)))</f>
        <v/>
      </c>
      <c r="F60" s="483"/>
      <c r="G60" s="360">
        <f ca="1">IF(ISERROR(OFFSET('HARGA SATUAN'!$I$6,MATCH(RAB!C60,'HARGA SATUAN'!$C$7:$C$1492,0),0)),0,OFFSET('HARGA SATUAN'!$I$6,MATCH(RAB!C60,'HARGA SATUAN'!$C$7:$C$1492,0),0))</f>
        <v>0</v>
      </c>
      <c r="H60" s="361">
        <f t="shared" ca="1" si="44"/>
        <v>0</v>
      </c>
      <c r="I60" s="361">
        <f t="shared" ca="1" si="45"/>
        <v>0</v>
      </c>
      <c r="J60" s="361">
        <f t="shared" ca="1" si="46"/>
        <v>0</v>
      </c>
      <c r="K60" s="362">
        <f t="shared" ca="1" si="47"/>
        <v>0</v>
      </c>
      <c r="L60" s="342"/>
      <c r="M60" s="342"/>
      <c r="N60" s="369"/>
      <c r="O60" s="344"/>
      <c r="P60" s="344"/>
      <c r="Q60" s="398"/>
      <c r="R60" s="344"/>
      <c r="S60" s="398"/>
      <c r="T60" s="399"/>
      <c r="U60" s="399"/>
      <c r="V60" s="399"/>
    </row>
    <row r="61" spans="1:22" s="365" customFormat="1">
      <c r="A61" s="336"/>
      <c r="B61" s="514" t="s">
        <v>1035</v>
      </c>
      <c r="C61" s="519" t="s">
        <v>1638</v>
      </c>
      <c r="D61" s="358" t="str">
        <f ca="1">IF(ISERROR(OFFSET('HARGA SATUAN'!$D$6,MATCH(RAB!C61,'HARGA SATUAN'!$C$7:$C$1492,0),0)),"",OFFSET('HARGA SATUAN'!$D$6,MATCH(RAB!C61,'HARGA SATUAN'!$C$7:$C$1492,0),0))</f>
        <v/>
      </c>
      <c r="E61" s="359" t="str">
        <f ca="1">IF(B61="+","Unit",IF(ISERROR(OFFSET('HARGA SATUAN'!$E$6,MATCH(RAB!C61,'HARGA SATUAN'!$C$7:$C$1492,0),0)),"",OFFSET('HARGA SATUAN'!$E$6,MATCH(RAB!C61,'HARGA SATUAN'!$C$7:$C$1492,0),0)))</f>
        <v>Unit</v>
      </c>
      <c r="F61" s="483">
        <v>1</v>
      </c>
      <c r="G61" s="360">
        <f ca="1">IF(ISERROR(OFFSET('HARGA SATUAN'!$I$6,MATCH(RAB!C61,'HARGA SATUAN'!$C$7:$C$1492,0),0)),0,OFFSET('HARGA SATUAN'!$I$6,MATCH(RAB!C61,'HARGA SATUAN'!$C$7:$C$1492,0),0))</f>
        <v>0</v>
      </c>
      <c r="H61" s="361">
        <f t="shared" ref="H61" ca="1" si="48">IF(OR(D61="MDU",D61="MDU-KD"),(IF($O$3="RAB NON MDU","PLN KD",G61*F61)),0)</f>
        <v>0</v>
      </c>
      <c r="I61" s="361">
        <f t="shared" ref="I61" ca="1" si="49">IF(D61="HDW",G61*F61,0)</f>
        <v>0</v>
      </c>
      <c r="J61" s="361">
        <f t="shared" ref="J61" ca="1" si="50">IF(D61="JASA",G61*F61,0)</f>
        <v>0</v>
      </c>
      <c r="K61" s="362">
        <f t="shared" ref="K61" ca="1" si="51">SUM(H61:J61)</f>
        <v>0</v>
      </c>
      <c r="L61" s="342"/>
      <c r="M61" s="342"/>
      <c r="N61" s="369"/>
      <c r="O61" s="344"/>
      <c r="P61" s="344"/>
      <c r="Q61" s="344"/>
      <c r="R61" s="344"/>
      <c r="S61" s="344"/>
      <c r="T61" s="403"/>
      <c r="U61" s="403"/>
      <c r="V61" s="403"/>
    </row>
    <row r="62" spans="1:22" s="365" customFormat="1">
      <c r="A62" s="336"/>
      <c r="B62" s="514">
        <v>1</v>
      </c>
      <c r="C62" s="109" t="s">
        <v>1146</v>
      </c>
      <c r="D62" s="358" t="str">
        <f ca="1">IF(ISERROR(OFFSET('HARGA SATUAN'!$D$6,MATCH(RAB!C62,'HARGA SATUAN'!$C$7:$C$1492,0),0)),"",OFFSET('HARGA SATUAN'!$D$6,MATCH(RAB!C62,'HARGA SATUAN'!$C$7:$C$1492,0),0))</f>
        <v>MDU-KD</v>
      </c>
      <c r="E62" s="359" t="str">
        <f ca="1">IF(B62="+","Unit",IF(ISERROR(OFFSET('HARGA SATUAN'!$E$6,MATCH(RAB!C62,'HARGA SATUAN'!$C$7:$C$1492,0),0)),"",OFFSET('HARGA SATUAN'!$E$6,MATCH(RAB!C62,'HARGA SATUAN'!$C$7:$C$1492,0),0)))</f>
        <v>Bh</v>
      </c>
      <c r="F62" s="483">
        <f>F61*1</f>
        <v>1</v>
      </c>
      <c r="G62" s="360">
        <f ca="1">IF(ISERROR(OFFSET('HARGA SATUAN'!$I$6,MATCH(RAB!C62,'HARGA SATUAN'!$C$7:$C$1492,0),0)),0,OFFSET('HARGA SATUAN'!$I$6,MATCH(RAB!C62,'HARGA SATUAN'!$C$7:$C$1492,0),0))</f>
        <v>42757200</v>
      </c>
      <c r="H62" s="361">
        <f t="shared" ref="H62:H119" ca="1" si="52">IF(OR(D62="MDU",D62="MDU-KD"),(IF($O$3="RAB NON MDU","PLN KD",G62*F62)),0)</f>
        <v>42757200</v>
      </c>
      <c r="I62" s="361">
        <f t="shared" ref="I62:I119" ca="1" si="53">IF(D62="HDW",G62*F62,0)</f>
        <v>0</v>
      </c>
      <c r="J62" s="361">
        <f t="shared" ref="J62:J119" ca="1" si="54">IF(D62="JASA",G62*F62,0)</f>
        <v>0</v>
      </c>
      <c r="K62" s="362">
        <f t="shared" ref="K62:K119" ca="1" si="55">SUM(H62:J62)</f>
        <v>42757200</v>
      </c>
      <c r="L62" s="342"/>
      <c r="M62" s="342"/>
      <c r="N62" s="369"/>
      <c r="O62" s="344"/>
      <c r="P62" s="344"/>
      <c r="Q62" s="344"/>
      <c r="R62" s="344"/>
      <c r="S62" s="344"/>
      <c r="T62" s="399"/>
      <c r="U62" s="399"/>
      <c r="V62" s="399"/>
    </row>
    <row r="63" spans="1:22" s="365" customFormat="1">
      <c r="A63" s="336"/>
      <c r="B63" s="507">
        <v>2</v>
      </c>
      <c r="C63" s="516" t="s">
        <v>1631</v>
      </c>
      <c r="D63" s="358" t="str">
        <f ca="1">IF(ISERROR(OFFSET('HARGA SATUAN'!$D$6,MATCH(RAB!C63,'HARGA SATUAN'!$C$7:$C$1492,0),0)),"",OFFSET('HARGA SATUAN'!$D$6,MATCH(RAB!C63,'HARGA SATUAN'!$C$7:$C$1492,0),0))</f>
        <v/>
      </c>
      <c r="E63" s="359" t="str">
        <f ca="1">IF(B63="+","Unit",IF(ISERROR(OFFSET('HARGA SATUAN'!$E$6,MATCH(RAB!C63,'HARGA SATUAN'!$C$7:$C$1492,0),0)),"",OFFSET('HARGA SATUAN'!$E$6,MATCH(RAB!C63,'HARGA SATUAN'!$C$7:$C$1492,0),0)))</f>
        <v/>
      </c>
      <c r="F63" s="517"/>
      <c r="G63" s="360">
        <f ca="1">IF(ISERROR(OFFSET('HARGA SATUAN'!$I$6,MATCH(RAB!C63,'HARGA SATUAN'!$C$7:$C$1492,0),0)),0,OFFSET('HARGA SATUAN'!$I$6,MATCH(RAB!C63,'HARGA SATUAN'!$C$7:$C$1492,0),0))</f>
        <v>0</v>
      </c>
      <c r="H63" s="361">
        <f t="shared" ref="H63:H83" ca="1" si="56">IF(OR(D63="MDU",D63="MDU-KD"),(IF($O$3="RAB NON MDU","PLN KD",G63*F63)),0)</f>
        <v>0</v>
      </c>
      <c r="I63" s="361">
        <f t="shared" ref="I63:I83" ca="1" si="57">IF(D63="HDW",G63*F63,0)</f>
        <v>0</v>
      </c>
      <c r="J63" s="361">
        <f t="shared" ref="J63:J83" ca="1" si="58">IF(D63="JASA",G63*F63,0)</f>
        <v>0</v>
      </c>
      <c r="K63" s="362">
        <f t="shared" ref="K63:K83" ca="1" si="59">SUM(H63:J63)</f>
        <v>0</v>
      </c>
      <c r="L63" s="342"/>
      <c r="M63" s="342"/>
      <c r="N63" s="369"/>
      <c r="O63" s="344"/>
      <c r="P63" s="344"/>
      <c r="Q63" s="344"/>
      <c r="R63" s="344"/>
      <c r="S63" s="344"/>
      <c r="T63" s="399"/>
      <c r="U63" s="399"/>
      <c r="V63" s="399"/>
    </row>
    <row r="64" spans="1:22" s="365" customFormat="1">
      <c r="A64" s="336"/>
      <c r="B64" s="514"/>
      <c r="C64" s="516" t="s">
        <v>65</v>
      </c>
      <c r="D64" s="358" t="str">
        <f ca="1">IF(ISERROR(OFFSET('HARGA SATUAN'!$D$6,MATCH(RAB!C64,'HARGA SATUAN'!$C$7:$C$1492,0),0)),"",OFFSET('HARGA SATUAN'!$D$6,MATCH(RAB!C64,'HARGA SATUAN'!$C$7:$C$1492,0),0))</f>
        <v>MDU-KD</v>
      </c>
      <c r="E64" s="359" t="str">
        <f ca="1">IF(B64="+","Unit",IF(ISERROR(OFFSET('HARGA SATUAN'!$E$6,MATCH(RAB!C64,'HARGA SATUAN'!$C$7:$C$1492,0),0)),"",OFFSET('HARGA SATUAN'!$E$6,MATCH(RAB!C64,'HARGA SATUAN'!$C$7:$C$1492,0),0)))</f>
        <v>Mtr</v>
      </c>
      <c r="F64" s="483">
        <f>F61*(3*3)</f>
        <v>9</v>
      </c>
      <c r="G64" s="360">
        <f ca="1">IF(ISERROR(OFFSET('HARGA SATUAN'!$I$6,MATCH(RAB!C64,'HARGA SATUAN'!$C$7:$C$1492,0),0)),0,OFFSET('HARGA SATUAN'!$I$6,MATCH(RAB!C64,'HARGA SATUAN'!$C$7:$C$1492,0),0))</f>
        <v>14200</v>
      </c>
      <c r="H64" s="361">
        <f t="shared" ca="1" si="56"/>
        <v>127800</v>
      </c>
      <c r="I64" s="361">
        <f t="shared" ca="1" si="57"/>
        <v>0</v>
      </c>
      <c r="J64" s="361">
        <f t="shared" ca="1" si="58"/>
        <v>0</v>
      </c>
      <c r="K64" s="362">
        <f t="shared" ca="1" si="59"/>
        <v>127800</v>
      </c>
      <c r="L64" s="342"/>
      <c r="M64" s="342"/>
      <c r="N64" s="369"/>
      <c r="O64" s="344"/>
      <c r="P64" s="344"/>
      <c r="Q64" s="344"/>
      <c r="R64" s="344"/>
      <c r="S64" s="344"/>
      <c r="T64" s="399"/>
      <c r="U64" s="399"/>
      <c r="V64" s="399"/>
    </row>
    <row r="65" spans="2:11">
      <c r="B65" s="514"/>
      <c r="C65" s="516" t="s">
        <v>1632</v>
      </c>
      <c r="D65" s="358" t="str">
        <f ca="1">IF(ISERROR(OFFSET('HARGA SATUAN'!$D$6,MATCH(RAB!C65,'HARGA SATUAN'!$C$7:$C$1492,0),0)),"",OFFSET('HARGA SATUAN'!$D$6,MATCH(RAB!C65,'HARGA SATUAN'!$C$7:$C$1492,0),0))</f>
        <v/>
      </c>
      <c r="E65" s="359" t="str">
        <f ca="1">IF(B65="+","Unit",IF(ISERROR(OFFSET('HARGA SATUAN'!$E$6,MATCH(RAB!C65,'HARGA SATUAN'!$C$7:$C$1492,0),0)),"",OFFSET('HARGA SATUAN'!$E$6,MATCH(RAB!C65,'HARGA SATUAN'!$C$7:$C$1492,0),0)))</f>
        <v/>
      </c>
      <c r="F65" s="483">
        <f>F61*3</f>
        <v>3</v>
      </c>
      <c r="G65" s="360">
        <f ca="1">IF(ISERROR(OFFSET('HARGA SATUAN'!$I$6,MATCH(RAB!C65,'HARGA SATUAN'!$C$7:$C$1492,0),0)),0,OFFSET('HARGA SATUAN'!$I$6,MATCH(RAB!C65,'HARGA SATUAN'!$C$7:$C$1492,0),0))</f>
        <v>0</v>
      </c>
      <c r="H65" s="361">
        <f t="shared" ca="1" si="56"/>
        <v>0</v>
      </c>
      <c r="I65" s="361">
        <f t="shared" ca="1" si="57"/>
        <v>0</v>
      </c>
      <c r="J65" s="361">
        <f t="shared" ca="1" si="58"/>
        <v>0</v>
      </c>
      <c r="K65" s="362">
        <f t="shared" ca="1" si="59"/>
        <v>0</v>
      </c>
    </row>
    <row r="66" spans="2:11">
      <c r="B66" s="514">
        <v>3</v>
      </c>
      <c r="C66" s="109" t="s">
        <v>559</v>
      </c>
      <c r="D66" s="358" t="str">
        <f ca="1">IF(ISERROR(OFFSET('HARGA SATUAN'!$D$6,MATCH(RAB!C66,'HARGA SATUAN'!$C$7:$C$1492,0),0)),"",OFFSET('HARGA SATUAN'!$D$6,MATCH(RAB!C66,'HARGA SATUAN'!$C$7:$C$1492,0),0))</f>
        <v>MDU-KD</v>
      </c>
      <c r="E66" s="359" t="str">
        <f ca="1">IF(B66="+","Unit",IF(ISERROR(OFFSET('HARGA SATUAN'!$E$6,MATCH(RAB!C66,'HARGA SATUAN'!$C$7:$C$1492,0),0)),"",OFFSET('HARGA SATUAN'!$E$6,MATCH(RAB!C66,'HARGA SATUAN'!$C$7:$C$1492,0),0)))</f>
        <v>Bh</v>
      </c>
      <c r="F66" s="483">
        <f>F61*3</f>
        <v>3</v>
      </c>
      <c r="G66" s="360">
        <f ca="1">IF(ISERROR(OFFSET('HARGA SATUAN'!$I$6,MATCH(RAB!C66,'HARGA SATUAN'!$C$7:$C$1492,0),0)),0,OFFSET('HARGA SATUAN'!$I$6,MATCH(RAB!C66,'HARGA SATUAN'!$C$7:$C$1492,0),0))</f>
        <v>725900</v>
      </c>
      <c r="H66" s="361">
        <f t="shared" ca="1" si="56"/>
        <v>2177700</v>
      </c>
      <c r="I66" s="361">
        <f t="shared" ca="1" si="57"/>
        <v>0</v>
      </c>
      <c r="J66" s="361">
        <f t="shared" ca="1" si="58"/>
        <v>0</v>
      </c>
      <c r="K66" s="362">
        <f t="shared" ca="1" si="59"/>
        <v>2177700</v>
      </c>
    </row>
    <row r="67" spans="2:11">
      <c r="B67" s="514">
        <v>4</v>
      </c>
      <c r="C67" s="515" t="s">
        <v>535</v>
      </c>
      <c r="D67" s="358" t="str">
        <f ca="1">IF(ISERROR(OFFSET('HARGA SATUAN'!$D$6,MATCH(RAB!C67,'HARGA SATUAN'!$C$7:$C$1492,0),0)),"",OFFSET('HARGA SATUAN'!$D$6,MATCH(RAB!C67,'HARGA SATUAN'!$C$7:$C$1492,0),0))</f>
        <v>MDU-KD</v>
      </c>
      <c r="E67" s="359" t="str">
        <f ca="1">IF(B67="+","Unit",IF(ISERROR(OFFSET('HARGA SATUAN'!$E$6,MATCH(RAB!C67,'HARGA SATUAN'!$C$7:$C$1492,0),0)),"",OFFSET('HARGA SATUAN'!$E$6,MATCH(RAB!C67,'HARGA SATUAN'!$C$7:$C$1492,0),0)))</f>
        <v>Bh</v>
      </c>
      <c r="F67" s="483">
        <f>F61*3</f>
        <v>3</v>
      </c>
      <c r="G67" s="360">
        <f ca="1">IF(ISERROR(OFFSET('HARGA SATUAN'!$I$6,MATCH(RAB!C67,'HARGA SATUAN'!$C$7:$C$1492,0),0)),0,OFFSET('HARGA SATUAN'!$I$6,MATCH(RAB!C67,'HARGA SATUAN'!$C$7:$C$1492,0),0))</f>
        <v>848250</v>
      </c>
      <c r="H67" s="361">
        <f t="shared" ca="1" si="56"/>
        <v>2544750</v>
      </c>
      <c r="I67" s="361">
        <f t="shared" ca="1" si="57"/>
        <v>0</v>
      </c>
      <c r="J67" s="361">
        <f t="shared" ca="1" si="58"/>
        <v>0</v>
      </c>
      <c r="K67" s="362">
        <f t="shared" ca="1" si="59"/>
        <v>2544750</v>
      </c>
    </row>
    <row r="68" spans="2:11">
      <c r="B68" s="514">
        <v>5</v>
      </c>
      <c r="C68" s="515" t="s">
        <v>55</v>
      </c>
      <c r="D68" s="358" t="str">
        <f ca="1">IF(ISERROR(OFFSET('HARGA SATUAN'!$D$6,MATCH(RAB!C68,'HARGA SATUAN'!$C$7:$C$1492,0),0)),"",OFFSET('HARGA SATUAN'!$D$6,MATCH(RAB!C68,'HARGA SATUAN'!$C$7:$C$1492,0),0))</f>
        <v>HDW</v>
      </c>
      <c r="E68" s="359" t="str">
        <f ca="1">IF(B68="+","Unit",IF(ISERROR(OFFSET('HARGA SATUAN'!$E$6,MATCH(RAB!C68,'HARGA SATUAN'!$C$7:$C$1492,0),0)),"",OFFSET('HARGA SATUAN'!$E$6,MATCH(RAB!C68,'HARGA SATUAN'!$C$7:$C$1492,0),0)))</f>
        <v>Bh</v>
      </c>
      <c r="F68" s="483">
        <f>F61*3</f>
        <v>3</v>
      </c>
      <c r="G68" s="360">
        <f ca="1">IF(ISERROR(OFFSET('HARGA SATUAN'!$I$6,MATCH(RAB!C68,'HARGA SATUAN'!$C$7:$C$1492,0),0)),0,OFFSET('HARGA SATUAN'!$I$6,MATCH(RAB!C68,'HARGA SATUAN'!$C$7:$C$1492,0),0))</f>
        <v>18000</v>
      </c>
      <c r="H68" s="361">
        <f t="shared" ca="1" si="56"/>
        <v>0</v>
      </c>
      <c r="I68" s="361">
        <f t="shared" ca="1" si="57"/>
        <v>54000</v>
      </c>
      <c r="J68" s="361">
        <f t="shared" ca="1" si="58"/>
        <v>0</v>
      </c>
      <c r="K68" s="362">
        <f t="shared" ca="1" si="59"/>
        <v>54000</v>
      </c>
    </row>
    <row r="69" spans="2:11">
      <c r="B69" s="514">
        <v>6</v>
      </c>
      <c r="C69" s="515" t="s">
        <v>1633</v>
      </c>
      <c r="D69" s="358" t="str">
        <f ca="1">IF(ISERROR(OFFSET('HARGA SATUAN'!$D$6,MATCH(RAB!C69,'HARGA SATUAN'!$C$7:$C$1492,0),0)),"",OFFSET('HARGA SATUAN'!$D$6,MATCH(RAB!C69,'HARGA SATUAN'!$C$7:$C$1492,0),0))</f>
        <v/>
      </c>
      <c r="E69" s="359" t="str">
        <f ca="1">IF(B69="+","Unit",IF(ISERROR(OFFSET('HARGA SATUAN'!$E$6,MATCH(RAB!C69,'HARGA SATUAN'!$C$7:$C$1492,0),0)),"",OFFSET('HARGA SATUAN'!$E$6,MATCH(RAB!C69,'HARGA SATUAN'!$C$7:$C$1492,0),0)))</f>
        <v/>
      </c>
      <c r="F69" s="483">
        <f>F61*13</f>
        <v>13</v>
      </c>
      <c r="G69" s="360">
        <f ca="1">IF(ISERROR(OFFSET('HARGA SATUAN'!$I$6,MATCH(RAB!C69,'HARGA SATUAN'!$C$7:$C$1492,0),0)),0,OFFSET('HARGA SATUAN'!$I$6,MATCH(RAB!C69,'HARGA SATUAN'!$C$7:$C$1492,0),0))</f>
        <v>0</v>
      </c>
      <c r="H69" s="361">
        <f t="shared" ca="1" si="56"/>
        <v>0</v>
      </c>
      <c r="I69" s="361">
        <f t="shared" ca="1" si="57"/>
        <v>0</v>
      </c>
      <c r="J69" s="361">
        <f t="shared" ca="1" si="58"/>
        <v>0</v>
      </c>
      <c r="K69" s="362">
        <f t="shared" ca="1" si="59"/>
        <v>0</v>
      </c>
    </row>
    <row r="70" spans="2:11">
      <c r="B70" s="514">
        <v>7</v>
      </c>
      <c r="C70" s="515" t="s">
        <v>163</v>
      </c>
      <c r="D70" s="358" t="str">
        <f ca="1">IF(ISERROR(OFFSET('HARGA SATUAN'!$D$6,MATCH(RAB!C70,'HARGA SATUAN'!$C$7:$C$1492,0),0)),"",OFFSET('HARGA SATUAN'!$D$6,MATCH(RAB!C70,'HARGA SATUAN'!$C$7:$C$1492,0),0))</f>
        <v>HDW</v>
      </c>
      <c r="E70" s="359" t="str">
        <f ca="1">IF(B70="+","Unit",IF(ISERROR(OFFSET('HARGA SATUAN'!$E$6,MATCH(RAB!C70,'HARGA SATUAN'!$C$7:$C$1492,0),0)),"",OFFSET('HARGA SATUAN'!$E$6,MATCH(RAB!C70,'HARGA SATUAN'!$C$7:$C$1492,0),0)))</f>
        <v>Bh</v>
      </c>
      <c r="F70" s="483">
        <f>F61*22</f>
        <v>22</v>
      </c>
      <c r="G70" s="360">
        <f ca="1">IF(ISERROR(OFFSET('HARGA SATUAN'!$I$6,MATCH(RAB!C70,'HARGA SATUAN'!$C$7:$C$1492,0),0)),0,OFFSET('HARGA SATUAN'!$I$6,MATCH(RAB!C70,'HARGA SATUAN'!$C$7:$C$1492,0),0))</f>
        <v>7938</v>
      </c>
      <c r="H70" s="361">
        <f t="shared" ca="1" si="56"/>
        <v>0</v>
      </c>
      <c r="I70" s="361">
        <f t="shared" ca="1" si="57"/>
        <v>174636</v>
      </c>
      <c r="J70" s="361">
        <f t="shared" ca="1" si="58"/>
        <v>0</v>
      </c>
      <c r="K70" s="362">
        <f t="shared" ca="1" si="59"/>
        <v>174636</v>
      </c>
    </row>
    <row r="71" spans="2:11">
      <c r="B71" s="514">
        <v>8</v>
      </c>
      <c r="C71" s="515" t="s">
        <v>176</v>
      </c>
      <c r="D71" s="358" t="str">
        <f ca="1">IF(ISERROR(OFFSET('HARGA SATUAN'!$D$6,MATCH(RAB!C71,'HARGA SATUAN'!$C$7:$C$1492,0),0)),"",OFFSET('HARGA SATUAN'!$D$6,MATCH(RAB!C71,'HARGA SATUAN'!$C$7:$C$1492,0),0))</f>
        <v>HDW</v>
      </c>
      <c r="E71" s="359" t="str">
        <f ca="1">IF(B71="+","Unit",IF(ISERROR(OFFSET('HARGA SATUAN'!$E$6,MATCH(RAB!C71,'HARGA SATUAN'!$C$7:$C$1492,0),0)),"",OFFSET('HARGA SATUAN'!$E$6,MATCH(RAB!C71,'HARGA SATUAN'!$C$7:$C$1492,0),0)))</f>
        <v>Bh</v>
      </c>
      <c r="F71" s="483">
        <f>F61*1</f>
        <v>1</v>
      </c>
      <c r="G71" s="360">
        <f ca="1">IF(ISERROR(OFFSET('HARGA SATUAN'!$I$6,MATCH(RAB!C71,'HARGA SATUAN'!$C$7:$C$1492,0),0)),0,OFFSET('HARGA SATUAN'!$I$6,MATCH(RAB!C71,'HARGA SATUAN'!$C$7:$C$1492,0),0))</f>
        <v>404600</v>
      </c>
      <c r="H71" s="361">
        <f t="shared" ca="1" si="56"/>
        <v>0</v>
      </c>
      <c r="I71" s="361">
        <f t="shared" ca="1" si="57"/>
        <v>404600</v>
      </c>
      <c r="J71" s="361">
        <f t="shared" ca="1" si="58"/>
        <v>0</v>
      </c>
      <c r="K71" s="362">
        <f t="shared" ca="1" si="59"/>
        <v>404600</v>
      </c>
    </row>
    <row r="72" spans="2:11">
      <c r="B72" s="514">
        <v>9</v>
      </c>
      <c r="C72" s="515" t="s">
        <v>184</v>
      </c>
      <c r="D72" s="358" t="str">
        <f ca="1">IF(ISERROR(OFFSET('HARGA SATUAN'!$D$6,MATCH(RAB!C72,'HARGA SATUAN'!$C$7:$C$1492,0),0)),"",OFFSET('HARGA SATUAN'!$D$6,MATCH(RAB!C72,'HARGA SATUAN'!$C$7:$C$1492,0),0))</f>
        <v>HDW</v>
      </c>
      <c r="E72" s="359" t="str">
        <f ca="1">IF(B72="+","Unit",IF(ISERROR(OFFSET('HARGA SATUAN'!$E$6,MATCH(RAB!C72,'HARGA SATUAN'!$C$7:$C$1492,0),0)),"",OFFSET('HARGA SATUAN'!$E$6,MATCH(RAB!C72,'HARGA SATUAN'!$C$7:$C$1492,0),0)))</f>
        <v>Bh</v>
      </c>
      <c r="F72" s="483">
        <f>F61*3</f>
        <v>3</v>
      </c>
      <c r="G72" s="360">
        <f ca="1">IF(ISERROR(OFFSET('HARGA SATUAN'!$I$6,MATCH(RAB!C72,'HARGA SATUAN'!$C$7:$C$1492,0),0)),0,OFFSET('HARGA SATUAN'!$I$6,MATCH(RAB!C72,'HARGA SATUAN'!$C$7:$C$1492,0),0))</f>
        <v>15900</v>
      </c>
      <c r="H72" s="361">
        <f t="shared" ca="1" si="56"/>
        <v>0</v>
      </c>
      <c r="I72" s="361">
        <f t="shared" ca="1" si="57"/>
        <v>47700</v>
      </c>
      <c r="J72" s="361">
        <f t="shared" ca="1" si="58"/>
        <v>0</v>
      </c>
      <c r="K72" s="362">
        <f t="shared" ca="1" si="59"/>
        <v>47700</v>
      </c>
    </row>
    <row r="73" spans="2:11">
      <c r="B73" s="514">
        <v>10</v>
      </c>
      <c r="C73" s="515" t="s">
        <v>592</v>
      </c>
      <c r="D73" s="358" t="str">
        <f ca="1">IF(ISERROR(OFFSET('HARGA SATUAN'!$D$6,MATCH(RAB!C73,'HARGA SATUAN'!$C$7:$C$1492,0),0)),"",OFFSET('HARGA SATUAN'!$D$6,MATCH(RAB!C73,'HARGA SATUAN'!$C$7:$C$1492,0),0))</f>
        <v>HDW</v>
      </c>
      <c r="E73" s="359" t="str">
        <f ca="1">IF(B73="+","Unit",IF(ISERROR(OFFSET('HARGA SATUAN'!$E$6,MATCH(RAB!C73,'HARGA SATUAN'!$C$7:$C$1492,0),0)),"",OFFSET('HARGA SATUAN'!$E$6,MATCH(RAB!C73,'HARGA SATUAN'!$C$7:$C$1492,0),0)))</f>
        <v>Bh</v>
      </c>
      <c r="F73" s="483">
        <f>F61*5</f>
        <v>5</v>
      </c>
      <c r="G73" s="360">
        <f ca="1">IF(ISERROR(OFFSET('HARGA SATUAN'!$I$6,MATCH(RAB!C73,'HARGA SATUAN'!$C$7:$C$1492,0),0)),0,OFFSET('HARGA SATUAN'!$I$6,MATCH(RAB!C73,'HARGA SATUAN'!$C$7:$C$1492,0),0))</f>
        <v>283100</v>
      </c>
      <c r="H73" s="361">
        <f t="shared" ca="1" si="56"/>
        <v>0</v>
      </c>
      <c r="I73" s="361">
        <f t="shared" ca="1" si="57"/>
        <v>1415500</v>
      </c>
      <c r="J73" s="361">
        <f t="shared" ca="1" si="58"/>
        <v>0</v>
      </c>
      <c r="K73" s="362">
        <f t="shared" ca="1" si="59"/>
        <v>1415500</v>
      </c>
    </row>
    <row r="74" spans="2:11">
      <c r="B74" s="514">
        <v>11</v>
      </c>
      <c r="C74" s="515" t="s">
        <v>593</v>
      </c>
      <c r="D74" s="358" t="str">
        <f ca="1">IF(ISERROR(OFFSET('HARGA SATUAN'!$D$6,MATCH(RAB!C74,'HARGA SATUAN'!$C$7:$C$1492,0),0)),"",OFFSET('HARGA SATUAN'!$D$6,MATCH(RAB!C74,'HARGA SATUAN'!$C$7:$C$1492,0),0))</f>
        <v>HDW</v>
      </c>
      <c r="E74" s="359" t="str">
        <f ca="1">IF(B74="+","Unit",IF(ISERROR(OFFSET('HARGA SATUAN'!$E$6,MATCH(RAB!C74,'HARGA SATUAN'!$C$7:$C$1492,0),0)),"",OFFSET('HARGA SATUAN'!$E$6,MATCH(RAB!C74,'HARGA SATUAN'!$C$7:$C$1492,0),0)))</f>
        <v>Bh</v>
      </c>
      <c r="F74" s="483">
        <f>F61*4</f>
        <v>4</v>
      </c>
      <c r="G74" s="360">
        <f ca="1">IF(ISERROR(OFFSET('HARGA SATUAN'!$I$6,MATCH(RAB!C74,'HARGA SATUAN'!$C$7:$C$1492,0),0)),0,OFFSET('HARGA SATUAN'!$I$6,MATCH(RAB!C74,'HARGA SATUAN'!$C$7:$C$1492,0),0))</f>
        <v>380500</v>
      </c>
      <c r="H74" s="361">
        <f t="shared" ca="1" si="56"/>
        <v>0</v>
      </c>
      <c r="I74" s="361">
        <f t="shared" ca="1" si="57"/>
        <v>1522000</v>
      </c>
      <c r="J74" s="361">
        <f t="shared" ca="1" si="58"/>
        <v>0</v>
      </c>
      <c r="K74" s="362">
        <f t="shared" ca="1" si="59"/>
        <v>1522000</v>
      </c>
    </row>
    <row r="75" spans="2:11">
      <c r="B75" s="514">
        <v>12</v>
      </c>
      <c r="C75" s="515" t="s">
        <v>208</v>
      </c>
      <c r="D75" s="358" t="str">
        <f ca="1">IF(ISERROR(OFFSET('HARGA SATUAN'!$D$6,MATCH(RAB!C75,'HARGA SATUAN'!$C$7:$C$1492,0),0)),"",OFFSET('HARGA SATUAN'!$D$6,MATCH(RAB!C75,'HARGA SATUAN'!$C$7:$C$1492,0),0))</f>
        <v>HDW</v>
      </c>
      <c r="E75" s="359" t="str">
        <f ca="1">IF(B75="+","Unit",IF(ISERROR(OFFSET('HARGA SATUAN'!$E$6,MATCH(RAB!C75,'HARGA SATUAN'!$C$7:$C$1492,0),0)),"",OFFSET('HARGA SATUAN'!$E$6,MATCH(RAB!C75,'HARGA SATUAN'!$C$7:$C$1492,0),0)))</f>
        <v>Bh</v>
      </c>
      <c r="F75" s="483">
        <f>F61*3</f>
        <v>3</v>
      </c>
      <c r="G75" s="360">
        <f ca="1">IF(ISERROR(OFFSET('HARGA SATUAN'!$I$6,MATCH(RAB!C75,'HARGA SATUAN'!$C$7:$C$1492,0),0)),0,OFFSET('HARGA SATUAN'!$I$6,MATCH(RAB!C75,'HARGA SATUAN'!$C$7:$C$1492,0),0))</f>
        <v>173400</v>
      </c>
      <c r="H75" s="361">
        <f t="shared" ca="1" si="56"/>
        <v>0</v>
      </c>
      <c r="I75" s="361">
        <f t="shared" ca="1" si="57"/>
        <v>520200</v>
      </c>
      <c r="J75" s="361">
        <f t="shared" ca="1" si="58"/>
        <v>0</v>
      </c>
      <c r="K75" s="362">
        <f t="shared" ca="1" si="59"/>
        <v>520200</v>
      </c>
    </row>
    <row r="76" spans="2:11">
      <c r="B76" s="514">
        <v>13</v>
      </c>
      <c r="C76" s="515" t="s">
        <v>247</v>
      </c>
      <c r="D76" s="358" t="str">
        <f ca="1">IF(ISERROR(OFFSET('HARGA SATUAN'!$D$6,MATCH(RAB!C76,'HARGA SATUAN'!$C$7:$C$1492,0),0)),"",OFFSET('HARGA SATUAN'!$D$6,MATCH(RAB!C76,'HARGA SATUAN'!$C$7:$C$1492,0),0))</f>
        <v>HDW</v>
      </c>
      <c r="E76" s="359" t="str">
        <f ca="1">IF(B76="+","Unit",IF(ISERROR(OFFSET('HARGA SATUAN'!$E$6,MATCH(RAB!C76,'HARGA SATUAN'!$C$7:$C$1492,0),0)),"",OFFSET('HARGA SATUAN'!$E$6,MATCH(RAB!C76,'HARGA SATUAN'!$C$7:$C$1492,0),0)))</f>
        <v>Bh</v>
      </c>
      <c r="F76" s="483">
        <f>F61*1</f>
        <v>1</v>
      </c>
      <c r="G76" s="360">
        <f ca="1">IF(ISERROR(OFFSET('HARGA SATUAN'!$I$6,MATCH(RAB!C76,'HARGA SATUAN'!$C$7:$C$1492,0),0)),0,OFFSET('HARGA SATUAN'!$I$6,MATCH(RAB!C76,'HARGA SATUAN'!$C$7:$C$1492,0),0))</f>
        <v>57690</v>
      </c>
      <c r="H76" s="361">
        <f t="shared" ca="1" si="56"/>
        <v>0</v>
      </c>
      <c r="I76" s="361">
        <f t="shared" ca="1" si="57"/>
        <v>57690</v>
      </c>
      <c r="J76" s="361">
        <f t="shared" ca="1" si="58"/>
        <v>0</v>
      </c>
      <c r="K76" s="362">
        <f t="shared" ca="1" si="59"/>
        <v>57690</v>
      </c>
    </row>
    <row r="77" spans="2:11">
      <c r="B77" s="514">
        <v>14</v>
      </c>
      <c r="C77" s="515" t="s">
        <v>234</v>
      </c>
      <c r="D77" s="358" t="str">
        <f ca="1">IF(ISERROR(OFFSET('HARGA SATUAN'!$D$6,MATCH(RAB!C77,'HARGA SATUAN'!$C$7:$C$1492,0),0)),"",OFFSET('HARGA SATUAN'!$D$6,MATCH(RAB!C77,'HARGA SATUAN'!$C$7:$C$1492,0),0))</f>
        <v>HDW</v>
      </c>
      <c r="E77" s="359" t="str">
        <f ca="1">IF(B77="+","Unit",IF(ISERROR(OFFSET('HARGA SATUAN'!$E$6,MATCH(RAB!C77,'HARGA SATUAN'!$C$7:$C$1492,0),0)),"",OFFSET('HARGA SATUAN'!$E$6,MATCH(RAB!C77,'HARGA SATUAN'!$C$7:$C$1492,0),0)))</f>
        <v>Bh</v>
      </c>
      <c r="F77" s="483">
        <f>F61*2</f>
        <v>2</v>
      </c>
      <c r="G77" s="360">
        <f ca="1">IF(ISERROR(OFFSET('HARGA SATUAN'!$I$6,MATCH(RAB!C77,'HARGA SATUAN'!$C$7:$C$1492,0),0)),0,OFFSET('HARGA SATUAN'!$I$6,MATCH(RAB!C77,'HARGA SATUAN'!$C$7:$C$1492,0),0))</f>
        <v>67500</v>
      </c>
      <c r="H77" s="361">
        <f t="shared" ca="1" si="56"/>
        <v>0</v>
      </c>
      <c r="I77" s="361">
        <f t="shared" ca="1" si="57"/>
        <v>135000</v>
      </c>
      <c r="J77" s="361">
        <f t="shared" ca="1" si="58"/>
        <v>0</v>
      </c>
      <c r="K77" s="362">
        <f t="shared" ca="1" si="59"/>
        <v>135000</v>
      </c>
    </row>
    <row r="78" spans="2:11">
      <c r="B78" s="514">
        <v>15</v>
      </c>
      <c r="C78" s="515" t="s">
        <v>267</v>
      </c>
      <c r="D78" s="358" t="str">
        <f ca="1">IF(ISERROR(OFFSET('HARGA SATUAN'!$D$6,MATCH(RAB!C78,'HARGA SATUAN'!$C$7:$C$1492,0),0)),"",OFFSET('HARGA SATUAN'!$D$6,MATCH(RAB!C78,'HARGA SATUAN'!$C$7:$C$1492,0),0))</f>
        <v>HDW</v>
      </c>
      <c r="E78" s="359" t="str">
        <f ca="1">IF(B78="+","Unit",IF(ISERROR(OFFSET('HARGA SATUAN'!$E$6,MATCH(RAB!C78,'HARGA SATUAN'!$C$7:$C$1492,0),0)),"",OFFSET('HARGA SATUAN'!$E$6,MATCH(RAB!C78,'HARGA SATUAN'!$C$7:$C$1492,0),0)))</f>
        <v>Bh</v>
      </c>
      <c r="F78" s="483">
        <f>F61*2</f>
        <v>2</v>
      </c>
      <c r="G78" s="360">
        <f ca="1">IF(ISERROR(OFFSET('HARGA SATUAN'!$I$6,MATCH(RAB!C78,'HARGA SATUAN'!$C$7:$C$1492,0),0)),0,OFFSET('HARGA SATUAN'!$I$6,MATCH(RAB!C78,'HARGA SATUAN'!$C$7:$C$1492,0),0))</f>
        <v>129000</v>
      </c>
      <c r="H78" s="361">
        <f t="shared" ca="1" si="56"/>
        <v>0</v>
      </c>
      <c r="I78" s="361">
        <f t="shared" ca="1" si="57"/>
        <v>258000</v>
      </c>
      <c r="J78" s="361">
        <f t="shared" ca="1" si="58"/>
        <v>0</v>
      </c>
      <c r="K78" s="362">
        <f t="shared" ca="1" si="59"/>
        <v>258000</v>
      </c>
    </row>
    <row r="79" spans="2:11">
      <c r="B79" s="514">
        <v>16</v>
      </c>
      <c r="C79" s="515" t="s">
        <v>607</v>
      </c>
      <c r="D79" s="358" t="str">
        <f ca="1">IF(ISERROR(OFFSET('HARGA SATUAN'!$D$6,MATCH(RAB!C79,'HARGA SATUAN'!$C$7:$C$1492,0),0)),"",OFFSET('HARGA SATUAN'!$D$6,MATCH(RAB!C79,'HARGA SATUAN'!$C$7:$C$1492,0),0))</f>
        <v>HDW</v>
      </c>
      <c r="E79" s="359" t="str">
        <f ca="1">IF(B79="+","Unit",IF(ISERROR(OFFSET('HARGA SATUAN'!$E$6,MATCH(RAB!C79,'HARGA SATUAN'!$C$7:$C$1492,0),0)),"",OFFSET('HARGA SATUAN'!$E$6,MATCH(RAB!C79,'HARGA SATUAN'!$C$7:$C$1492,0),0)))</f>
        <v>Bh</v>
      </c>
      <c r="F79" s="483">
        <f>F61*4</f>
        <v>4</v>
      </c>
      <c r="G79" s="360">
        <f ca="1">IF(ISERROR(OFFSET('HARGA SATUAN'!$I$6,MATCH(RAB!C79,'HARGA SATUAN'!$C$7:$C$1492,0),0)),0,OFFSET('HARGA SATUAN'!$I$6,MATCH(RAB!C79,'HARGA SATUAN'!$C$7:$C$1492,0),0))</f>
        <v>250000</v>
      </c>
      <c r="H79" s="361">
        <f t="shared" ca="1" si="56"/>
        <v>0</v>
      </c>
      <c r="I79" s="361">
        <f t="shared" ca="1" si="57"/>
        <v>1000000</v>
      </c>
      <c r="J79" s="361">
        <f t="shared" ca="1" si="58"/>
        <v>0</v>
      </c>
      <c r="K79" s="362">
        <f t="shared" ca="1" si="59"/>
        <v>1000000</v>
      </c>
    </row>
    <row r="80" spans="2:11">
      <c r="B80" s="514">
        <v>17</v>
      </c>
      <c r="C80" s="519" t="s">
        <v>783</v>
      </c>
      <c r="D80" s="358" t="str">
        <f ca="1">IF(ISERROR(OFFSET('HARGA SATUAN'!$D$6,MATCH(RAB!C80,'HARGA SATUAN'!$C$7:$C$1492,0),0)),"",OFFSET('HARGA SATUAN'!$D$6,MATCH(RAB!C80,'HARGA SATUAN'!$C$7:$C$1492,0),0))</f>
        <v>JASA</v>
      </c>
      <c r="E80" s="359" t="str">
        <f ca="1">IF(B80="+","Unit",IF(ISERROR(OFFSET('HARGA SATUAN'!$E$6,MATCH(RAB!C80,'HARGA SATUAN'!$C$7:$C$1492,0),0)),"",OFFSET('HARGA SATUAN'!$E$6,MATCH(RAB!C80,'HARGA SATUAN'!$C$7:$C$1492,0),0)))</f>
        <v>Unit</v>
      </c>
      <c r="F80" s="483">
        <f>F61*1</f>
        <v>1</v>
      </c>
      <c r="G80" s="360">
        <f ca="1">IF(ISERROR(OFFSET('HARGA SATUAN'!$I$6,MATCH(RAB!C80,'HARGA SATUAN'!$C$7:$C$1492,0),0)),0,OFFSET('HARGA SATUAN'!$I$6,MATCH(RAB!C80,'HARGA SATUAN'!$C$7:$C$1492,0),0))</f>
        <v>1182800</v>
      </c>
      <c r="H80" s="361">
        <f t="shared" ca="1" si="56"/>
        <v>0</v>
      </c>
      <c r="I80" s="361">
        <f t="shared" ca="1" si="57"/>
        <v>0</v>
      </c>
      <c r="J80" s="361">
        <f t="shared" ca="1" si="58"/>
        <v>1182800</v>
      </c>
      <c r="K80" s="362">
        <f t="shared" ca="1" si="59"/>
        <v>1182800</v>
      </c>
    </row>
    <row r="81" spans="2:11">
      <c r="B81" s="500"/>
      <c r="C81" s="109"/>
      <c r="D81" s="358" t="str">
        <f ca="1">IF(ISERROR(OFFSET('HARGA SATUAN'!$D$6,MATCH(RAB!C81,'HARGA SATUAN'!$C$7:$C$1492,0),0)),"",OFFSET('HARGA SATUAN'!$D$6,MATCH(RAB!C81,'HARGA SATUAN'!$C$7:$C$1492,0),0))</f>
        <v/>
      </c>
      <c r="E81" s="359" t="str">
        <f ca="1">IF(B81="+","Unit",IF(ISERROR(OFFSET('HARGA SATUAN'!$E$6,MATCH(RAB!C81,'HARGA SATUAN'!$C$7:$C$1492,0),0)),"",OFFSET('HARGA SATUAN'!$E$6,MATCH(RAB!C81,'HARGA SATUAN'!$C$7:$C$1492,0),0)))</f>
        <v/>
      </c>
      <c r="F81" s="483"/>
      <c r="G81" s="360">
        <f ca="1">IF(ISERROR(OFFSET('HARGA SATUAN'!$I$6,MATCH(RAB!C81,'HARGA SATUAN'!$C$7:$C$1492,0),0)),0,OFFSET('HARGA SATUAN'!$I$6,MATCH(RAB!C81,'HARGA SATUAN'!$C$7:$C$1492,0),0))</f>
        <v>0</v>
      </c>
      <c r="H81" s="361">
        <f t="shared" ca="1" si="56"/>
        <v>0</v>
      </c>
      <c r="I81" s="361">
        <f t="shared" ca="1" si="57"/>
        <v>0</v>
      </c>
      <c r="J81" s="361">
        <f t="shared" ca="1" si="58"/>
        <v>0</v>
      </c>
      <c r="K81" s="362">
        <f t="shared" ca="1" si="59"/>
        <v>0</v>
      </c>
    </row>
    <row r="82" spans="2:11">
      <c r="B82" s="507" t="s">
        <v>1035</v>
      </c>
      <c r="C82" s="508" t="s">
        <v>1629</v>
      </c>
      <c r="D82" s="358" t="str">
        <f ca="1">IF(ISERROR(OFFSET('HARGA SATUAN'!$D$6,MATCH(RAB!C82,'HARGA SATUAN'!$C$7:$C$1492,0),0)),"",OFFSET('HARGA SATUAN'!$D$6,MATCH(RAB!C82,'HARGA SATUAN'!$C$7:$C$1492,0),0))</f>
        <v/>
      </c>
      <c r="E82" s="359" t="str">
        <f ca="1">IF(B82="+","Unit",IF(ISERROR(OFFSET('HARGA SATUAN'!$E$6,MATCH(RAB!C82,'HARGA SATUAN'!$C$7:$C$1492,0),0)),"",OFFSET('HARGA SATUAN'!$E$6,MATCH(RAB!C82,'HARGA SATUAN'!$C$7:$C$1492,0),0)))</f>
        <v>Unit</v>
      </c>
      <c r="F82" s="483">
        <v>2</v>
      </c>
      <c r="G82" s="360">
        <f ca="1">IF(ISERROR(OFFSET('HARGA SATUAN'!$I$6,MATCH(RAB!C82,'HARGA SATUAN'!$C$7:$C$1492,0),0)),0,OFFSET('HARGA SATUAN'!$I$6,MATCH(RAB!C82,'HARGA SATUAN'!$C$7:$C$1492,0),0))</f>
        <v>0</v>
      </c>
      <c r="H82" s="361">
        <f t="shared" ca="1" si="56"/>
        <v>0</v>
      </c>
      <c r="I82" s="361">
        <f t="shared" ca="1" si="57"/>
        <v>0</v>
      </c>
      <c r="J82" s="361">
        <f t="shared" ca="1" si="58"/>
        <v>0</v>
      </c>
      <c r="K82" s="362">
        <f t="shared" ca="1" si="59"/>
        <v>0</v>
      </c>
    </row>
    <row r="83" spans="2:11">
      <c r="B83" s="507">
        <v>1</v>
      </c>
      <c r="C83" s="505" t="s">
        <v>29</v>
      </c>
      <c r="D83" s="358" t="str">
        <f ca="1">IF(ISERROR(OFFSET('HARGA SATUAN'!$D$6,MATCH(RAB!C83,'HARGA SATUAN'!$C$7:$C$1492,0),0)),"",OFFSET('HARGA SATUAN'!$D$6,MATCH(RAB!C83,'HARGA SATUAN'!$C$7:$C$1492,0),0))</f>
        <v>HDW</v>
      </c>
      <c r="E83" s="359" t="str">
        <f ca="1">IF(B83="+","Unit",IF(ISERROR(OFFSET('HARGA SATUAN'!$E$6,MATCH(RAB!C83,'HARGA SATUAN'!$C$7:$C$1492,0),0)),"",OFFSET('HARGA SATUAN'!$E$6,MATCH(RAB!C83,'HARGA SATUAN'!$C$7:$C$1492,0),0)))</f>
        <v>Bh</v>
      </c>
      <c r="F83" s="483">
        <f>F82*1</f>
        <v>2</v>
      </c>
      <c r="G83" s="360">
        <f ca="1">IF(ISERROR(OFFSET('HARGA SATUAN'!$I$6,MATCH(RAB!C83,'HARGA SATUAN'!$C$7:$C$1492,0),0)),0,OFFSET('HARGA SATUAN'!$I$6,MATCH(RAB!C83,'HARGA SATUAN'!$C$7:$C$1492,0),0))</f>
        <v>185200</v>
      </c>
      <c r="H83" s="361">
        <f t="shared" ca="1" si="56"/>
        <v>0</v>
      </c>
      <c r="I83" s="361">
        <f t="shared" ca="1" si="57"/>
        <v>370400</v>
      </c>
      <c r="J83" s="361">
        <f t="shared" ca="1" si="58"/>
        <v>0</v>
      </c>
      <c r="K83" s="362">
        <f t="shared" ca="1" si="59"/>
        <v>370400</v>
      </c>
    </row>
    <row r="84" spans="2:11">
      <c r="B84" s="514">
        <v>2</v>
      </c>
      <c r="C84" s="515" t="s">
        <v>30</v>
      </c>
      <c r="D84" s="358" t="str">
        <f ca="1">IF(ISERROR(OFFSET('HARGA SATUAN'!$D$6,MATCH(RAB!C84,'HARGA SATUAN'!$C$7:$C$1492,0),0)),"",OFFSET('HARGA SATUAN'!$D$6,MATCH(RAB!C84,'HARGA SATUAN'!$C$7:$C$1492,0),0))</f>
        <v>HDW</v>
      </c>
      <c r="E84" s="359" t="str">
        <f ca="1">IF(B84="+","Unit",IF(ISERROR(OFFSET('HARGA SATUAN'!$E$6,MATCH(RAB!C84,'HARGA SATUAN'!$C$7:$C$1492,0),0)),"",OFFSET('HARGA SATUAN'!$E$6,MATCH(RAB!C84,'HARGA SATUAN'!$C$7:$C$1492,0),0)))</f>
        <v>Bh</v>
      </c>
      <c r="F84" s="483">
        <f>F82*1</f>
        <v>2</v>
      </c>
      <c r="G84" s="360">
        <f ca="1">IF(ISERROR(OFFSET('HARGA SATUAN'!$I$6,MATCH(RAB!C84,'HARGA SATUAN'!$C$7:$C$1492,0),0)),0,OFFSET('HARGA SATUAN'!$I$6,MATCH(RAB!C84,'HARGA SATUAN'!$C$7:$C$1492,0),0))</f>
        <v>47459</v>
      </c>
      <c r="H84" s="361">
        <f t="shared" ref="H84:H94" ca="1" si="60">IF(OR(D84="MDU",D84="MDU-KD"),(IF($O$3="RAB NON MDU","PLN KD",G84*F84)),0)</f>
        <v>0</v>
      </c>
      <c r="I84" s="361">
        <f t="shared" ref="I84:I94" ca="1" si="61">IF(D84="HDW",G84*F84,0)</f>
        <v>94918</v>
      </c>
      <c r="J84" s="361">
        <f t="shared" ref="J84:J94" ca="1" si="62">IF(D84="JASA",G84*F84,0)</f>
        <v>0</v>
      </c>
      <c r="K84" s="362">
        <f t="shared" ref="K84:K94" ca="1" si="63">SUM(H84:J84)</f>
        <v>94918</v>
      </c>
    </row>
    <row r="85" spans="2:11">
      <c r="B85" s="514">
        <v>3</v>
      </c>
      <c r="C85" s="515" t="s">
        <v>31</v>
      </c>
      <c r="D85" s="358" t="str">
        <f ca="1">IF(ISERROR(OFFSET('HARGA SATUAN'!$D$6,MATCH(RAB!C85,'HARGA SATUAN'!$C$7:$C$1492,0),0)),"",OFFSET('HARGA SATUAN'!$D$6,MATCH(RAB!C85,'HARGA SATUAN'!$C$7:$C$1492,0),0))</f>
        <v>HDW</v>
      </c>
      <c r="E85" s="359" t="str">
        <f ca="1">IF(B85="+","Unit",IF(ISERROR(OFFSET('HARGA SATUAN'!$E$6,MATCH(RAB!C85,'HARGA SATUAN'!$C$7:$C$1492,0),0)),"",OFFSET('HARGA SATUAN'!$E$6,MATCH(RAB!C85,'HARGA SATUAN'!$C$7:$C$1492,0),0)))</f>
        <v>Bh</v>
      </c>
      <c r="F85" s="483">
        <f>F82*1</f>
        <v>2</v>
      </c>
      <c r="G85" s="360">
        <f ca="1">IF(ISERROR(OFFSET('HARGA SATUAN'!$I$6,MATCH(RAB!C85,'HARGA SATUAN'!$C$7:$C$1492,0),0)),0,OFFSET('HARGA SATUAN'!$I$6,MATCH(RAB!C85,'HARGA SATUAN'!$C$7:$C$1492,0),0))</f>
        <v>4880</v>
      </c>
      <c r="H85" s="361">
        <f t="shared" ca="1" si="60"/>
        <v>0</v>
      </c>
      <c r="I85" s="361">
        <f t="shared" ca="1" si="61"/>
        <v>9760</v>
      </c>
      <c r="J85" s="361">
        <f t="shared" ca="1" si="62"/>
        <v>0</v>
      </c>
      <c r="K85" s="362">
        <f t="shared" ca="1" si="63"/>
        <v>9760</v>
      </c>
    </row>
    <row r="86" spans="2:11">
      <c r="B86" s="514">
        <v>4</v>
      </c>
      <c r="C86" s="515" t="s">
        <v>32</v>
      </c>
      <c r="D86" s="358" t="str">
        <f ca="1">IF(ISERROR(OFFSET('HARGA SATUAN'!$D$6,MATCH(RAB!C86,'HARGA SATUAN'!$C$7:$C$1492,0),0)),"",OFFSET('HARGA SATUAN'!$D$6,MATCH(RAB!C86,'HARGA SATUAN'!$C$7:$C$1492,0),0))</f>
        <v>HDW</v>
      </c>
      <c r="E86" s="359" t="str">
        <f ca="1">IF(B86="+","Unit",IF(ISERROR(OFFSET('HARGA SATUAN'!$E$6,MATCH(RAB!C86,'HARGA SATUAN'!$C$7:$C$1492,0),0)),"",OFFSET('HARGA SATUAN'!$E$6,MATCH(RAB!C86,'HARGA SATUAN'!$C$7:$C$1492,0),0)))</f>
        <v>Mtr</v>
      </c>
      <c r="F86" s="483">
        <f>F82*10</f>
        <v>20</v>
      </c>
      <c r="G86" s="360">
        <f ca="1">IF(ISERROR(OFFSET('HARGA SATUAN'!$I$6,MATCH(RAB!C86,'HARGA SATUAN'!$C$7:$C$1492,0),0)),0,OFFSET('HARGA SATUAN'!$I$6,MATCH(RAB!C86,'HARGA SATUAN'!$C$7:$C$1492,0),0))</f>
        <v>30000</v>
      </c>
      <c r="H86" s="361">
        <f t="shared" ca="1" si="60"/>
        <v>0</v>
      </c>
      <c r="I86" s="361">
        <f t="shared" ca="1" si="61"/>
        <v>600000</v>
      </c>
      <c r="J86" s="361">
        <f t="shared" ca="1" si="62"/>
        <v>0</v>
      </c>
      <c r="K86" s="362">
        <f t="shared" ca="1" si="63"/>
        <v>600000</v>
      </c>
    </row>
    <row r="87" spans="2:11">
      <c r="B87" s="514">
        <v>5</v>
      </c>
      <c r="C87" s="515" t="s">
        <v>33</v>
      </c>
      <c r="D87" s="358" t="str">
        <f ca="1">IF(ISERROR(OFFSET('HARGA SATUAN'!$D$6,MATCH(RAB!C87,'HARGA SATUAN'!$C$7:$C$1492,0),0)),"",OFFSET('HARGA SATUAN'!$D$6,MATCH(RAB!C87,'HARGA SATUAN'!$C$7:$C$1492,0),0))</f>
        <v>HDW</v>
      </c>
      <c r="E87" s="359" t="str">
        <f ca="1">IF(B87="+","Unit",IF(ISERROR(OFFSET('HARGA SATUAN'!$E$6,MATCH(RAB!C87,'HARGA SATUAN'!$C$7:$C$1492,0),0)),"",OFFSET('HARGA SATUAN'!$E$6,MATCH(RAB!C87,'HARGA SATUAN'!$C$7:$C$1492,0),0)))</f>
        <v>Bh</v>
      </c>
      <c r="F87" s="483">
        <f>F82*2</f>
        <v>4</v>
      </c>
      <c r="G87" s="360">
        <f ca="1">IF(ISERROR(OFFSET('HARGA SATUAN'!$I$6,MATCH(RAB!C87,'HARGA SATUAN'!$C$7:$C$1492,0),0)),0,OFFSET('HARGA SATUAN'!$I$6,MATCH(RAB!C87,'HARGA SATUAN'!$C$7:$C$1492,0),0))</f>
        <v>9500</v>
      </c>
      <c r="H87" s="361">
        <f t="shared" ca="1" si="60"/>
        <v>0</v>
      </c>
      <c r="I87" s="361">
        <f t="shared" ca="1" si="61"/>
        <v>38000</v>
      </c>
      <c r="J87" s="361">
        <f t="shared" ca="1" si="62"/>
        <v>0</v>
      </c>
      <c r="K87" s="362">
        <f t="shared" ca="1" si="63"/>
        <v>38000</v>
      </c>
    </row>
    <row r="88" spans="2:11">
      <c r="B88" s="514">
        <v>6</v>
      </c>
      <c r="C88" s="515" t="s">
        <v>34</v>
      </c>
      <c r="D88" s="358" t="str">
        <f ca="1">IF(ISERROR(OFFSET('HARGA SATUAN'!$D$6,MATCH(RAB!C88,'HARGA SATUAN'!$C$7:$C$1492,0),0)),"",OFFSET('HARGA SATUAN'!$D$6,MATCH(RAB!C88,'HARGA SATUAN'!$C$7:$C$1492,0),0))</f>
        <v>HDW</v>
      </c>
      <c r="E88" s="359" t="str">
        <f ca="1">IF(B88="+","Unit",IF(ISERROR(OFFSET('HARGA SATUAN'!$E$6,MATCH(RAB!C88,'HARGA SATUAN'!$C$7:$C$1492,0),0)),"",OFFSET('HARGA SATUAN'!$E$6,MATCH(RAB!C88,'HARGA SATUAN'!$C$7:$C$1492,0),0)))</f>
        <v>Bh</v>
      </c>
      <c r="F88" s="483">
        <f>F82*5.5</f>
        <v>11</v>
      </c>
      <c r="G88" s="360">
        <f ca="1">IF(ISERROR(OFFSET('HARGA SATUAN'!$I$6,MATCH(RAB!C88,'HARGA SATUAN'!$C$7:$C$1492,0),0)),0,OFFSET('HARGA SATUAN'!$I$6,MATCH(RAB!C88,'HARGA SATUAN'!$C$7:$C$1492,0),0))</f>
        <v>6100</v>
      </c>
      <c r="H88" s="361">
        <f t="shared" ca="1" si="60"/>
        <v>0</v>
      </c>
      <c r="I88" s="361">
        <f t="shared" ca="1" si="61"/>
        <v>67100</v>
      </c>
      <c r="J88" s="361">
        <f t="shared" ca="1" si="62"/>
        <v>0</v>
      </c>
      <c r="K88" s="362">
        <f t="shared" ca="1" si="63"/>
        <v>67100</v>
      </c>
    </row>
    <row r="89" spans="2:11">
      <c r="B89" s="514">
        <v>7</v>
      </c>
      <c r="C89" s="515" t="s">
        <v>35</v>
      </c>
      <c r="D89" s="358" t="str">
        <f ca="1">IF(ISERROR(OFFSET('HARGA SATUAN'!$D$6,MATCH(RAB!C89,'HARGA SATUAN'!$C$7:$C$1492,0),0)),"",OFFSET('HARGA SATUAN'!$D$6,MATCH(RAB!C89,'HARGA SATUAN'!$C$7:$C$1492,0),0))</f>
        <v>HDW</v>
      </c>
      <c r="E89" s="359" t="str">
        <f ca="1">IF(B89="+","Unit",IF(ISERROR(OFFSET('HARGA SATUAN'!$E$6,MATCH(RAB!C89,'HARGA SATUAN'!$C$7:$C$1492,0),0)),"",OFFSET('HARGA SATUAN'!$E$6,MATCH(RAB!C89,'HARGA SATUAN'!$C$7:$C$1492,0),0)))</f>
        <v>Bh</v>
      </c>
      <c r="F89" s="483">
        <f>F82*6</f>
        <v>12</v>
      </c>
      <c r="G89" s="360">
        <f ca="1">IF(ISERROR(OFFSET('HARGA SATUAN'!$I$6,MATCH(RAB!C89,'HARGA SATUAN'!$C$7:$C$1492,0),0)),0,OFFSET('HARGA SATUAN'!$I$6,MATCH(RAB!C89,'HARGA SATUAN'!$C$7:$C$1492,0),0))</f>
        <v>2300</v>
      </c>
      <c r="H89" s="361">
        <f t="shared" ca="1" si="60"/>
        <v>0</v>
      </c>
      <c r="I89" s="361">
        <f t="shared" ca="1" si="61"/>
        <v>27600</v>
      </c>
      <c r="J89" s="361">
        <f t="shared" ca="1" si="62"/>
        <v>0</v>
      </c>
      <c r="K89" s="362">
        <f t="shared" ca="1" si="63"/>
        <v>27600</v>
      </c>
    </row>
    <row r="90" spans="2:11">
      <c r="B90" s="514">
        <v>8</v>
      </c>
      <c r="C90" s="515" t="s">
        <v>1634</v>
      </c>
      <c r="D90" s="358" t="str">
        <f ca="1">IF(ISERROR(OFFSET('HARGA SATUAN'!$D$6,MATCH(RAB!C90,'HARGA SATUAN'!$C$7:$C$1492,0),0)),"",OFFSET('HARGA SATUAN'!$D$6,MATCH(RAB!C90,'HARGA SATUAN'!$C$7:$C$1492,0),0))</f>
        <v>HDW</v>
      </c>
      <c r="E90" s="359" t="str">
        <f ca="1">IF(B90="+","Unit",IF(ISERROR(OFFSET('HARGA SATUAN'!$E$6,MATCH(RAB!C90,'HARGA SATUAN'!$C$7:$C$1492,0),0)),"",OFFSET('HARGA SATUAN'!$E$6,MATCH(RAB!C90,'HARGA SATUAN'!$C$7:$C$1492,0),0)))</f>
        <v>Mtr</v>
      </c>
      <c r="F90" s="483">
        <f>F82*4.8</f>
        <v>9.6</v>
      </c>
      <c r="G90" s="360">
        <f ca="1">IF(ISERROR(OFFSET('HARGA SATUAN'!$I$6,MATCH(RAB!C90,'HARGA SATUAN'!$C$7:$C$1492,0),0)),0,OFFSET('HARGA SATUAN'!$I$6,MATCH(RAB!C90,'HARGA SATUAN'!$C$7:$C$1492,0),0))</f>
        <v>23310</v>
      </c>
      <c r="H90" s="361">
        <f t="shared" ca="1" si="60"/>
        <v>0</v>
      </c>
      <c r="I90" s="361">
        <f t="shared" ca="1" si="61"/>
        <v>223776</v>
      </c>
      <c r="J90" s="361">
        <f t="shared" ca="1" si="62"/>
        <v>0</v>
      </c>
      <c r="K90" s="362">
        <f t="shared" ca="1" si="63"/>
        <v>223776</v>
      </c>
    </row>
    <row r="91" spans="2:11">
      <c r="B91" s="514">
        <v>9</v>
      </c>
      <c r="C91" s="515" t="s">
        <v>736</v>
      </c>
      <c r="D91" s="358" t="str">
        <f ca="1">IF(ISERROR(OFFSET('HARGA SATUAN'!$D$6,MATCH(RAB!C91,'HARGA SATUAN'!$C$7:$C$1492,0),0)),"",OFFSET('HARGA SATUAN'!$D$6,MATCH(RAB!C91,'HARGA SATUAN'!$C$7:$C$1492,0),0))</f>
        <v>JASA</v>
      </c>
      <c r="E91" s="359" t="str">
        <f ca="1">IF(B91="+","Unit",IF(ISERROR(OFFSET('HARGA SATUAN'!$E$6,MATCH(RAB!C91,'HARGA SATUAN'!$C$7:$C$1492,0),0)),"",OFFSET('HARGA SATUAN'!$E$6,MATCH(RAB!C91,'HARGA SATUAN'!$C$7:$C$1492,0),0)))</f>
        <v>Unit</v>
      </c>
      <c r="F91" s="483">
        <f>F82*1</f>
        <v>2</v>
      </c>
      <c r="G91" s="360">
        <f ca="1">IF(ISERROR(OFFSET('HARGA SATUAN'!$I$6,MATCH(RAB!C91,'HARGA SATUAN'!$C$7:$C$1492,0),0)),0,OFFSET('HARGA SATUAN'!$I$6,MATCH(RAB!C91,'HARGA SATUAN'!$C$7:$C$1492,0),0))</f>
        <v>65400</v>
      </c>
      <c r="H91" s="361">
        <f t="shared" ca="1" si="60"/>
        <v>0</v>
      </c>
      <c r="I91" s="361">
        <f t="shared" ca="1" si="61"/>
        <v>0</v>
      </c>
      <c r="J91" s="361">
        <f t="shared" ca="1" si="62"/>
        <v>130800</v>
      </c>
      <c r="K91" s="362">
        <f t="shared" ca="1" si="63"/>
        <v>130800</v>
      </c>
    </row>
    <row r="92" spans="2:11">
      <c r="B92" s="500"/>
      <c r="C92" s="109"/>
      <c r="D92" s="358" t="str">
        <f ca="1">IF(ISERROR(OFFSET('HARGA SATUAN'!$D$6,MATCH(RAB!C92,'HARGA SATUAN'!$C$7:$C$1492,0),0)),"",OFFSET('HARGA SATUAN'!$D$6,MATCH(RAB!C92,'HARGA SATUAN'!$C$7:$C$1492,0),0))</f>
        <v/>
      </c>
      <c r="E92" s="359" t="str">
        <f ca="1">IF(B92="+","Unit",IF(ISERROR(OFFSET('HARGA SATUAN'!$E$6,MATCH(RAB!C92,'HARGA SATUAN'!$C$7:$C$1492,0),0)),"",OFFSET('HARGA SATUAN'!$E$6,MATCH(RAB!C92,'HARGA SATUAN'!$C$7:$C$1492,0),0)))</f>
        <v/>
      </c>
      <c r="F92" s="483"/>
      <c r="G92" s="360">
        <f ca="1">IF(ISERROR(OFFSET('HARGA SATUAN'!$I$6,MATCH(RAB!C92,'HARGA SATUAN'!$C$7:$C$1492,0),0)),0,OFFSET('HARGA SATUAN'!$I$6,MATCH(RAB!C92,'HARGA SATUAN'!$C$7:$C$1492,0),0))</f>
        <v>0</v>
      </c>
      <c r="H92" s="361">
        <f t="shared" ca="1" si="60"/>
        <v>0</v>
      </c>
      <c r="I92" s="361">
        <f t="shared" ca="1" si="61"/>
        <v>0</v>
      </c>
      <c r="J92" s="361">
        <f t="shared" ca="1" si="62"/>
        <v>0</v>
      </c>
      <c r="K92" s="362">
        <f t="shared" ca="1" si="63"/>
        <v>0</v>
      </c>
    </row>
    <row r="93" spans="2:11">
      <c r="B93" s="373" t="s">
        <v>1550</v>
      </c>
      <c r="C93" s="374" t="s">
        <v>1457</v>
      </c>
      <c r="D93" s="358" t="str">
        <f ca="1">IF(ISERROR(OFFSET('HARGA SATUAN'!$D$6,MATCH(RAB!C93,'HARGA SATUAN'!$C$7:$C$1492,0),0)),"",OFFSET('HARGA SATUAN'!$D$6,MATCH(RAB!C93,'HARGA SATUAN'!$C$7:$C$1492,0),0))</f>
        <v/>
      </c>
      <c r="E93" s="359" t="str">
        <f ca="1">IF(B93="+","Unit",IF(ISERROR(OFFSET('HARGA SATUAN'!$E$6,MATCH(RAB!C93,'HARGA SATUAN'!$C$7:$C$1492,0),0)),"",OFFSET('HARGA SATUAN'!$E$6,MATCH(RAB!C93,'HARGA SATUAN'!$C$7:$C$1492,0),0)))</f>
        <v/>
      </c>
      <c r="F93" s="483"/>
      <c r="G93" s="360">
        <f ca="1">IF(ISERROR(OFFSET('HARGA SATUAN'!$I$6,MATCH(RAB!C93,'HARGA SATUAN'!$C$7:$C$1492,0),0)),0,OFFSET('HARGA SATUAN'!$I$6,MATCH(RAB!C93,'HARGA SATUAN'!$C$7:$C$1492,0),0))</f>
        <v>0</v>
      </c>
      <c r="H93" s="361">
        <f t="shared" ca="1" si="60"/>
        <v>0</v>
      </c>
      <c r="I93" s="361">
        <f t="shared" ca="1" si="61"/>
        <v>0</v>
      </c>
      <c r="J93" s="361">
        <f t="shared" ca="1" si="62"/>
        <v>0</v>
      </c>
      <c r="K93" s="362">
        <f t="shared" ca="1" si="63"/>
        <v>0</v>
      </c>
    </row>
    <row r="94" spans="2:11">
      <c r="B94" s="503"/>
      <c r="C94" s="504"/>
      <c r="D94" s="358" t="str">
        <f ca="1">IF(ISERROR(OFFSET('HARGA SATUAN'!$D$6,MATCH(RAB!C94,'HARGA SATUAN'!$C$7:$C$1492,0),0)),"",OFFSET('HARGA SATUAN'!$D$6,MATCH(RAB!C94,'HARGA SATUAN'!$C$7:$C$1492,0),0))</f>
        <v/>
      </c>
      <c r="E94" s="359" t="str">
        <f ca="1">IF(B94="+","Unit",IF(ISERROR(OFFSET('HARGA SATUAN'!$E$6,MATCH(RAB!C94,'HARGA SATUAN'!$C$7:$C$1492,0),0)),"",OFFSET('HARGA SATUAN'!$E$6,MATCH(RAB!C94,'HARGA SATUAN'!$C$7:$C$1492,0),0)))</f>
        <v/>
      </c>
      <c r="F94" s="483"/>
      <c r="G94" s="360">
        <f ca="1">IF(ISERROR(OFFSET('HARGA SATUAN'!$I$6,MATCH(RAB!C94,'HARGA SATUAN'!$C$7:$C$1492,0),0)),0,OFFSET('HARGA SATUAN'!$I$6,MATCH(RAB!C94,'HARGA SATUAN'!$C$7:$C$1492,0),0))</f>
        <v>0</v>
      </c>
      <c r="H94" s="361">
        <f t="shared" ca="1" si="60"/>
        <v>0</v>
      </c>
      <c r="I94" s="361">
        <f t="shared" ca="1" si="61"/>
        <v>0</v>
      </c>
      <c r="J94" s="361">
        <f t="shared" ca="1" si="62"/>
        <v>0</v>
      </c>
      <c r="K94" s="362">
        <f t="shared" ca="1" si="63"/>
        <v>0</v>
      </c>
    </row>
    <row r="95" spans="2:11">
      <c r="B95" s="497" t="s">
        <v>1035</v>
      </c>
      <c r="C95" s="498" t="s">
        <v>1639</v>
      </c>
      <c r="D95" s="358" t="str">
        <f ca="1">IF(ISERROR(OFFSET('HARGA SATUAN'!$D$6,MATCH(RAB!C95,'HARGA SATUAN'!$C$7:$C$1492,0),0)),"",OFFSET('HARGA SATUAN'!$D$6,MATCH(RAB!C95,'HARGA SATUAN'!$C$7:$C$1492,0),0))</f>
        <v/>
      </c>
      <c r="E95" s="359" t="str">
        <f ca="1">IF(B95="+","Unit",IF(ISERROR(OFFSET('HARGA SATUAN'!$E$6,MATCH(RAB!C95,'HARGA SATUAN'!$C$7:$C$1492,0),0)),"",OFFSET('HARGA SATUAN'!$E$6,MATCH(RAB!C95,'HARGA SATUAN'!$C$7:$C$1492,0),0)))</f>
        <v>Unit</v>
      </c>
      <c r="F95" s="522">
        <v>1</v>
      </c>
      <c r="G95" s="360">
        <f ca="1">IF(ISERROR(OFFSET('HARGA SATUAN'!$I$6,MATCH(RAB!C95,'HARGA SATUAN'!$C$7:$C$1492,0),0)),0,OFFSET('HARGA SATUAN'!$I$6,MATCH(RAB!C95,'HARGA SATUAN'!$C$7:$C$1492,0),0))</f>
        <v>0</v>
      </c>
      <c r="H95" s="361">
        <f t="shared" ref="H95" ca="1" si="64">IF(OR(D95="MDU",D95="MDU-KD"),(IF($O$3="RAB NON MDU","PLN KD",G95*F95)),0)</f>
        <v>0</v>
      </c>
      <c r="I95" s="361">
        <f t="shared" ref="I95" ca="1" si="65">IF(D95="HDW",G95*F95,0)</f>
        <v>0</v>
      </c>
      <c r="J95" s="361">
        <f t="shared" ref="J95" ca="1" si="66">IF(D95="JASA",G95*F95,0)</f>
        <v>0</v>
      </c>
      <c r="K95" s="362">
        <f t="shared" ref="K95" ca="1" si="67">SUM(H95:J95)</f>
        <v>0</v>
      </c>
    </row>
    <row r="96" spans="2:11">
      <c r="B96" s="520">
        <v>1</v>
      </c>
      <c r="C96" s="109" t="s">
        <v>483</v>
      </c>
      <c r="D96" s="358" t="str">
        <f ca="1">IF(ISERROR(OFFSET('HARGA SATUAN'!$D$6,MATCH(RAB!C96,'HARGA SATUAN'!$C$7:$C$1492,0),0)),"",OFFSET('HARGA SATUAN'!$D$6,MATCH(RAB!C96,'HARGA SATUAN'!$C$7:$C$1492,0),0))</f>
        <v>HDW</v>
      </c>
      <c r="E96" s="359" t="str">
        <f ca="1">IF(B96="+","Unit",IF(ISERROR(OFFSET('HARGA SATUAN'!$E$6,MATCH(RAB!C96,'HARGA SATUAN'!$C$7:$C$1492,0),0)),"",OFFSET('HARGA SATUAN'!$E$6,MATCH(RAB!C96,'HARGA SATUAN'!$C$7:$C$1492,0),0)))</f>
        <v>Bh</v>
      </c>
      <c r="F96" s="522">
        <f>F95*1</f>
        <v>1</v>
      </c>
      <c r="G96" s="360">
        <f ca="1">IF(ISERROR(OFFSET('HARGA SATUAN'!$I$6,MATCH(RAB!C96,'HARGA SATUAN'!$C$7:$C$1492,0),0)),0,OFFSET('HARGA SATUAN'!$I$6,MATCH(RAB!C96,'HARGA SATUAN'!$C$7:$C$1492,0),0))</f>
        <v>1719200</v>
      </c>
      <c r="H96" s="361">
        <f t="shared" ref="H96:H118" ca="1" si="68">IF(OR(D96="MDU",D96="MDU-KD"),(IF($O$3="RAB NON MDU","PLN KD",G96*F96)),0)</f>
        <v>0</v>
      </c>
      <c r="I96" s="361">
        <f t="shared" ref="I96:I118" ca="1" si="69">IF(D96="HDW",G96*F96,0)</f>
        <v>1719200</v>
      </c>
      <c r="J96" s="361">
        <f t="shared" ref="J96:J118" ca="1" si="70">IF(D96="JASA",G96*F96,0)</f>
        <v>0</v>
      </c>
      <c r="K96" s="362">
        <f t="shared" ref="K96:K118" ca="1" si="71">SUM(H96:J96)</f>
        <v>1719200</v>
      </c>
    </row>
    <row r="97" spans="2:11">
      <c r="B97" s="520">
        <v>2</v>
      </c>
      <c r="C97" s="521" t="s">
        <v>510</v>
      </c>
      <c r="D97" s="358" t="str">
        <f ca="1">IF(ISERROR(OFFSET('HARGA SATUAN'!$D$6,MATCH(RAB!C97,'HARGA SATUAN'!$C$7:$C$1492,0),0)),"",OFFSET('HARGA SATUAN'!$D$6,MATCH(RAB!C97,'HARGA SATUAN'!$C$7:$C$1492,0),0))</f>
        <v>MDU-KD</v>
      </c>
      <c r="E97" s="359" t="str">
        <f ca="1">IF(B97="+","Unit",IF(ISERROR(OFFSET('HARGA SATUAN'!$E$6,MATCH(RAB!C97,'HARGA SATUAN'!$C$7:$C$1492,0),0)),"",OFFSET('HARGA SATUAN'!$E$6,MATCH(RAB!C97,'HARGA SATUAN'!$C$7:$C$1492,0),0)))</f>
        <v>Unit</v>
      </c>
      <c r="F97" s="522">
        <f>F95*1</f>
        <v>1</v>
      </c>
      <c r="G97" s="360">
        <f ca="1">IF(ISERROR(OFFSET('HARGA SATUAN'!$I$6,MATCH(RAB!C97,'HARGA SATUAN'!$C$7:$C$1492,0),0)),0,OFFSET('HARGA SATUAN'!$I$6,MATCH(RAB!C97,'HARGA SATUAN'!$C$7:$C$1492,0),0))</f>
        <v>3564900</v>
      </c>
      <c r="H97" s="361">
        <f t="shared" ca="1" si="68"/>
        <v>3564900</v>
      </c>
      <c r="I97" s="361">
        <f t="shared" ca="1" si="69"/>
        <v>0</v>
      </c>
      <c r="J97" s="361">
        <f t="shared" ca="1" si="70"/>
        <v>0</v>
      </c>
      <c r="K97" s="362">
        <f t="shared" ca="1" si="71"/>
        <v>3564900</v>
      </c>
    </row>
    <row r="98" spans="2:11">
      <c r="B98" s="520">
        <v>3</v>
      </c>
      <c r="C98" s="521" t="s">
        <v>77</v>
      </c>
      <c r="D98" s="358" t="str">
        <f ca="1">IF(ISERROR(OFFSET('HARGA SATUAN'!$D$6,MATCH(RAB!C98,'HARGA SATUAN'!$C$7:$C$1492,0),0)),"",OFFSET('HARGA SATUAN'!$D$6,MATCH(RAB!C98,'HARGA SATUAN'!$C$7:$C$1492,0),0))</f>
        <v>MDU-KD</v>
      </c>
      <c r="E98" s="359" t="str">
        <f ca="1">IF(B98="+","Unit",IF(ISERROR(OFFSET('HARGA SATUAN'!$E$6,MATCH(RAB!C98,'HARGA SATUAN'!$C$7:$C$1492,0),0)),"",OFFSET('HARGA SATUAN'!$E$6,MATCH(RAB!C98,'HARGA SATUAN'!$C$7:$C$1492,0),0)))</f>
        <v>Mtr</v>
      </c>
      <c r="F98" s="522">
        <f>F95*35</f>
        <v>35</v>
      </c>
      <c r="G98" s="360">
        <f ca="1">IF(ISERROR(OFFSET('HARGA SATUAN'!$I$6,MATCH(RAB!C98,'HARGA SATUAN'!$C$7:$C$1492,0),0)),0,OFFSET('HARGA SATUAN'!$I$6,MATCH(RAB!C98,'HARGA SATUAN'!$C$7:$C$1492,0),0))</f>
        <v>13500</v>
      </c>
      <c r="H98" s="361">
        <f t="shared" ca="1" si="68"/>
        <v>472500</v>
      </c>
      <c r="I98" s="361">
        <f t="shared" ca="1" si="69"/>
        <v>0</v>
      </c>
      <c r="J98" s="361">
        <f t="shared" ca="1" si="70"/>
        <v>0</v>
      </c>
      <c r="K98" s="362">
        <f t="shared" ca="1" si="71"/>
        <v>472500</v>
      </c>
    </row>
    <row r="99" spans="2:11">
      <c r="B99" s="520">
        <v>4</v>
      </c>
      <c r="C99" s="521" t="s">
        <v>799</v>
      </c>
      <c r="D99" s="358" t="str">
        <f ca="1">IF(ISERROR(OFFSET('HARGA SATUAN'!$D$6,MATCH(RAB!C99,'HARGA SATUAN'!$C$7:$C$1492,0),0)),"",OFFSET('HARGA SATUAN'!$D$6,MATCH(RAB!C99,'HARGA SATUAN'!$C$7:$C$1492,0),0))</f>
        <v>JASA</v>
      </c>
      <c r="E99" s="359" t="str">
        <f ca="1">IF(B99="+","Unit",IF(ISERROR(OFFSET('HARGA SATUAN'!$E$6,MATCH(RAB!C99,'HARGA SATUAN'!$C$7:$C$1492,0),0)),"",OFFSET('HARGA SATUAN'!$E$6,MATCH(RAB!C99,'HARGA SATUAN'!$C$7:$C$1492,0),0)))</f>
        <v>Unit</v>
      </c>
      <c r="F99" s="522">
        <f>F95*1</f>
        <v>1</v>
      </c>
      <c r="G99" s="360">
        <f ca="1">IF(ISERROR(OFFSET('HARGA SATUAN'!$I$6,MATCH(RAB!C99,'HARGA SATUAN'!$C$7:$C$1492,0),0)),0,OFFSET('HARGA SATUAN'!$I$6,MATCH(RAB!C99,'HARGA SATUAN'!$C$7:$C$1492,0),0))</f>
        <v>106400</v>
      </c>
      <c r="H99" s="361">
        <f t="shared" ca="1" si="68"/>
        <v>0</v>
      </c>
      <c r="I99" s="361">
        <f t="shared" ca="1" si="69"/>
        <v>0</v>
      </c>
      <c r="J99" s="361">
        <f t="shared" ca="1" si="70"/>
        <v>106400</v>
      </c>
      <c r="K99" s="362">
        <f t="shared" ca="1" si="71"/>
        <v>106400</v>
      </c>
    </row>
    <row r="100" spans="2:11">
      <c r="B100" s="503"/>
      <c r="C100" s="504"/>
      <c r="D100" s="358" t="str">
        <f ca="1">IF(ISERROR(OFFSET('HARGA SATUAN'!$D$6,MATCH(RAB!C100,'HARGA SATUAN'!$C$7:$C$1492,0),0)),"",OFFSET('HARGA SATUAN'!$D$6,MATCH(RAB!C100,'HARGA SATUAN'!$C$7:$C$1492,0),0))</f>
        <v/>
      </c>
      <c r="E100" s="359" t="str">
        <f ca="1">IF(B100="+","Unit",IF(ISERROR(OFFSET('HARGA SATUAN'!$E$6,MATCH(RAB!C100,'HARGA SATUAN'!$C$7:$C$1492,0),0)),"",OFFSET('HARGA SATUAN'!$E$6,MATCH(RAB!C100,'HARGA SATUAN'!$C$7:$C$1492,0),0)))</f>
        <v/>
      </c>
      <c r="F100" s="483"/>
      <c r="G100" s="360">
        <f ca="1">IF(ISERROR(OFFSET('HARGA SATUAN'!$I$6,MATCH(RAB!C100,'HARGA SATUAN'!$C$7:$C$1492,0),0)),0,OFFSET('HARGA SATUAN'!$I$6,MATCH(RAB!C100,'HARGA SATUAN'!$C$7:$C$1492,0),0))</f>
        <v>0</v>
      </c>
      <c r="H100" s="361">
        <f t="shared" ca="1" si="68"/>
        <v>0</v>
      </c>
      <c r="I100" s="361">
        <f t="shared" ca="1" si="69"/>
        <v>0</v>
      </c>
      <c r="J100" s="361">
        <f t="shared" ca="1" si="70"/>
        <v>0</v>
      </c>
      <c r="K100" s="362">
        <f t="shared" ca="1" si="71"/>
        <v>0</v>
      </c>
    </row>
    <row r="101" spans="2:11">
      <c r="B101" s="509" t="s">
        <v>1035</v>
      </c>
      <c r="C101" s="510" t="s">
        <v>1624</v>
      </c>
      <c r="D101" s="358" t="str">
        <f ca="1">IF(ISERROR(OFFSET('HARGA SATUAN'!$D$6,MATCH(RAB!C101,'HARGA SATUAN'!$C$7:$C$1492,0),0)),"",OFFSET('HARGA SATUAN'!$D$6,MATCH(RAB!C101,'HARGA SATUAN'!$C$7:$C$1492,0),0))</f>
        <v/>
      </c>
      <c r="E101" s="359" t="str">
        <f ca="1">IF(B101="+","Unit",IF(ISERROR(OFFSET('HARGA SATUAN'!$E$6,MATCH(RAB!C101,'HARGA SATUAN'!$C$7:$C$1492,0),0)),"",OFFSET('HARGA SATUAN'!$E$6,MATCH(RAB!C101,'HARGA SATUAN'!$C$7:$C$1492,0),0)))</f>
        <v>Unit</v>
      </c>
      <c r="F101" s="511">
        <v>1</v>
      </c>
      <c r="G101" s="360">
        <f ca="1">IF(ISERROR(OFFSET('HARGA SATUAN'!$I$6,MATCH(RAB!C101,'HARGA SATUAN'!$C$7:$C$1492,0),0)),0,OFFSET('HARGA SATUAN'!$I$6,MATCH(RAB!C101,'HARGA SATUAN'!$C$7:$C$1492,0),0))</f>
        <v>0</v>
      </c>
      <c r="H101" s="361">
        <f t="shared" ca="1" si="68"/>
        <v>0</v>
      </c>
      <c r="I101" s="361">
        <f t="shared" ca="1" si="69"/>
        <v>0</v>
      </c>
      <c r="J101" s="361">
        <f t="shared" ca="1" si="70"/>
        <v>0</v>
      </c>
      <c r="K101" s="362">
        <f t="shared" ca="1" si="71"/>
        <v>0</v>
      </c>
    </row>
    <row r="102" spans="2:11">
      <c r="B102" s="509">
        <v>1</v>
      </c>
      <c r="C102" s="510" t="s">
        <v>115</v>
      </c>
      <c r="D102" s="358" t="str">
        <f ca="1">IF(ISERROR(OFFSET('HARGA SATUAN'!$D$6,MATCH(RAB!C102,'HARGA SATUAN'!$C$7:$C$1492,0),0)),"",OFFSET('HARGA SATUAN'!$D$6,MATCH(RAB!C102,'HARGA SATUAN'!$C$7:$C$1492,0),0))</f>
        <v>HDW</v>
      </c>
      <c r="E102" s="359" t="str">
        <f ca="1">IF(B102="+","Unit",IF(ISERROR(OFFSET('HARGA SATUAN'!$E$6,MATCH(RAB!C102,'HARGA SATUAN'!$C$7:$C$1492,0),0)),"",OFFSET('HARGA SATUAN'!$E$6,MATCH(RAB!C102,'HARGA SATUAN'!$C$7:$C$1492,0),0)))</f>
        <v>Set</v>
      </c>
      <c r="F102" s="511">
        <f>F101*1</f>
        <v>1</v>
      </c>
      <c r="G102" s="360">
        <f ca="1">IF(ISERROR(OFFSET('HARGA SATUAN'!$I$6,MATCH(RAB!C102,'HARGA SATUAN'!$C$7:$C$1492,0),0)),0,OFFSET('HARGA SATUAN'!$I$6,MATCH(RAB!C102,'HARGA SATUAN'!$C$7:$C$1492,0),0))</f>
        <v>11500</v>
      </c>
      <c r="H102" s="361">
        <f t="shared" ca="1" si="68"/>
        <v>0</v>
      </c>
      <c r="I102" s="361">
        <f t="shared" ca="1" si="69"/>
        <v>11500</v>
      </c>
      <c r="J102" s="361">
        <f t="shared" ca="1" si="70"/>
        <v>0</v>
      </c>
      <c r="K102" s="362">
        <f t="shared" ca="1" si="71"/>
        <v>11500</v>
      </c>
    </row>
    <row r="103" spans="2:11">
      <c r="B103" s="509">
        <v>2</v>
      </c>
      <c r="C103" s="510" t="s">
        <v>145</v>
      </c>
      <c r="D103" s="358" t="str">
        <f ca="1">IF(ISERROR(OFFSET('HARGA SATUAN'!$D$6,MATCH(RAB!C103,'HARGA SATUAN'!$C$7:$C$1492,0),0)),"",OFFSET('HARGA SATUAN'!$D$6,MATCH(RAB!C103,'HARGA SATUAN'!$C$7:$C$1492,0),0))</f>
        <v>HDW</v>
      </c>
      <c r="E103" s="359" t="str">
        <f ca="1">IF(B103="+","Unit",IF(ISERROR(OFFSET('HARGA SATUAN'!$E$6,MATCH(RAB!C103,'HARGA SATUAN'!$C$7:$C$1492,0),0)),"",OFFSET('HARGA SATUAN'!$E$6,MATCH(RAB!C103,'HARGA SATUAN'!$C$7:$C$1492,0),0)))</f>
        <v>Set</v>
      </c>
      <c r="F103" s="511">
        <f>F101*1</f>
        <v>1</v>
      </c>
      <c r="G103" s="360">
        <f ca="1">IF(ISERROR(OFFSET('HARGA SATUAN'!$I$6,MATCH(RAB!C103,'HARGA SATUAN'!$C$7:$C$1492,0),0)),0,OFFSET('HARGA SATUAN'!$I$6,MATCH(RAB!C103,'HARGA SATUAN'!$C$7:$C$1492,0),0))</f>
        <v>6200</v>
      </c>
      <c r="H103" s="361">
        <f t="shared" ca="1" si="68"/>
        <v>0</v>
      </c>
      <c r="I103" s="361">
        <f t="shared" ca="1" si="69"/>
        <v>6200</v>
      </c>
      <c r="J103" s="361">
        <f t="shared" ca="1" si="70"/>
        <v>0</v>
      </c>
      <c r="K103" s="362">
        <f t="shared" ca="1" si="71"/>
        <v>6200</v>
      </c>
    </row>
    <row r="104" spans="2:11">
      <c r="B104" s="509">
        <v>3</v>
      </c>
      <c r="C104" s="510" t="s">
        <v>587</v>
      </c>
      <c r="D104" s="358" t="str">
        <f ca="1">IF(ISERROR(OFFSET('HARGA SATUAN'!$D$6,MATCH(RAB!C104,'HARGA SATUAN'!$C$7:$C$1492,0),0)),"",OFFSET('HARGA SATUAN'!$D$6,MATCH(RAB!C104,'HARGA SATUAN'!$C$7:$C$1492,0),0))</f>
        <v>HDW</v>
      </c>
      <c r="E104" s="359" t="str">
        <f ca="1">IF(B104="+","Unit",IF(ISERROR(OFFSET('HARGA SATUAN'!$E$6,MATCH(RAB!C104,'HARGA SATUAN'!$C$7:$C$1492,0),0)),"",OFFSET('HARGA SATUAN'!$E$6,MATCH(RAB!C104,'HARGA SATUAN'!$C$7:$C$1492,0),0)))</f>
        <v>Btg</v>
      </c>
      <c r="F104" s="511">
        <f>F101*1</f>
        <v>1</v>
      </c>
      <c r="G104" s="360">
        <f ca="1">IF(ISERROR(OFFSET('HARGA SATUAN'!$I$6,MATCH(RAB!C104,'HARGA SATUAN'!$C$7:$C$1492,0),0)),0,OFFSET('HARGA SATUAN'!$I$6,MATCH(RAB!C104,'HARGA SATUAN'!$C$7:$C$1492,0),0))</f>
        <v>45796</v>
      </c>
      <c r="H104" s="361">
        <f t="shared" ca="1" si="68"/>
        <v>0</v>
      </c>
      <c r="I104" s="361">
        <f t="shared" ca="1" si="69"/>
        <v>45796</v>
      </c>
      <c r="J104" s="361">
        <f t="shared" ca="1" si="70"/>
        <v>0</v>
      </c>
      <c r="K104" s="362">
        <f t="shared" ca="1" si="71"/>
        <v>45796</v>
      </c>
    </row>
    <row r="105" spans="2:11">
      <c r="B105" s="509">
        <v>4</v>
      </c>
      <c r="C105" s="510" t="s">
        <v>118</v>
      </c>
      <c r="D105" s="358" t="str">
        <f ca="1">IF(ISERROR(OFFSET('HARGA SATUAN'!$D$6,MATCH(RAB!C105,'HARGA SATUAN'!$C$7:$C$1492,0),0)),"",OFFSET('HARGA SATUAN'!$D$6,MATCH(RAB!C105,'HARGA SATUAN'!$C$7:$C$1492,0),0))</f>
        <v>HDW</v>
      </c>
      <c r="E105" s="359" t="str">
        <f ca="1">IF(B105="+","Unit",IF(ISERROR(OFFSET('HARGA SATUAN'!$E$6,MATCH(RAB!C105,'HARGA SATUAN'!$C$7:$C$1492,0),0)),"",OFFSET('HARGA SATUAN'!$E$6,MATCH(RAB!C105,'HARGA SATUAN'!$C$7:$C$1492,0),0)))</f>
        <v>Set</v>
      </c>
      <c r="F105" s="511">
        <f>F101*1</f>
        <v>1</v>
      </c>
      <c r="G105" s="360">
        <f ca="1">IF(ISERROR(OFFSET('HARGA SATUAN'!$I$6,MATCH(RAB!C105,'HARGA SATUAN'!$C$7:$C$1492,0),0)),0,OFFSET('HARGA SATUAN'!$I$6,MATCH(RAB!C105,'HARGA SATUAN'!$C$7:$C$1492,0),0))</f>
        <v>5300</v>
      </c>
      <c r="H105" s="361">
        <f t="shared" ca="1" si="68"/>
        <v>0</v>
      </c>
      <c r="I105" s="361">
        <f t="shared" ca="1" si="69"/>
        <v>5300</v>
      </c>
      <c r="J105" s="361">
        <f t="shared" ca="1" si="70"/>
        <v>0</v>
      </c>
      <c r="K105" s="362">
        <f t="shared" ca="1" si="71"/>
        <v>5300</v>
      </c>
    </row>
    <row r="106" spans="2:11">
      <c r="B106" s="509">
        <v>5</v>
      </c>
      <c r="C106" s="510" t="s">
        <v>117</v>
      </c>
      <c r="D106" s="358" t="str">
        <f ca="1">IF(ISERROR(OFFSET('HARGA SATUAN'!$D$6,MATCH(RAB!C106,'HARGA SATUAN'!$C$7:$C$1492,0),0)),"",OFFSET('HARGA SATUAN'!$D$6,MATCH(RAB!C106,'HARGA SATUAN'!$C$7:$C$1492,0),0))</f>
        <v>HDW</v>
      </c>
      <c r="E106" s="359" t="str">
        <f ca="1">IF(B106="+","Unit",IF(ISERROR(OFFSET('HARGA SATUAN'!$E$6,MATCH(RAB!C106,'HARGA SATUAN'!$C$7:$C$1492,0),0)),"",OFFSET('HARGA SATUAN'!$E$6,MATCH(RAB!C106,'HARGA SATUAN'!$C$7:$C$1492,0),0)))</f>
        <v>Bh</v>
      </c>
      <c r="F106" s="511">
        <f>F101*1</f>
        <v>1</v>
      </c>
      <c r="G106" s="360">
        <f ca="1">IF(ISERROR(OFFSET('HARGA SATUAN'!$I$6,MATCH(RAB!C106,'HARGA SATUAN'!$C$7:$C$1492,0),0)),0,OFFSET('HARGA SATUAN'!$I$6,MATCH(RAB!C106,'HARGA SATUAN'!$C$7:$C$1492,0),0))</f>
        <v>58600</v>
      </c>
      <c r="H106" s="361">
        <f t="shared" ca="1" si="68"/>
        <v>0</v>
      </c>
      <c r="I106" s="361">
        <f t="shared" ca="1" si="69"/>
        <v>58600</v>
      </c>
      <c r="J106" s="361">
        <f t="shared" ca="1" si="70"/>
        <v>0</v>
      </c>
      <c r="K106" s="362">
        <f t="shared" ca="1" si="71"/>
        <v>58600</v>
      </c>
    </row>
    <row r="107" spans="2:11">
      <c r="B107" s="509">
        <v>6</v>
      </c>
      <c r="C107" s="109" t="s">
        <v>1155</v>
      </c>
      <c r="D107" s="358" t="str">
        <f ca="1">IF(ISERROR(OFFSET('HARGA SATUAN'!$D$6,MATCH(RAB!C107,'HARGA SATUAN'!$C$7:$C$1492,0),0)),"",OFFSET('HARGA SATUAN'!$D$6,MATCH(RAB!C107,'HARGA SATUAN'!$C$7:$C$1492,0),0))</f>
        <v>HDW</v>
      </c>
      <c r="E107" s="359" t="str">
        <f ca="1">IF(B107="+","Unit",IF(ISERROR(OFFSET('HARGA SATUAN'!$E$6,MATCH(RAB!C107,'HARGA SATUAN'!$C$7:$C$1492,0),0)),"",OFFSET('HARGA SATUAN'!$E$6,MATCH(RAB!C107,'HARGA SATUAN'!$C$7:$C$1492,0),0)))</f>
        <v>Set</v>
      </c>
      <c r="F107" s="511">
        <f>F101*2</f>
        <v>2</v>
      </c>
      <c r="G107" s="360">
        <f ca="1">IF(ISERROR(OFFSET('HARGA SATUAN'!$I$6,MATCH(RAB!C107,'HARGA SATUAN'!$C$7:$C$1492,0),0)),0,OFFSET('HARGA SATUAN'!$I$6,MATCH(RAB!C107,'HARGA SATUAN'!$C$7:$C$1492,0),0))</f>
        <v>2900</v>
      </c>
      <c r="H107" s="361">
        <f t="shared" ca="1" si="68"/>
        <v>0</v>
      </c>
      <c r="I107" s="361">
        <f t="shared" ca="1" si="69"/>
        <v>5800</v>
      </c>
      <c r="J107" s="361">
        <f t="shared" ca="1" si="70"/>
        <v>0</v>
      </c>
      <c r="K107" s="362">
        <f t="shared" ca="1" si="71"/>
        <v>5800</v>
      </c>
    </row>
    <row r="108" spans="2:11">
      <c r="B108" s="509">
        <v>7</v>
      </c>
      <c r="C108" s="510" t="s">
        <v>119</v>
      </c>
      <c r="D108" s="358" t="str">
        <f ca="1">IF(ISERROR(OFFSET('HARGA SATUAN'!$D$6,MATCH(RAB!C108,'HARGA SATUAN'!$C$7:$C$1492,0),0)),"",OFFSET('HARGA SATUAN'!$D$6,MATCH(RAB!C108,'HARGA SATUAN'!$C$7:$C$1492,0),0))</f>
        <v>HDW</v>
      </c>
      <c r="E108" s="359" t="str">
        <f ca="1">IF(B108="+","Unit",IF(ISERROR(OFFSET('HARGA SATUAN'!$E$6,MATCH(RAB!C108,'HARGA SATUAN'!$C$7:$C$1492,0),0)),"",OFFSET('HARGA SATUAN'!$E$6,MATCH(RAB!C108,'HARGA SATUAN'!$C$7:$C$1492,0),0)))</f>
        <v>Set</v>
      </c>
      <c r="F108" s="511">
        <f>F101*4</f>
        <v>4</v>
      </c>
      <c r="G108" s="360">
        <f ca="1">IF(ISERROR(OFFSET('HARGA SATUAN'!$I$6,MATCH(RAB!C108,'HARGA SATUAN'!$C$7:$C$1492,0),0)),0,OFFSET('HARGA SATUAN'!$I$6,MATCH(RAB!C108,'HARGA SATUAN'!$C$7:$C$1492,0),0))</f>
        <v>8900</v>
      </c>
      <c r="H108" s="361">
        <f t="shared" ca="1" si="68"/>
        <v>0</v>
      </c>
      <c r="I108" s="361">
        <f t="shared" ca="1" si="69"/>
        <v>35600</v>
      </c>
      <c r="J108" s="361">
        <f t="shared" ca="1" si="70"/>
        <v>0</v>
      </c>
      <c r="K108" s="362">
        <f t="shared" ca="1" si="71"/>
        <v>35600</v>
      </c>
    </row>
    <row r="109" spans="2:11">
      <c r="B109" s="503"/>
      <c r="C109" s="504"/>
      <c r="D109" s="358"/>
      <c r="E109" s="359"/>
      <c r="F109" s="483"/>
      <c r="G109" s="360"/>
      <c r="H109" s="361"/>
      <c r="I109" s="361"/>
      <c r="J109" s="361"/>
      <c r="K109" s="362"/>
    </row>
    <row r="110" spans="2:11">
      <c r="B110" s="503" t="s">
        <v>1035</v>
      </c>
      <c r="C110" s="504" t="s">
        <v>1618</v>
      </c>
      <c r="D110" s="358" t="str">
        <f ca="1">IF(ISERROR(OFFSET('HARGA SATUAN'!$D$6,MATCH(RAB!C110,'HARGA SATUAN'!$C$7:$C$1492,0),0)),"",OFFSET('HARGA SATUAN'!$D$6,MATCH(RAB!C110,'HARGA SATUAN'!$C$7:$C$1492,0),0))</f>
        <v/>
      </c>
      <c r="E110" s="359" t="str">
        <f ca="1">IF(B110="+","Unit",IF(ISERROR(OFFSET('HARGA SATUAN'!$E$6,MATCH(RAB!C110,'HARGA SATUAN'!$C$7:$C$1492,0),0)),"",OFFSET('HARGA SATUAN'!$E$6,MATCH(RAB!C110,'HARGA SATUAN'!$C$7:$C$1492,0),0)))</f>
        <v>Unit</v>
      </c>
      <c r="F110" s="483">
        <v>1</v>
      </c>
      <c r="G110" s="360">
        <f ca="1">IF(ISERROR(OFFSET('HARGA SATUAN'!$I$6,MATCH(RAB!C110,'HARGA SATUAN'!$C$7:$C$1492,0),0)),0,OFFSET('HARGA SATUAN'!$I$6,MATCH(RAB!C110,'HARGA SATUAN'!$C$7:$C$1492,0),0))</f>
        <v>0</v>
      </c>
      <c r="H110" s="361">
        <f t="shared" ca="1" si="68"/>
        <v>0</v>
      </c>
      <c r="I110" s="361">
        <f t="shared" ca="1" si="69"/>
        <v>0</v>
      </c>
      <c r="J110" s="361">
        <f t="shared" ca="1" si="70"/>
        <v>0</v>
      </c>
      <c r="K110" s="362">
        <f t="shared" ca="1" si="71"/>
        <v>0</v>
      </c>
    </row>
    <row r="111" spans="2:11">
      <c r="B111" s="503">
        <v>1</v>
      </c>
      <c r="C111" s="504" t="s">
        <v>29</v>
      </c>
      <c r="D111" s="358" t="str">
        <f ca="1">IF(ISERROR(OFFSET('HARGA SATUAN'!$D$6,MATCH(RAB!C111,'HARGA SATUAN'!$C$7:$C$1492,0),0)),"",OFFSET('HARGA SATUAN'!$D$6,MATCH(RAB!C111,'HARGA SATUAN'!$C$7:$C$1492,0),0))</f>
        <v>HDW</v>
      </c>
      <c r="E111" s="359" t="str">
        <f ca="1">IF(B111="+","Unit",IF(ISERROR(OFFSET('HARGA SATUAN'!$E$6,MATCH(RAB!C111,'HARGA SATUAN'!$C$7:$C$1492,0),0)),"",OFFSET('HARGA SATUAN'!$E$6,MATCH(RAB!C111,'HARGA SATUAN'!$C$7:$C$1492,0),0)))</f>
        <v>Bh</v>
      </c>
      <c r="F111" s="483">
        <f>F110*1</f>
        <v>1</v>
      </c>
      <c r="G111" s="360">
        <f ca="1">IF(ISERROR(OFFSET('HARGA SATUAN'!$I$6,MATCH(RAB!C111,'HARGA SATUAN'!$C$7:$C$1492,0),0)),0,OFFSET('HARGA SATUAN'!$I$6,MATCH(RAB!C111,'HARGA SATUAN'!$C$7:$C$1492,0),0))</f>
        <v>185200</v>
      </c>
      <c r="H111" s="361">
        <f t="shared" ca="1" si="68"/>
        <v>0</v>
      </c>
      <c r="I111" s="361">
        <f t="shared" ca="1" si="69"/>
        <v>185200</v>
      </c>
      <c r="J111" s="361">
        <f t="shared" ca="1" si="70"/>
        <v>0</v>
      </c>
      <c r="K111" s="362">
        <f t="shared" ca="1" si="71"/>
        <v>185200</v>
      </c>
    </row>
    <row r="112" spans="2:11">
      <c r="B112" s="503">
        <v>2</v>
      </c>
      <c r="C112" s="504" t="s">
        <v>30</v>
      </c>
      <c r="D112" s="358" t="str">
        <f ca="1">IF(ISERROR(OFFSET('HARGA SATUAN'!$D$6,MATCH(RAB!C112,'HARGA SATUAN'!$C$7:$C$1492,0),0)),"",OFFSET('HARGA SATUAN'!$D$6,MATCH(RAB!C112,'HARGA SATUAN'!$C$7:$C$1492,0),0))</f>
        <v>HDW</v>
      </c>
      <c r="E112" s="359" t="str">
        <f ca="1">IF(B112="+","Unit",IF(ISERROR(OFFSET('HARGA SATUAN'!$E$6,MATCH(RAB!C112,'HARGA SATUAN'!$C$7:$C$1492,0),0)),"",OFFSET('HARGA SATUAN'!$E$6,MATCH(RAB!C112,'HARGA SATUAN'!$C$7:$C$1492,0),0)))</f>
        <v>Bh</v>
      </c>
      <c r="F112" s="483">
        <f>F110*1</f>
        <v>1</v>
      </c>
      <c r="G112" s="360">
        <f ca="1">IF(ISERROR(OFFSET('HARGA SATUAN'!$I$6,MATCH(RAB!C112,'HARGA SATUAN'!$C$7:$C$1492,0),0)),0,OFFSET('HARGA SATUAN'!$I$6,MATCH(RAB!C112,'HARGA SATUAN'!$C$7:$C$1492,0),0))</f>
        <v>47459</v>
      </c>
      <c r="H112" s="361">
        <f t="shared" ca="1" si="68"/>
        <v>0</v>
      </c>
      <c r="I112" s="361">
        <f t="shared" ca="1" si="69"/>
        <v>47459</v>
      </c>
      <c r="J112" s="361">
        <f t="shared" ca="1" si="70"/>
        <v>0</v>
      </c>
      <c r="K112" s="362">
        <f t="shared" ca="1" si="71"/>
        <v>47459</v>
      </c>
    </row>
    <row r="113" spans="2:13">
      <c r="B113" s="503">
        <v>3</v>
      </c>
      <c r="C113" s="504" t="s">
        <v>32</v>
      </c>
      <c r="D113" s="358" t="str">
        <f ca="1">IF(ISERROR(OFFSET('HARGA SATUAN'!$D$6,MATCH(RAB!C113,'HARGA SATUAN'!$C$7:$C$1492,0),0)),"",OFFSET('HARGA SATUAN'!$D$6,MATCH(RAB!C113,'HARGA SATUAN'!$C$7:$C$1492,0),0))</f>
        <v>HDW</v>
      </c>
      <c r="E113" s="359" t="str">
        <f ca="1">IF(B113="+","Unit",IF(ISERROR(OFFSET('HARGA SATUAN'!$E$6,MATCH(RAB!C113,'HARGA SATUAN'!$C$7:$C$1492,0),0)),"",OFFSET('HARGA SATUAN'!$E$6,MATCH(RAB!C113,'HARGA SATUAN'!$C$7:$C$1492,0),0)))</f>
        <v>Mtr</v>
      </c>
      <c r="F113" s="483">
        <f>F110*1.5</f>
        <v>1.5</v>
      </c>
      <c r="G113" s="360">
        <f ca="1">IF(ISERROR(OFFSET('HARGA SATUAN'!$I$6,MATCH(RAB!C113,'HARGA SATUAN'!$C$7:$C$1492,0),0)),0,OFFSET('HARGA SATUAN'!$I$6,MATCH(RAB!C113,'HARGA SATUAN'!$C$7:$C$1492,0),0))</f>
        <v>30000</v>
      </c>
      <c r="H113" s="361">
        <f t="shared" ca="1" si="68"/>
        <v>0</v>
      </c>
      <c r="I113" s="361">
        <f t="shared" ca="1" si="69"/>
        <v>45000</v>
      </c>
      <c r="J113" s="361">
        <f t="shared" ca="1" si="70"/>
        <v>0</v>
      </c>
      <c r="K113" s="362">
        <f t="shared" ca="1" si="71"/>
        <v>45000</v>
      </c>
    </row>
    <row r="114" spans="2:13">
      <c r="B114" s="503">
        <v>4</v>
      </c>
      <c r="C114" s="504" t="s">
        <v>33</v>
      </c>
      <c r="D114" s="358" t="str">
        <f ca="1">IF(ISERROR(OFFSET('HARGA SATUAN'!$D$6,MATCH(RAB!C114,'HARGA SATUAN'!$C$7:$C$1492,0),0)),"",OFFSET('HARGA SATUAN'!$D$6,MATCH(RAB!C114,'HARGA SATUAN'!$C$7:$C$1492,0),0))</f>
        <v>HDW</v>
      </c>
      <c r="E114" s="359" t="str">
        <f ca="1">IF(B114="+","Unit",IF(ISERROR(OFFSET('HARGA SATUAN'!$E$6,MATCH(RAB!C114,'HARGA SATUAN'!$C$7:$C$1492,0),0)),"",OFFSET('HARGA SATUAN'!$E$6,MATCH(RAB!C114,'HARGA SATUAN'!$C$7:$C$1492,0),0)))</f>
        <v>Bh</v>
      </c>
      <c r="F114" s="483">
        <f>F110*2</f>
        <v>2</v>
      </c>
      <c r="G114" s="360">
        <f ca="1">IF(ISERROR(OFFSET('HARGA SATUAN'!$I$6,MATCH(RAB!C114,'HARGA SATUAN'!$C$7:$C$1492,0),0)),0,OFFSET('HARGA SATUAN'!$I$6,MATCH(RAB!C114,'HARGA SATUAN'!$C$7:$C$1492,0),0))</f>
        <v>9500</v>
      </c>
      <c r="H114" s="361">
        <f t="shared" ca="1" si="68"/>
        <v>0</v>
      </c>
      <c r="I114" s="361">
        <f t="shared" ca="1" si="69"/>
        <v>19000</v>
      </c>
      <c r="J114" s="361">
        <f t="shared" ca="1" si="70"/>
        <v>0</v>
      </c>
      <c r="K114" s="362">
        <f t="shared" ca="1" si="71"/>
        <v>19000</v>
      </c>
    </row>
    <row r="115" spans="2:13">
      <c r="B115" s="503">
        <v>5</v>
      </c>
      <c r="C115" s="504" t="s">
        <v>735</v>
      </c>
      <c r="D115" s="358" t="str">
        <f ca="1">IF(ISERROR(OFFSET('HARGA SATUAN'!$D$6,MATCH(RAB!C115,'HARGA SATUAN'!$C$7:$C$1492,0),0)),"",OFFSET('HARGA SATUAN'!$D$6,MATCH(RAB!C115,'HARGA SATUAN'!$C$7:$C$1492,0),0))</f>
        <v>JASA</v>
      </c>
      <c r="E115" s="359" t="str">
        <f ca="1">IF(B115="+","Unit",IF(ISERROR(OFFSET('HARGA SATUAN'!$E$6,MATCH(RAB!C115,'HARGA SATUAN'!$C$7:$C$1492,0),0)),"",OFFSET('HARGA SATUAN'!$E$6,MATCH(RAB!C115,'HARGA SATUAN'!$C$7:$C$1492,0),0)))</f>
        <v>Unit</v>
      </c>
      <c r="F115" s="483">
        <f>F110*1</f>
        <v>1</v>
      </c>
      <c r="G115" s="360">
        <f ca="1">IF(ISERROR(OFFSET('HARGA SATUAN'!$I$6,MATCH(RAB!C115,'HARGA SATUAN'!$C$7:$C$1492,0),0)),0,OFFSET('HARGA SATUAN'!$I$6,MATCH(RAB!C115,'HARGA SATUAN'!$C$7:$C$1492,0),0))</f>
        <v>56400</v>
      </c>
      <c r="H115" s="361">
        <f t="shared" ca="1" si="68"/>
        <v>0</v>
      </c>
      <c r="I115" s="361">
        <f t="shared" ca="1" si="69"/>
        <v>0</v>
      </c>
      <c r="J115" s="361">
        <f t="shared" ca="1" si="70"/>
        <v>56400</v>
      </c>
      <c r="K115" s="362">
        <f t="shared" ca="1" si="71"/>
        <v>56400</v>
      </c>
    </row>
    <row r="116" spans="2:13">
      <c r="B116" s="503"/>
      <c r="C116" s="504"/>
      <c r="D116" s="358" t="str">
        <f ca="1">IF(ISERROR(OFFSET('HARGA SATUAN'!$D$6,MATCH(RAB!C116,'HARGA SATUAN'!$C$7:$C$1492,0),0)),"",OFFSET('HARGA SATUAN'!$D$6,MATCH(RAB!C116,'HARGA SATUAN'!$C$7:$C$1492,0),0))</f>
        <v/>
      </c>
      <c r="E116" s="359" t="str">
        <f ca="1">IF(B116="+","Unit",IF(ISERROR(OFFSET('HARGA SATUAN'!$E$6,MATCH(RAB!C116,'HARGA SATUAN'!$C$7:$C$1492,0),0)),"",OFFSET('HARGA SATUAN'!$E$6,MATCH(RAB!C116,'HARGA SATUAN'!$C$7:$C$1492,0),0)))</f>
        <v/>
      </c>
      <c r="F116" s="483"/>
      <c r="G116" s="360">
        <f ca="1">IF(ISERROR(OFFSET('HARGA SATUAN'!$I$6,MATCH(RAB!C116,'HARGA SATUAN'!$C$7:$C$1492,0),0)),0,OFFSET('HARGA SATUAN'!$I$6,MATCH(RAB!C116,'HARGA SATUAN'!$C$7:$C$1492,0),0))</f>
        <v>0</v>
      </c>
      <c r="H116" s="361">
        <f t="shared" ca="1" si="68"/>
        <v>0</v>
      </c>
      <c r="I116" s="361">
        <f t="shared" ca="1" si="69"/>
        <v>0</v>
      </c>
      <c r="J116" s="361">
        <f t="shared" ca="1" si="70"/>
        <v>0</v>
      </c>
      <c r="K116" s="362">
        <f t="shared" ca="1" si="71"/>
        <v>0</v>
      </c>
    </row>
    <row r="117" spans="2:13">
      <c r="B117" s="373" t="s">
        <v>1550</v>
      </c>
      <c r="C117" s="374" t="s">
        <v>1612</v>
      </c>
      <c r="D117" s="358" t="str">
        <f ca="1">IF(ISERROR(OFFSET('HARGA SATUAN'!$D$6,MATCH(RAB!C117,'HARGA SATUAN'!$C$7:$C$1492,0),0)),"",OFFSET('HARGA SATUAN'!$D$6,MATCH(RAB!C117,'HARGA SATUAN'!$C$7:$C$1492,0),0))</f>
        <v/>
      </c>
      <c r="E117" s="359" t="str">
        <f ca="1">IF(B117="+","Unit",IF(ISERROR(OFFSET('HARGA SATUAN'!$E$6,MATCH(RAB!C117,'HARGA SATUAN'!$C$7:$C$1492,0),0)),"",OFFSET('HARGA SATUAN'!$E$6,MATCH(RAB!C117,'HARGA SATUAN'!$C$7:$C$1492,0),0)))</f>
        <v/>
      </c>
      <c r="F117" s="483"/>
      <c r="G117" s="360">
        <f ca="1">IF(ISERROR(OFFSET('HARGA SATUAN'!$I$6,MATCH(RAB!C117,'HARGA SATUAN'!$C$7:$C$1492,0),0)),0,OFFSET('HARGA SATUAN'!$I$6,MATCH(RAB!C117,'HARGA SATUAN'!$C$7:$C$1492,0),0))</f>
        <v>0</v>
      </c>
      <c r="H117" s="361">
        <f t="shared" ca="1" si="68"/>
        <v>0</v>
      </c>
      <c r="I117" s="361">
        <f t="shared" ca="1" si="69"/>
        <v>0</v>
      </c>
      <c r="J117" s="361">
        <f t="shared" ca="1" si="70"/>
        <v>0</v>
      </c>
      <c r="K117" s="362">
        <f t="shared" ca="1" si="71"/>
        <v>0</v>
      </c>
    </row>
    <row r="118" spans="2:13">
      <c r="B118" s="375"/>
      <c r="C118" s="109"/>
      <c r="D118" s="358" t="str">
        <f ca="1">IF(ISERROR(OFFSET('HARGA SATUAN'!$D$6,MATCH(RAB!C118,'HARGA SATUAN'!$C$7:$C$1492,0),0)),"",OFFSET('HARGA SATUAN'!$D$6,MATCH(RAB!C118,'HARGA SATUAN'!$C$7:$C$1492,0),0))</f>
        <v/>
      </c>
      <c r="E118" s="359" t="str">
        <f ca="1">IF(B118="+","Unit",IF(ISERROR(OFFSET('HARGA SATUAN'!$E$6,MATCH(RAB!C118,'HARGA SATUAN'!$C$7:$C$1492,0),0)),"",OFFSET('HARGA SATUAN'!$E$6,MATCH(RAB!C118,'HARGA SATUAN'!$C$7:$C$1492,0),0)))</f>
        <v/>
      </c>
      <c r="F118" s="483"/>
      <c r="G118" s="360">
        <f ca="1">IF(ISERROR(OFFSET('HARGA SATUAN'!$I$6,MATCH(RAB!C118,'HARGA SATUAN'!$C$7:$C$1492,0),0)),0,OFFSET('HARGA SATUAN'!$I$6,MATCH(RAB!C118,'HARGA SATUAN'!$C$7:$C$1492,0),0))</f>
        <v>0</v>
      </c>
      <c r="H118" s="361">
        <f t="shared" ca="1" si="68"/>
        <v>0</v>
      </c>
      <c r="I118" s="361">
        <f t="shared" ca="1" si="69"/>
        <v>0</v>
      </c>
      <c r="J118" s="361">
        <f t="shared" ca="1" si="70"/>
        <v>0</v>
      </c>
      <c r="K118" s="362">
        <f t="shared" ca="1" si="71"/>
        <v>0</v>
      </c>
    </row>
    <row r="119" spans="2:13">
      <c r="B119" s="376"/>
      <c r="C119" s="377" t="s">
        <v>475</v>
      </c>
      <c r="D119" s="358" t="str">
        <f ca="1">IF(ISERROR(OFFSET('HARGA SATUAN'!$D$6,MATCH(RAB!C119,'HARGA SATUAN'!$C$7:$C$1492,0),0)),"",OFFSET('HARGA SATUAN'!$D$6,MATCH(RAB!C119,'HARGA SATUAN'!$C$7:$C$1492,0),0))</f>
        <v/>
      </c>
      <c r="E119" s="359" t="str">
        <f ca="1">IF(B119="+","Unit",IF(ISERROR(OFFSET('HARGA SATUAN'!$E$6,MATCH(RAB!C119,'HARGA SATUAN'!$C$7:$C$1492,0),0)),"",OFFSET('HARGA SATUAN'!$E$6,MATCH(RAB!C119,'HARGA SATUAN'!$C$7:$C$1492,0),0)))</f>
        <v/>
      </c>
      <c r="F119" s="483"/>
      <c r="G119" s="360">
        <f ca="1">IF(ISERROR(OFFSET('HARGA SATUAN'!$I$6,MATCH(RAB!C119,'HARGA SATUAN'!$C$7:$C$1492,0),0)),0,OFFSET('HARGA SATUAN'!$I$6,MATCH(RAB!C119,'HARGA SATUAN'!$C$7:$C$1492,0),0))</f>
        <v>0</v>
      </c>
      <c r="H119" s="361">
        <f t="shared" ca="1" si="52"/>
        <v>0</v>
      </c>
      <c r="I119" s="361">
        <f t="shared" ca="1" si="53"/>
        <v>0</v>
      </c>
      <c r="J119" s="361">
        <f t="shared" ca="1" si="54"/>
        <v>0</v>
      </c>
      <c r="K119" s="362">
        <f t="shared" ca="1" si="55"/>
        <v>0</v>
      </c>
    </row>
    <row r="120" spans="2:13">
      <c r="B120" s="379">
        <v>1</v>
      </c>
      <c r="C120" s="380" t="s">
        <v>1091</v>
      </c>
      <c r="D120" s="381" t="str">
        <f ca="1">IF(ISERROR(OFFSET('HARGA SATUAN'!$D$6,MATCH(RAB!C120,'HARGA SATUAN'!$C$7:$C$1492,0),0)),"",OFFSET('HARGA SATUAN'!$D$6,MATCH(RAB!C120,'HARGA SATUAN'!$C$7:$C$1492,0),0))</f>
        <v>JASA</v>
      </c>
      <c r="E120" s="382" t="str">
        <f ca="1">IF(ISERROR(OFFSET('HARGA SATUAN'!$E$6,MATCH(RAB!C120,'HARGA SATUAN'!$C$7:$C$1492,0),0)),"",OFFSET('HARGA SATUAN'!$E$6,MATCH(RAB!C120,'HARGA SATUAN'!$C$7:$C$1492,0),0))</f>
        <v>Lot</v>
      </c>
      <c r="F120" s="383">
        <v>1</v>
      </c>
      <c r="G120" s="384">
        <f ca="1">IF(ISERROR(OFFSET('HARGA SATUAN'!$I$6,MATCH(RAB!C120,'HARGA SATUAN'!$C$7:$C$1492,0),0)),0,OFFSET('HARGA SATUAN'!$I$6,MATCH(RAB!C120,'HARGA SATUAN'!$C$7:$C$1492,0),0))</f>
        <v>2.5000000000000001E-2</v>
      </c>
      <c r="H120" s="385">
        <f ca="1">2.5%*(SUM(H14:H119))</f>
        <v>1577246.25</v>
      </c>
      <c r="I120" s="385">
        <f t="shared" ref="I120" ca="1" si="72">2.5%*(SUM(I14:I119))</f>
        <v>899924.57500000007</v>
      </c>
      <c r="J120" s="385">
        <f ca="1">2.5%*(SUM(J14:J119))</f>
        <v>81890.833333333343</v>
      </c>
      <c r="K120" s="386">
        <f ca="1">SUM(H120:J120)</f>
        <v>2559061.6583333337</v>
      </c>
    </row>
    <row r="121" spans="2:13">
      <c r="B121" s="387"/>
      <c r="C121" s="388"/>
      <c r="D121" s="358" t="str">
        <f ca="1">IF(ISERROR(OFFSET('HARGA SATUAN'!$D$6,MATCH(RAB!C121,'HARGA SATUAN'!$C$7:$C$1492,0),0)),"",OFFSET('HARGA SATUAN'!$D$6,MATCH(RAB!C121,'HARGA SATUAN'!$C$7:$C$1492,0),0))</f>
        <v/>
      </c>
      <c r="E121" s="359" t="str">
        <f ca="1">IF(ISERROR(OFFSET('HARGA SATUAN'!$E$6,MATCH(RAB!C121,'HARGA SATUAN'!$C$7:$C$1492,0),0)),"",OFFSET('HARGA SATUAN'!$E$6,MATCH(RAB!C121,'HARGA SATUAN'!$C$7:$C$1492,0),0))</f>
        <v/>
      </c>
      <c r="F121" s="378"/>
      <c r="G121" s="360" t="str">
        <f ca="1">IF(ISERROR(OFFSET('HARGA SATUAN'!$I$6,MATCH(RAB!C121,'HARGA SATUAN'!$C$7:$C$1492,0),0)),"",OFFSET('HARGA SATUAN'!$I$6,MATCH(RAB!C121,'HARGA SATUAN'!$C$7:$C$1492,0),0))</f>
        <v/>
      </c>
      <c r="H121" s="361">
        <f ca="1">IF(OR(D121="MDU",D121="MDU-KD"),IF(G121="PLN",0,G121*F121),0)</f>
        <v>0</v>
      </c>
      <c r="I121" s="361">
        <f ca="1">IF(D121="HDW",IF(G121="PLN",0,G121*F121),0)</f>
        <v>0</v>
      </c>
      <c r="J121" s="361">
        <f ca="1">IF(D121="JASA",IF(G121="PLN",0,G121*F121),0)</f>
        <v>0</v>
      </c>
      <c r="K121" s="362">
        <f ca="1">SUM(H121:J121)</f>
        <v>0</v>
      </c>
    </row>
    <row r="122" spans="2:13" ht="15.75" thickBot="1">
      <c r="B122" s="389"/>
      <c r="C122" s="390"/>
      <c r="D122" s="391"/>
      <c r="E122" s="392"/>
      <c r="F122" s="392"/>
      <c r="G122" s="392"/>
      <c r="H122" s="393"/>
      <c r="I122" s="393"/>
      <c r="J122" s="393"/>
      <c r="K122" s="394"/>
    </row>
    <row r="123" spans="2:13">
      <c r="B123" s="395"/>
      <c r="C123" s="643" t="s">
        <v>1008</v>
      </c>
      <c r="D123" s="643"/>
      <c r="E123" s="643"/>
      <c r="F123" s="643"/>
      <c r="G123" s="396" t="s">
        <v>9</v>
      </c>
      <c r="H123" s="397">
        <f ca="1">SUM(H14:H121)</f>
        <v>64667096.25</v>
      </c>
      <c r="I123" s="397">
        <f ca="1">SUM(I14:I121)</f>
        <v>36896907.575000003</v>
      </c>
      <c r="J123" s="397">
        <f ca="1">SUM(J14:J121)</f>
        <v>3357524.166666667</v>
      </c>
      <c r="K123" s="397">
        <f ca="1">SUM(K14:K121)</f>
        <v>104921527.99166666</v>
      </c>
    </row>
    <row r="124" spans="2:13">
      <c r="B124" s="400"/>
      <c r="C124" s="626" t="s">
        <v>1460</v>
      </c>
      <c r="D124" s="626"/>
      <c r="E124" s="626"/>
      <c r="F124" s="626"/>
      <c r="G124" s="401" t="s">
        <v>9</v>
      </c>
      <c r="H124" s="402">
        <f ca="1">H123*0.11</f>
        <v>7113380.5875000004</v>
      </c>
      <c r="I124" s="402">
        <f ca="1">I123*0.11</f>
        <v>4058659.8332500001</v>
      </c>
      <c r="J124" s="402">
        <f ca="1">J123*0.11</f>
        <v>369327.65833333338</v>
      </c>
      <c r="K124" s="402">
        <f ca="1">K123*0.11</f>
        <v>11541368.079083333</v>
      </c>
    </row>
    <row r="125" spans="2:13" ht="15.75" thickBot="1">
      <c r="B125" s="400"/>
      <c r="C125" s="624" t="s">
        <v>463</v>
      </c>
      <c r="D125" s="624"/>
      <c r="E125" s="624"/>
      <c r="F125" s="624"/>
      <c r="G125" s="404" t="s">
        <v>9</v>
      </c>
      <c r="H125" s="405">
        <f ca="1">SUM(H123:H124)</f>
        <v>71780476.837500006</v>
      </c>
      <c r="I125" s="405">
        <f ca="1">SUM(I123:I124)</f>
        <v>40955567.408250004</v>
      </c>
      <c r="J125" s="404">
        <f ca="1">SUM(J123:J124)</f>
        <v>3726851.8250000002</v>
      </c>
      <c r="K125" s="404">
        <f ca="1">SUM(K123:K124)</f>
        <v>116462896.07075</v>
      </c>
      <c r="M125" s="486"/>
    </row>
    <row r="126" spans="2:13">
      <c r="B126" s="627" t="str">
        <f ca="1">"Terbilang : "&amp;PROPER(IF(K125=0,"nol",IF(K125&lt;0,"minus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IF(--MID(TEXT(ABS(K125),"000000000000000"),1,3)=0,"",MID(TEXT(ABS(K125),"000000000000000"),1,1)&amp;" ratus "&amp;MID(TEXT(ABS(K125),"000000000000000"),2,1)&amp;" puluh "&amp;MID(TEXT(ABS(K125),"000000000000000"),3,1)&amp;" trilyun ")&amp; IF(--MID(TEXT(ABS(K125),"000000000000000"),4,3)=0,"",MID(TEXT(ABS(K125),"000000000000000"),4,1)&amp;" ratus "&amp;MID(TEXT(ABS(K125),"000000000000000"),5,1)&amp;" puluh "&amp;MID(TEXT(ABS(K125),"000000000000000"),6,1)&amp;" milyar ")&amp; IF(--MID(TEXT(ABS(K125),"000000000000000"),7,3)=0,"",MID(TEXT(ABS(K125),"000000000000000"),7,1)&amp;" ratus "&amp;MID(TEXT(ABS(K125),"000000000000000"),8,1)&amp;" puluh "&amp;MID(TEXT(ABS(K125),"000000000000000"),9,1)&amp;" juta ")&amp; IF(--MID(TEXT(ABS(K125),"000000000000000"),10,3)=0,"",IF(--MID(TEXT(ABS(K125),"000000000000000"),10,3)=1,"*",MID(TEXT(ABS(K125),"000000000000000"),10,1)&amp;" ratus "&amp;MID(TEXT(ABS(K125),"000000000000000"),11,1)&amp;" puluh ")&amp;MID(TEXT(ABS(K125),"000000000000000"),12,1)&amp;" ribu ")&amp; IF(--MID(TEXT(ABS(K125),"000000000000000"),13,3)=0,"",MID(TEXT(ABS(K125),"000000000000000"),13,1)&amp;" ratus "&amp;MID(TEXT(ABS(K125),"000000000000000"),14,1)&amp;" puluh "&amp;MID(TEXT(ABS(K125),"000000000000000"),15,1)),1,"satu"),2,"dua"),3,"tiga"),4,"empat"),5,"lima"),6,"enam"),7,"tujuh"),8,"delapan"),9,"sembilan"),"0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Enam Belas Juta Empat Ratus Enam Puluh Dua Ribu Delapan Ratus Sembilan Puluh Enam Rupiah</v>
      </c>
      <c r="C126" s="628"/>
      <c r="D126" s="628"/>
      <c r="E126" s="628"/>
      <c r="F126" s="628"/>
      <c r="G126" s="628"/>
      <c r="H126" s="628"/>
      <c r="I126" s="628"/>
      <c r="J126" s="628"/>
      <c r="K126" s="629"/>
    </row>
    <row r="127" spans="2:13">
      <c r="B127" s="630"/>
      <c r="C127" s="631"/>
      <c r="D127" s="631"/>
      <c r="E127" s="631"/>
      <c r="F127" s="631"/>
      <c r="G127" s="631"/>
      <c r="H127" s="631"/>
      <c r="I127" s="631"/>
      <c r="J127" s="631"/>
      <c r="K127" s="632"/>
    </row>
    <row r="128" spans="2:13" ht="15.75" thickBot="1">
      <c r="B128" s="406" t="str">
        <f>"Harga yang dipakai adalah "&amp;'HARGA SATUAN'!I5&amp;""</f>
        <v>Harga yang dipakai adalah RAB HSS 2023</v>
      </c>
      <c r="C128" s="407"/>
      <c r="D128" s="408"/>
      <c r="E128" s="408"/>
      <c r="F128" s="408"/>
      <c r="G128" s="409"/>
      <c r="H128" s="409"/>
      <c r="I128" s="409"/>
      <c r="J128" s="409"/>
      <c r="K128" s="410"/>
    </row>
    <row r="129" spans="3:11">
      <c r="C129" s="411"/>
      <c r="E129" s="413"/>
      <c r="F129" s="413"/>
      <c r="G129" s="413"/>
    </row>
    <row r="130" spans="3:11">
      <c r="C130" s="337"/>
      <c r="E130" s="413"/>
      <c r="F130" s="413"/>
      <c r="G130" s="413"/>
      <c r="H130" s="633"/>
      <c r="I130" s="633"/>
      <c r="J130" s="634"/>
      <c r="K130" s="634"/>
    </row>
    <row r="131" spans="3:11">
      <c r="C131" s="337"/>
      <c r="E131" s="413"/>
      <c r="F131" s="413"/>
      <c r="G131" s="413"/>
      <c r="H131" s="414"/>
      <c r="I131" s="623" t="s">
        <v>1643</v>
      </c>
      <c r="J131" s="623"/>
      <c r="K131" s="623"/>
    </row>
    <row r="132" spans="3:11">
      <c r="C132" s="337"/>
      <c r="E132" s="413"/>
      <c r="F132" s="413"/>
      <c r="G132" s="413"/>
      <c r="H132" s="414"/>
      <c r="I132" s="623" t="s">
        <v>1644</v>
      </c>
      <c r="J132" s="623"/>
      <c r="K132" s="623"/>
    </row>
    <row r="133" spans="3:11">
      <c r="C133" s="337"/>
      <c r="E133" s="413"/>
      <c r="F133" s="413"/>
      <c r="G133" s="413"/>
      <c r="H133" s="415"/>
      <c r="I133" s="416"/>
      <c r="J133" s="416"/>
      <c r="K133" s="416"/>
    </row>
    <row r="134" spans="3:11">
      <c r="C134" s="337"/>
      <c r="E134" s="413"/>
      <c r="F134" s="413"/>
      <c r="G134" s="413"/>
      <c r="H134" s="415"/>
      <c r="I134" s="415"/>
      <c r="J134" s="415"/>
      <c r="K134" s="415"/>
    </row>
    <row r="135" spans="3:11">
      <c r="C135" s="337"/>
      <c r="E135" s="413"/>
      <c r="F135" s="413"/>
      <c r="G135" s="413"/>
      <c r="H135" s="415"/>
      <c r="I135" s="415"/>
      <c r="J135" s="415"/>
      <c r="K135" s="415"/>
    </row>
    <row r="136" spans="3:11">
      <c r="C136" s="337"/>
      <c r="E136" s="413"/>
      <c r="F136" s="413"/>
      <c r="G136" s="413"/>
      <c r="H136" s="415"/>
      <c r="I136" s="415"/>
      <c r="J136" s="415"/>
      <c r="K136" s="415"/>
    </row>
    <row r="137" spans="3:11">
      <c r="C137" s="337"/>
      <c r="E137" s="413"/>
      <c r="F137" s="413"/>
      <c r="G137" s="413"/>
      <c r="H137" s="417"/>
      <c r="I137" s="623" t="s">
        <v>1645</v>
      </c>
      <c r="J137" s="623"/>
      <c r="K137" s="623"/>
    </row>
    <row r="138" spans="3:11">
      <c r="C138" s="411"/>
      <c r="E138" s="413"/>
      <c r="F138" s="413"/>
      <c r="G138" s="413"/>
      <c r="H138" s="415"/>
      <c r="I138" s="415"/>
      <c r="J138" s="415"/>
      <c r="K138" s="415"/>
    </row>
    <row r="139" spans="3:11">
      <c r="C139" s="411"/>
      <c r="E139" s="413"/>
      <c r="F139" s="413"/>
      <c r="G139" s="413"/>
      <c r="H139" s="415"/>
      <c r="I139" s="415"/>
      <c r="J139" s="415"/>
      <c r="K139" s="415"/>
    </row>
    <row r="140" spans="3:11">
      <c r="C140" s="411"/>
      <c r="E140" s="413"/>
      <c r="F140" s="413"/>
      <c r="G140" s="413"/>
      <c r="H140" s="415"/>
      <c r="I140" s="415"/>
      <c r="J140" s="415"/>
      <c r="K140" s="415"/>
    </row>
  </sheetData>
  <sheetProtection sort="0" autoFilter="0"/>
  <protectedRanges>
    <protectedRange sqref="B118 B65:B81 B92" name="Range1_1"/>
    <protectedRange sqref="B117:C117 B34:B35 B33:C33 B93:C93 B36:C52 C65:C81 C92 B58:C60" name="Range1_1_1"/>
    <protectedRange sqref="C118" name="Range1_1_3_12"/>
    <protectedRange sqref="F19" name="Range1_1_2_2_1_1"/>
    <protectedRange sqref="C62" name="Range1_1_3_11"/>
    <protectedRange sqref="C34" name="Range1_1_3"/>
    <protectedRange sqref="C35" name="Range1_1_3_1"/>
    <protectedRange sqref="C99" name="Range1_1_3_2"/>
    <protectedRange sqref="C20" name="Range1_1_3_3"/>
    <protectedRange sqref="C96" name="Range1_1_3_4"/>
  </protectedRanges>
  <mergeCells count="22">
    <mergeCell ref="O3:P4"/>
    <mergeCell ref="B4:K4"/>
    <mergeCell ref="C123:F123"/>
    <mergeCell ref="B11:B13"/>
    <mergeCell ref="C11:C13"/>
    <mergeCell ref="D11:D13"/>
    <mergeCell ref="E11:E13"/>
    <mergeCell ref="F11:F13"/>
    <mergeCell ref="G11:G13"/>
    <mergeCell ref="I12:I13"/>
    <mergeCell ref="I132:K132"/>
    <mergeCell ref="I137:K137"/>
    <mergeCell ref="C125:F125"/>
    <mergeCell ref="G6:K6"/>
    <mergeCell ref="I131:K131"/>
    <mergeCell ref="C124:F124"/>
    <mergeCell ref="B126:K127"/>
    <mergeCell ref="H130:K130"/>
    <mergeCell ref="H11:K11"/>
    <mergeCell ref="H12:H13"/>
    <mergeCell ref="J12:J13"/>
    <mergeCell ref="K12:K13"/>
  </mergeCells>
  <phoneticPr fontId="138" type="noConversion"/>
  <conditionalFormatting sqref="C15 C92">
    <cfRule type="cellIs" dxfId="16" priority="499" operator="equal">
      <formula>0</formula>
    </cfRule>
  </conditionalFormatting>
  <conditionalFormatting sqref="C17:C20">
    <cfRule type="cellIs" dxfId="15" priority="24" operator="equal">
      <formula>0</formula>
    </cfRule>
  </conditionalFormatting>
  <conditionalFormatting sqref="C34:C35">
    <cfRule type="cellIs" dxfId="14" priority="38" operator="equal">
      <formula>0</formula>
    </cfRule>
  </conditionalFormatting>
  <conditionalFormatting sqref="C62">
    <cfRule type="cellIs" dxfId="13" priority="10" operator="equal">
      <formula>0</formula>
    </cfRule>
  </conditionalFormatting>
  <conditionalFormatting sqref="C66">
    <cfRule type="cellIs" dxfId="12" priority="9" operator="equal">
      <formula>0</formula>
    </cfRule>
  </conditionalFormatting>
  <conditionalFormatting sqref="C81">
    <cfRule type="cellIs" dxfId="11" priority="90" operator="equal">
      <formula>0</formula>
    </cfRule>
  </conditionalFormatting>
  <conditionalFormatting sqref="C107">
    <cfRule type="cellIs" dxfId="10" priority="36" operator="equal">
      <formula>0</formula>
    </cfRule>
  </conditionalFormatting>
  <conditionalFormatting sqref="C118">
    <cfRule type="cellIs" dxfId="9" priority="97" operator="equal">
      <formula>0</formula>
    </cfRule>
  </conditionalFormatting>
  <conditionalFormatting sqref="E1:E3 G1:G13 E5:E13 H12:I12 O13 E120:G120 H120:K122 E121:H121 E122:F122 S14:V32 E100:K119 E95:E99 G95:K99 E24:K38 E46:K46 E39:E45 G39:K45 E52:K52 E47:E51 G47:K51 E53:E57 G53:K57 E58:K94">
    <cfRule type="cellIs" dxfId="8" priority="1079" stopIfTrue="1" operator="equal">
      <formula>0</formula>
    </cfRule>
  </conditionalFormatting>
  <conditionalFormatting sqref="E14:K23">
    <cfRule type="cellIs" dxfId="7" priority="22" stopIfTrue="1" operator="equal">
      <formula>0</formula>
    </cfRule>
  </conditionalFormatting>
  <conditionalFormatting sqref="G121:G65587 E126:E65587">
    <cfRule type="cellIs" dxfId="6" priority="213" stopIfTrue="1" operator="equal">
      <formula>0</formula>
    </cfRule>
  </conditionalFormatting>
  <conditionalFormatting sqref="F95:F99">
    <cfRule type="cellIs" dxfId="4" priority="5" stopIfTrue="1" operator="equal">
      <formula>0</formula>
    </cfRule>
  </conditionalFormatting>
  <conditionalFormatting sqref="F39:F45">
    <cfRule type="cellIs" dxfId="3" priority="4" stopIfTrue="1" operator="equal">
      <formula>0</formula>
    </cfRule>
  </conditionalFormatting>
  <conditionalFormatting sqref="F47:F51">
    <cfRule type="cellIs" dxfId="2" priority="3" stopIfTrue="1" operator="equal">
      <formula>0</formula>
    </cfRule>
  </conditionalFormatting>
  <conditionalFormatting sqref="F53:F57">
    <cfRule type="cellIs" dxfId="1" priority="2" stopIfTrue="1" operator="equal">
      <formula>0</formula>
    </cfRule>
  </conditionalFormatting>
  <conditionalFormatting sqref="C96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100 F109:F119 C63:C65 F26:F31 F34:F49 F51:F94 H14:K122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SRI UTAMI</cp:lastModifiedBy>
  <cp:lastPrinted>2023-08-15T08:06:26Z</cp:lastPrinted>
  <dcterms:created xsi:type="dcterms:W3CDTF">2011-02-06T11:57:38Z</dcterms:created>
  <dcterms:modified xsi:type="dcterms:W3CDTF">2023-09-14T08:30:10Z</dcterms:modified>
</cp:coreProperties>
</file>