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wnloads/"/>
    </mc:Choice>
  </mc:AlternateContent>
  <xr:revisionPtr revIDLastSave="0" documentId="13_ncr:1_{77A5D24F-8607-F447-9227-3030D48C0A71}" xr6:coauthVersionLast="47" xr6:coauthVersionMax="47" xr10:uidLastSave="{00000000-0000-0000-0000-000000000000}"/>
  <bookViews>
    <workbookView xWindow="0" yWindow="500" windowWidth="20740" windowHeight="1116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67" r:id="rId10"/>
    <sheet name="PETA" sheetId="68" r:id="rId11"/>
    <sheet name="SLD " sheetId="6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 localSheetId="11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 localSheetId="11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 localSheetId="11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 localSheetId="11">#REF!</definedName>
    <definedName name="_Z">#REF!</definedName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 localSheetId="11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 localSheetId="11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 localSheetId="10">OFFSET('[20]Regional Overhead Allocation_WJ'!#REF!,0,0,COUNTA('[20]Regional Overhead Allocation_WJ'!#REF!),35)</definedName>
    <definedName name="Rate_of_Absorption_WJ_A2IS_Options" localSheetId="11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 localSheetId="11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 localSheetId="11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 localSheetId="11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 localSheetId="11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 localSheetId="11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 localSheetId="11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6" i="11" l="1"/>
  <c r="E116" i="11"/>
  <c r="D116" i="11"/>
  <c r="J116" i="11" s="1"/>
  <c r="G115" i="11"/>
  <c r="E115" i="11"/>
  <c r="D115" i="11"/>
  <c r="J115" i="11" s="1"/>
  <c r="G114" i="11"/>
  <c r="E114" i="11"/>
  <c r="D114" i="11"/>
  <c r="I114" i="11" s="1"/>
  <c r="G112" i="11"/>
  <c r="E112" i="11"/>
  <c r="D112" i="11"/>
  <c r="H112" i="11" s="1"/>
  <c r="G111" i="11"/>
  <c r="E111" i="11"/>
  <c r="D111" i="11"/>
  <c r="J111" i="11" s="1"/>
  <c r="G110" i="11"/>
  <c r="E110" i="11"/>
  <c r="D110" i="11"/>
  <c r="I110" i="11" s="1"/>
  <c r="G109" i="11"/>
  <c r="E109" i="11"/>
  <c r="D109" i="11"/>
  <c r="G108" i="11"/>
  <c r="E108" i="11"/>
  <c r="D108" i="11"/>
  <c r="J108" i="11" s="1"/>
  <c r="A108" i="11"/>
  <c r="G107" i="11"/>
  <c r="E107" i="11"/>
  <c r="D107" i="11"/>
  <c r="J107" i="11" s="1"/>
  <c r="A107" i="11"/>
  <c r="G106" i="11"/>
  <c r="E106" i="11"/>
  <c r="D106" i="11"/>
  <c r="J106" i="11" s="1"/>
  <c r="A106" i="11"/>
  <c r="G105" i="11"/>
  <c r="E105" i="11"/>
  <c r="D105" i="11"/>
  <c r="J105" i="11" s="1"/>
  <c r="G104" i="11"/>
  <c r="E104" i="11"/>
  <c r="D104" i="11"/>
  <c r="J104" i="11" s="1"/>
  <c r="A104" i="11"/>
  <c r="G103" i="11"/>
  <c r="E103" i="11"/>
  <c r="D103" i="11"/>
  <c r="A103" i="11"/>
  <c r="D102" i="11"/>
  <c r="G101" i="11"/>
  <c r="E101" i="11"/>
  <c r="D101" i="11"/>
  <c r="J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31" i="11"/>
  <c r="D131" i="11"/>
  <c r="I131" i="11" s="1"/>
  <c r="G130" i="11"/>
  <c r="E130" i="11"/>
  <c r="D130" i="11"/>
  <c r="H130" i="11" s="1"/>
  <c r="G129" i="11"/>
  <c r="E129" i="11"/>
  <c r="D129" i="11"/>
  <c r="I129" i="11" s="1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J82" i="11" s="1"/>
  <c r="A82" i="11"/>
  <c r="E81" i="11"/>
  <c r="D81" i="11"/>
  <c r="H81" i="11" s="1"/>
  <c r="E80" i="11"/>
  <c r="D80" i="11"/>
  <c r="A80" i="11"/>
  <c r="E79" i="11"/>
  <c r="D79" i="11"/>
  <c r="J79" i="11" s="1"/>
  <c r="E78" i="11"/>
  <c r="D78" i="11"/>
  <c r="J78" i="11" s="1"/>
  <c r="A78" i="11"/>
  <c r="G77" i="11"/>
  <c r="E77" i="11"/>
  <c r="D77" i="11"/>
  <c r="J77" i="11" s="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H75" i="11" s="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G122" i="11"/>
  <c r="G128" i="11"/>
  <c r="G133" i="11"/>
  <c r="G134" i="11"/>
  <c r="G141" i="11"/>
  <c r="E122" i="11"/>
  <c r="E123" i="11"/>
  <c r="E124" i="11"/>
  <c r="E125" i="11"/>
  <c r="E126" i="11"/>
  <c r="E127" i="11"/>
  <c r="E128" i="11"/>
  <c r="E133" i="11"/>
  <c r="E134" i="11"/>
  <c r="E135" i="11"/>
  <c r="E136" i="11"/>
  <c r="E137" i="11"/>
  <c r="E138" i="11"/>
  <c r="E139" i="11"/>
  <c r="E140" i="11"/>
  <c r="E141" i="11"/>
  <c r="D142" i="11"/>
  <c r="J142" i="11" s="1"/>
  <c r="D121" i="11"/>
  <c r="D122" i="11"/>
  <c r="H122" i="11" s="1"/>
  <c r="D123" i="11"/>
  <c r="H123" i="11" s="1"/>
  <c r="D124" i="11"/>
  <c r="J124" i="11" s="1"/>
  <c r="D125" i="11"/>
  <c r="H125" i="11" s="1"/>
  <c r="D126" i="11"/>
  <c r="H126" i="11" s="1"/>
  <c r="D127" i="11"/>
  <c r="H127" i="11" s="1"/>
  <c r="D128" i="11"/>
  <c r="I128" i="11" s="1"/>
  <c r="D133" i="11"/>
  <c r="H133" i="11" s="1"/>
  <c r="D134" i="11"/>
  <c r="J134" i="11" s="1"/>
  <c r="D135" i="11"/>
  <c r="D136" i="11"/>
  <c r="J136" i="11" s="1"/>
  <c r="D137" i="11"/>
  <c r="J137" i="11" s="1"/>
  <c r="D138" i="11"/>
  <c r="D139" i="11"/>
  <c r="H139" i="11" s="1"/>
  <c r="D140" i="11"/>
  <c r="J140" i="11" s="1"/>
  <c r="D141" i="11"/>
  <c r="H141" i="11" s="1"/>
  <c r="E97" i="11"/>
  <c r="E117" i="1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/>
  <c r="D18" i="59"/>
  <c r="D7" i="60"/>
  <c r="D21" i="59"/>
  <c r="K7" i="60"/>
  <c r="K9" i="60" s="1"/>
  <c r="K16" i="60" s="1"/>
  <c r="K20" i="60" s="1"/>
  <c r="K19" i="60"/>
  <c r="K18" i="60"/>
  <c r="K17" i="60"/>
  <c r="D17" i="60"/>
  <c r="D18" i="60"/>
  <c r="D20" i="60" s="1"/>
  <c r="D6" i="60"/>
  <c r="D9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J47" i="11" s="1"/>
  <c r="A47" i="11"/>
  <c r="E46" i="11"/>
  <c r="D46" i="11"/>
  <c r="A46" i="11"/>
  <c r="E45" i="11"/>
  <c r="D45" i="11"/>
  <c r="A45" i="11"/>
  <c r="E43" i="11"/>
  <c r="D43" i="11"/>
  <c r="H43" i="11" s="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J64" i="11" s="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H60" i="11" s="1"/>
  <c r="A60" i="11"/>
  <c r="E59" i="11"/>
  <c r="D59" i="11"/>
  <c r="H59" i="11" s="1"/>
  <c r="A59" i="11"/>
  <c r="E58" i="11"/>
  <c r="D58" i="11"/>
  <c r="J58" i="11" s="1"/>
  <c r="A58" i="11"/>
  <c r="E57" i="11"/>
  <c r="D57" i="11"/>
  <c r="J57" i="11" s="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142" i="11"/>
  <c r="E142" i="11"/>
  <c r="A123" i="11"/>
  <c r="A122" i="11"/>
  <c r="E120" i="11"/>
  <c r="D120" i="11"/>
  <c r="A120" i="11"/>
  <c r="E119" i="11"/>
  <c r="D119" i="11"/>
  <c r="H119" i="11" s="1"/>
  <c r="E118" i="11"/>
  <c r="D118" i="11"/>
  <c r="A118" i="11"/>
  <c r="D117" i="11"/>
  <c r="E96" i="11"/>
  <c r="D96" i="11"/>
  <c r="J96" i="11" s="1"/>
  <c r="A96" i="11"/>
  <c r="E95" i="11"/>
  <c r="D95" i="11"/>
  <c r="A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/>
  <c r="F3" i="54"/>
  <c r="D8" i="59"/>
  <c r="C7" i="54"/>
  <c r="H7" i="54" s="1"/>
  <c r="C8" i="54"/>
  <c r="H8" i="54" s="1"/>
  <c r="D9" i="59"/>
  <c r="K7" i="54" s="1"/>
  <c r="M7" i="54" s="1"/>
  <c r="G15" i="11"/>
  <c r="E15" i="11"/>
  <c r="D15" i="11"/>
  <c r="J15" i="11" s="1"/>
  <c r="A15" i="11"/>
  <c r="E17" i="11"/>
  <c r="D17" i="11"/>
  <c r="A17" i="11"/>
  <c r="G97" i="11"/>
  <c r="D97" i="11"/>
  <c r="J97" i="11" s="1"/>
  <c r="D18" i="11"/>
  <c r="H18" i="11" s="1"/>
  <c r="E18" i="11"/>
  <c r="D14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25" i="11"/>
  <c r="A126" i="11"/>
  <c r="A127" i="11"/>
  <c r="G143" i="11"/>
  <c r="E143" i="11"/>
  <c r="D143" i="11"/>
  <c r="H143" i="11" s="1"/>
  <c r="E144" i="11"/>
  <c r="D145" i="11"/>
  <c r="H145" i="11" s="1"/>
  <c r="E145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4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9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23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19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40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31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24" i="11"/>
  <c r="I578" i="10"/>
  <c r="I670" i="10"/>
  <c r="G127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8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2" i="11"/>
  <c r="I1220" i="10"/>
  <c r="I1219" i="10"/>
  <c r="I9" i="10"/>
  <c r="G135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37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25" i="11"/>
  <c r="G72" i="11"/>
  <c r="G24" i="11"/>
  <c r="G78" i="11"/>
  <c r="N1362" i="10"/>
  <c r="N1357" i="10"/>
  <c r="N1349" i="10"/>
  <c r="N1332" i="10"/>
  <c r="N1316" i="10"/>
  <c r="N1309" i="10"/>
  <c r="N1258" i="10"/>
  <c r="G144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26" i="11"/>
  <c r="G73" i="11"/>
  <c r="N1430" i="10"/>
  <c r="N1390" i="10"/>
  <c r="N1352" i="10"/>
  <c r="N1344" i="10"/>
  <c r="N1337" i="10"/>
  <c r="N1307" i="10"/>
  <c r="N146" i="10"/>
  <c r="G120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36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37" i="11"/>
  <c r="G92" i="11"/>
  <c r="A91" i="11" s="1"/>
  <c r="G117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F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118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D8" i="54"/>
  <c r="C9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F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E8" i="54"/>
  <c r="L8" i="54"/>
  <c r="M8" i="54" s="1"/>
  <c r="I9" i="54"/>
  <c r="H9" i="54"/>
  <c r="C10" i="54"/>
  <c r="I10" i="54" s="1"/>
  <c r="D9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F241" i="29"/>
  <c r="E241" i="29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E9" i="54"/>
  <c r="L9" i="54"/>
  <c r="M9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F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F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D7" i="54"/>
  <c r="E858" i="41"/>
  <c r="A16" i="54"/>
  <c r="O15" i="54"/>
  <c r="E7" i="54"/>
  <c r="L7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H82" i="11" l="1"/>
  <c r="F58" i="39"/>
  <c r="E862" i="41"/>
  <c r="E831" i="41"/>
  <c r="E761" i="41"/>
  <c r="E751" i="41"/>
  <c r="E757" i="41"/>
  <c r="F809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I7" i="54"/>
  <c r="D10" i="54"/>
  <c r="E10" i="54" s="1"/>
  <c r="C11" i="54"/>
  <c r="I8" i="54"/>
  <c r="H10" i="54"/>
  <c r="H77" i="11"/>
  <c r="J103" i="11"/>
  <c r="H109" i="11"/>
  <c r="I78" i="11"/>
  <c r="I31" i="11"/>
  <c r="F834" i="41"/>
  <c r="J52" i="11"/>
  <c r="E269" i="29"/>
  <c r="I26" i="11"/>
  <c r="I36" i="11"/>
  <c r="I97" i="11"/>
  <c r="H36" i="11"/>
  <c r="H97" i="11"/>
  <c r="F352" i="29"/>
  <c r="J36" i="39"/>
  <c r="E748" i="41"/>
  <c r="F718" i="41"/>
  <c r="I41" i="11"/>
  <c r="I38" i="11"/>
  <c r="E351" i="29"/>
  <c r="J39" i="11"/>
  <c r="F806" i="41"/>
  <c r="F826" i="41"/>
  <c r="I74" i="11"/>
  <c r="F824" i="41"/>
  <c r="J65" i="11"/>
  <c r="J45" i="11"/>
  <c r="I124" i="11"/>
  <c r="H23" i="11"/>
  <c r="H24" i="11"/>
  <c r="I82" i="11"/>
  <c r="K82" i="11" s="1"/>
  <c r="J118" i="11"/>
  <c r="H79" i="11"/>
  <c r="I109" i="11"/>
  <c r="I28" i="11"/>
  <c r="I95" i="11"/>
  <c r="I91" i="11"/>
  <c r="J51" i="11"/>
  <c r="I37" i="11"/>
  <c r="H25" i="11"/>
  <c r="J109" i="11"/>
  <c r="H111" i="11"/>
  <c r="J114" i="11"/>
  <c r="J110" i="11"/>
  <c r="I112" i="11"/>
  <c r="F781" i="41"/>
  <c r="J23" i="11"/>
  <c r="E743" i="41"/>
  <c r="H110" i="11"/>
  <c r="I111" i="11"/>
  <c r="J112" i="11"/>
  <c r="H100" i="11"/>
  <c r="H101" i="11"/>
  <c r="H105" i="11"/>
  <c r="H106" i="11"/>
  <c r="H107" i="11"/>
  <c r="H108" i="11"/>
  <c r="I43" i="11"/>
  <c r="H98" i="11"/>
  <c r="H99" i="11"/>
  <c r="I100" i="11"/>
  <c r="I101" i="11"/>
  <c r="H103" i="11"/>
  <c r="H104" i="11"/>
  <c r="I105" i="11"/>
  <c r="I106" i="11"/>
  <c r="I107" i="11"/>
  <c r="I108" i="11"/>
  <c r="H116" i="11"/>
  <c r="F304" i="29"/>
  <c r="I98" i="11"/>
  <c r="I99" i="11"/>
  <c r="I103" i="11"/>
  <c r="I104" i="11"/>
  <c r="H115" i="11"/>
  <c r="I116" i="11"/>
  <c r="I80" i="11"/>
  <c r="H142" i="11"/>
  <c r="H114" i="11"/>
  <c r="I115" i="11"/>
  <c r="I118" i="11"/>
  <c r="F762" i="41"/>
  <c r="E766" i="41"/>
  <c r="E823" i="41"/>
  <c r="H118" i="1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J131" i="11"/>
  <c r="E319" i="29"/>
  <c r="F225" i="29"/>
  <c r="E1227" i="41"/>
  <c r="I145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I96" i="1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F835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137" i="11"/>
  <c r="J95" i="11"/>
  <c r="J92" i="11"/>
  <c r="I125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120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H95" i="11"/>
  <c r="E1320" i="41"/>
  <c r="E1234" i="41"/>
  <c r="E838" i="41"/>
  <c r="F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F349" i="29"/>
  <c r="E330" i="29"/>
  <c r="I18" i="11"/>
  <c r="I58" i="11"/>
  <c r="J18" i="11"/>
  <c r="H16" i="11"/>
  <c r="J41" i="11"/>
  <c r="I137" i="11"/>
  <c r="F242" i="29"/>
  <c r="F298" i="29"/>
  <c r="I77" i="11"/>
  <c r="E276" i="29"/>
  <c r="J145" i="11"/>
  <c r="I126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940" i="41" s="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F373" i="29" s="1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K81" i="11" s="1"/>
  <c r="J130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F803" i="41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H124" i="11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F1158" i="41" s="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F780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119" i="11"/>
  <c r="I69" i="11"/>
  <c r="H129" i="11"/>
  <c r="H96" i="11"/>
  <c r="J59" i="11"/>
  <c r="J24" i="11"/>
  <c r="E64" i="39"/>
  <c r="J69" i="11"/>
  <c r="I140" i="11"/>
  <c r="J66" i="11"/>
  <c r="I70" i="11"/>
  <c r="I72" i="11"/>
  <c r="I141" i="11"/>
  <c r="J128" i="11"/>
  <c r="H71" i="11"/>
  <c r="J29" i="11"/>
  <c r="F240" i="29"/>
  <c r="I52" i="11"/>
  <c r="I66" i="11"/>
  <c r="J48" i="11"/>
  <c r="J125" i="11"/>
  <c r="H70" i="11"/>
  <c r="F228" i="29"/>
  <c r="E263" i="29"/>
  <c r="F277" i="29"/>
  <c r="I94" i="11"/>
  <c r="J93" i="11"/>
  <c r="H140" i="11"/>
  <c r="I130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F291" i="29"/>
  <c r="E284" i="29"/>
  <c r="F284" i="29"/>
  <c r="F273" i="29"/>
  <c r="E273" i="29"/>
  <c r="E979" i="41"/>
  <c r="E844" i="41"/>
  <c r="F844" i="41"/>
  <c r="E944" i="41"/>
  <c r="E355" i="29"/>
  <c r="F355" i="29"/>
  <c r="E67" i="39"/>
  <c r="F69" i="39" s="1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F290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H134" i="11"/>
  <c r="I134" i="11"/>
  <c r="J33" i="11"/>
  <c r="H33" i="11"/>
  <c r="F226" i="29"/>
  <c r="E226" i="29"/>
  <c r="F371" i="29" s="1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J139" i="11"/>
  <c r="I76" i="11"/>
  <c r="F286" i="29"/>
  <c r="E246" i="29"/>
  <c r="I119" i="11"/>
  <c r="I122" i="11"/>
  <c r="H128" i="11"/>
  <c r="J129" i="11"/>
  <c r="E66" i="39"/>
  <c r="F266" i="29"/>
  <c r="F60" i="39"/>
  <c r="J83" i="11"/>
  <c r="I139" i="11"/>
  <c r="H20" i="11"/>
  <c r="H91" i="11"/>
  <c r="I133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J122" i="11"/>
  <c r="E1193" i="41"/>
  <c r="E889" i="41"/>
  <c r="E976" i="41"/>
  <c r="E1090" i="41"/>
  <c r="E1142" i="41"/>
  <c r="E839" i="41"/>
  <c r="F839" i="41"/>
  <c r="E1124" i="41"/>
  <c r="E852" i="41"/>
  <c r="E1063" i="41"/>
  <c r="E1084" i="41"/>
  <c r="E873" i="41"/>
  <c r="F1292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F1089" i="41"/>
  <c r="E1089" i="41"/>
  <c r="E887" i="41"/>
  <c r="E1313" i="41"/>
  <c r="E1054" i="41"/>
  <c r="F1052" i="41"/>
  <c r="E1052" i="41"/>
  <c r="F855" i="41"/>
  <c r="E855" i="41"/>
  <c r="E1305" i="41"/>
  <c r="E791" i="41"/>
  <c r="F1143" i="41" s="1"/>
  <c r="E910" i="41"/>
  <c r="E1178" i="41"/>
  <c r="E893" i="41"/>
  <c r="E1020" i="41"/>
  <c r="F741" i="41"/>
  <c r="E982" i="41"/>
  <c r="E924" i="41"/>
  <c r="F348" i="29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369" i="29" s="1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F300" i="29"/>
  <c r="E232" i="29"/>
  <c r="F232" i="29"/>
  <c r="H117" i="11"/>
  <c r="J117" i="11"/>
  <c r="I117" i="11"/>
  <c r="F357" i="29"/>
  <c r="F345" i="29"/>
  <c r="E325" i="29"/>
  <c r="F325" i="29"/>
  <c r="E372" i="29"/>
  <c r="E65" i="39"/>
  <c r="F65" i="39"/>
  <c r="E323" i="29"/>
  <c r="F323" i="29"/>
  <c r="F299" i="29"/>
  <c r="E299" i="29"/>
  <c r="E303" i="29"/>
  <c r="F303" i="29"/>
  <c r="F265" i="29"/>
  <c r="E265" i="29"/>
  <c r="F301" i="29"/>
  <c r="E63" i="39"/>
  <c r="F67" i="39" s="1"/>
  <c r="F271" i="29"/>
  <c r="E250" i="29"/>
  <c r="F250" i="29"/>
  <c r="E244" i="29"/>
  <c r="H138" i="11"/>
  <c r="J138" i="11"/>
  <c r="I138" i="11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I123" i="11"/>
  <c r="J123" i="11"/>
  <c r="J94" i="11"/>
  <c r="H94" i="11"/>
  <c r="H49" i="11"/>
  <c r="I49" i="11"/>
  <c r="J127" i="11"/>
  <c r="I127" i="11"/>
  <c r="J30" i="11"/>
  <c r="H30" i="11"/>
  <c r="I30" i="11"/>
  <c r="E283" i="29"/>
  <c r="F283" i="29"/>
  <c r="K15" i="29"/>
  <c r="J141" i="11"/>
  <c r="I136" i="11"/>
  <c r="H136" i="11"/>
  <c r="E288" i="29"/>
  <c r="F288" i="29"/>
  <c r="H57" i="11"/>
  <c r="I57" i="11"/>
  <c r="H67" i="11"/>
  <c r="J67" i="11"/>
  <c r="H45" i="11"/>
  <c r="I45" i="11"/>
  <c r="J135" i="11"/>
  <c r="H135" i="11"/>
  <c r="I13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372" i="29" s="1"/>
  <c r="F268" i="29"/>
  <c r="J143" i="11"/>
  <c r="I143" i="11"/>
  <c r="I120" i="11"/>
  <c r="H120" i="11"/>
  <c r="H80" i="11"/>
  <c r="J80" i="11"/>
  <c r="E313" i="29"/>
  <c r="J75" i="11"/>
  <c r="I20" i="11"/>
  <c r="I142" i="11"/>
  <c r="H55" i="11"/>
  <c r="J126" i="11"/>
  <c r="J74" i="11"/>
  <c r="J91" i="11"/>
  <c r="J133" i="11"/>
  <c r="H131" i="11"/>
  <c r="K68" i="11" l="1"/>
  <c r="K85" i="11"/>
  <c r="K88" i="11"/>
  <c r="K79" i="11"/>
  <c r="K124" i="11"/>
  <c r="K77" i="11"/>
  <c r="K78" i="11"/>
  <c r="H11" i="54"/>
  <c r="I11" i="54"/>
  <c r="D11" i="54"/>
  <c r="C12" i="54"/>
  <c r="E11" i="54"/>
  <c r="K36" i="39"/>
  <c r="K65" i="11"/>
  <c r="L10" i="54"/>
  <c r="M10" i="54" s="1"/>
  <c r="K96" i="11"/>
  <c r="K126" i="11"/>
  <c r="K31" i="11"/>
  <c r="K36" i="11"/>
  <c r="K131" i="11"/>
  <c r="K26" i="11"/>
  <c r="F852" i="41"/>
  <c r="K137" i="1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97" i="11"/>
  <c r="K109" i="11"/>
  <c r="K110" i="11"/>
  <c r="K112" i="11"/>
  <c r="K28" i="11"/>
  <c r="K114" i="11"/>
  <c r="K103" i="11"/>
  <c r="K106" i="11"/>
  <c r="K23" i="11"/>
  <c r="K53" i="11"/>
  <c r="K74" i="11"/>
  <c r="K55" i="11"/>
  <c r="K43" i="11"/>
  <c r="K142" i="11"/>
  <c r="K50" i="11"/>
  <c r="K76" i="11"/>
  <c r="K116" i="11"/>
  <c r="K101" i="11"/>
  <c r="K111" i="11"/>
  <c r="K99" i="11"/>
  <c r="K104" i="11"/>
  <c r="K107" i="11"/>
  <c r="K100" i="11"/>
  <c r="K115" i="11"/>
  <c r="K98" i="11"/>
  <c r="K128" i="11"/>
  <c r="K48" i="11"/>
  <c r="K90" i="11"/>
  <c r="K118" i="11"/>
  <c r="K108" i="11"/>
  <c r="K87" i="11"/>
  <c r="K35" i="11"/>
  <c r="K69" i="11"/>
  <c r="K105" i="11"/>
  <c r="K27" i="11"/>
  <c r="K39" i="11"/>
  <c r="K24" i="11"/>
  <c r="K95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45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129" i="11"/>
  <c r="K66" i="11"/>
  <c r="K140" i="11"/>
  <c r="K141" i="11"/>
  <c r="K130" i="11"/>
  <c r="K119" i="11"/>
  <c r="K93" i="11"/>
  <c r="K125" i="11"/>
  <c r="K72" i="11"/>
  <c r="K136" i="11"/>
  <c r="K18" i="11"/>
  <c r="K70" i="11"/>
  <c r="K37" i="11"/>
  <c r="K122" i="11"/>
  <c r="K133" i="11"/>
  <c r="K94" i="11"/>
  <c r="K91" i="11"/>
  <c r="K44" i="11"/>
  <c r="K134" i="11"/>
  <c r="K33" i="11"/>
  <c r="K127" i="11"/>
  <c r="K139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143" i="11"/>
  <c r="K135" i="11"/>
  <c r="K38" i="11"/>
  <c r="F347" i="29"/>
  <c r="K19" i="11"/>
  <c r="K46" i="11"/>
  <c r="K120" i="11"/>
  <c r="K67" i="11"/>
  <c r="K30" i="11"/>
  <c r="K42" i="11"/>
  <c r="K56" i="11"/>
  <c r="K57" i="11"/>
  <c r="K138" i="11"/>
  <c r="K117" i="11"/>
  <c r="H147" i="11"/>
  <c r="F828" i="41"/>
  <c r="F802" i="41"/>
  <c r="K123" i="11"/>
  <c r="K61" i="11"/>
  <c r="F312" i="29"/>
  <c r="F233" i="29"/>
  <c r="I147" i="11"/>
  <c r="K15" i="11"/>
  <c r="K25" i="11"/>
  <c r="H12" i="54" l="1"/>
  <c r="C13" i="54"/>
  <c r="I12" i="54"/>
  <c r="D12" i="54"/>
  <c r="E12" i="54"/>
  <c r="L11" i="54"/>
  <c r="M11" i="54" s="1"/>
  <c r="C19" i="39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D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L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D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C117" i="41"/>
  <c r="G117" i="41" s="1"/>
  <c r="F154" i="41"/>
  <c r="F407" i="41"/>
  <c r="F70" i="41"/>
  <c r="F363" i="41"/>
  <c r="F352" i="41"/>
  <c r="C544" i="41"/>
  <c r="D544" i="41" s="1"/>
  <c r="C61" i="29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D513" i="41"/>
  <c r="B513" i="41"/>
  <c r="L370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48" i="11"/>
  <c r="H149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G554" i="41"/>
  <c r="B554" i="41"/>
  <c r="L554" i="41"/>
  <c r="D554" i="41"/>
  <c r="B25" i="41"/>
  <c r="G25" i="41"/>
  <c r="D25" i="41"/>
  <c r="L25" i="41"/>
  <c r="D495" i="41"/>
  <c r="G495" i="41"/>
  <c r="C148" i="41"/>
  <c r="C182" i="41"/>
  <c r="G21" i="39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D19" i="39"/>
  <c r="B19" i="39"/>
  <c r="E19" i="39" s="1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B61" i="29"/>
  <c r="E61" i="29" s="1"/>
  <c r="D61" i="29"/>
  <c r="G61" i="29"/>
  <c r="L260" i="41"/>
  <c r="B260" i="41"/>
  <c r="G260" i="41"/>
  <c r="D260" i="41"/>
  <c r="L496" i="41"/>
  <c r="B241" i="41"/>
  <c r="D241" i="41"/>
  <c r="G241" i="41"/>
  <c r="L241" i="41"/>
  <c r="D106" i="29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B398" i="41"/>
  <c r="D398" i="41"/>
  <c r="L191" i="41"/>
  <c r="B191" i="41"/>
  <c r="D191" i="41"/>
  <c r="G191" i="41"/>
  <c r="D86" i="29"/>
  <c r="I148" i="11"/>
  <c r="I149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L202" i="41"/>
  <c r="G202" i="41"/>
  <c r="G339" i="41"/>
  <c r="D339" i="41"/>
  <c r="B339" i="41"/>
  <c r="L339" i="41"/>
  <c r="D43" i="29"/>
  <c r="D599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B22" i="39"/>
  <c r="E22" i="39" s="1"/>
  <c r="G22" i="3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B66" i="29"/>
  <c r="E66" i="29" s="1"/>
  <c r="D66" i="29"/>
  <c r="G66" i="29"/>
  <c r="G20" i="39"/>
  <c r="B503" i="41"/>
  <c r="L503" i="41"/>
  <c r="G503" i="41"/>
  <c r="D503" i="41"/>
  <c r="G412" i="41"/>
  <c r="B412" i="41"/>
  <c r="L412" i="41"/>
  <c r="D412" i="41"/>
  <c r="D603" i="41"/>
  <c r="J144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B202" i="41" l="1"/>
  <c r="K202" i="41" s="1"/>
  <c r="L398" i="41"/>
  <c r="D21" i="39"/>
  <c r="B495" i="41"/>
  <c r="K495" i="41" s="1"/>
  <c r="L513" i="4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J500" i="41" s="1"/>
  <c r="L210" i="41"/>
  <c r="D496" i="41"/>
  <c r="L500" i="41"/>
  <c r="G210" i="41"/>
  <c r="B28" i="39"/>
  <c r="E28" i="39" s="1"/>
  <c r="G33" i="39"/>
  <c r="L686" i="41"/>
  <c r="L353" i="41"/>
  <c r="B628" i="41"/>
  <c r="B168" i="41"/>
  <c r="K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E393" i="41" s="1"/>
  <c r="G357" i="41"/>
  <c r="G329" i="41"/>
  <c r="G107" i="29"/>
  <c r="L117" i="41"/>
  <c r="D172" i="41"/>
  <c r="G474" i="41"/>
  <c r="B489" i="4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K592" i="41" s="1"/>
  <c r="L12" i="54"/>
  <c r="M12" i="54" s="1"/>
  <c r="G97" i="29"/>
  <c r="L468" i="41"/>
  <c r="B171" i="41"/>
  <c r="B21" i="29"/>
  <c r="E21" i="29" s="1"/>
  <c r="C14" i="54"/>
  <c r="D13" i="54"/>
  <c r="I13" i="54"/>
  <c r="H13" i="54"/>
  <c r="E13" i="54"/>
  <c r="H30" i="39"/>
  <c r="B29" i="39"/>
  <c r="E29" i="39" s="1"/>
  <c r="B23" i="39"/>
  <c r="E23" i="39" s="1"/>
  <c r="D35" i="39"/>
  <c r="J35" i="39" s="1"/>
  <c r="D13" i="41"/>
  <c r="D23" i="39"/>
  <c r="H23" i="39" s="1"/>
  <c r="G13" i="41"/>
  <c r="D29" i="29"/>
  <c r="J29" i="29" s="1"/>
  <c r="B133" i="41"/>
  <c r="G133" i="41"/>
  <c r="B164" i="41"/>
  <c r="K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J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B104" i="29"/>
  <c r="E104" i="29" s="1"/>
  <c r="B426" i="41"/>
  <c r="H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G224" i="41"/>
  <c r="B176" i="41"/>
  <c r="H176" i="41" s="1"/>
  <c r="D176" i="41"/>
  <c r="B53" i="41"/>
  <c r="G275" i="41"/>
  <c r="D651" i="41"/>
  <c r="B33" i="39"/>
  <c r="E33" i="39" s="1"/>
  <c r="G176" i="41"/>
  <c r="D53" i="41"/>
  <c r="G651" i="41"/>
  <c r="G106" i="29"/>
  <c r="G662" i="41"/>
  <c r="G107" i="41"/>
  <c r="B407" i="41"/>
  <c r="H407" i="41" s="1"/>
  <c r="G370" i="41"/>
  <c r="D107" i="41"/>
  <c r="B107" i="41"/>
  <c r="J107" i="41" s="1"/>
  <c r="G160" i="29"/>
  <c r="G21" i="29"/>
  <c r="H21" i="29" s="1"/>
  <c r="D160" i="29"/>
  <c r="G263" i="41"/>
  <c r="B263" i="41"/>
  <c r="H263" i="41" s="1"/>
  <c r="D370" i="41"/>
  <c r="B272" i="41"/>
  <c r="D272" i="41"/>
  <c r="D201" i="41"/>
  <c r="G272" i="41"/>
  <c r="B177" i="41"/>
  <c r="L123" i="41"/>
  <c r="G123" i="41"/>
  <c r="L177" i="41"/>
  <c r="B521" i="4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D133" i="41"/>
  <c r="D171" i="41"/>
  <c r="B358" i="41"/>
  <c r="E358" i="41" s="1"/>
  <c r="L592" i="41"/>
  <c r="B29" i="29"/>
  <c r="E29" i="29" s="1"/>
  <c r="G169" i="41"/>
  <c r="D245" i="41"/>
  <c r="B342" i="41"/>
  <c r="L171" i="41"/>
  <c r="D691" i="41"/>
  <c r="L691" i="41"/>
  <c r="B553" i="41"/>
  <c r="I553" i="41" s="1"/>
  <c r="D169" i="41"/>
  <c r="L169" i="41"/>
  <c r="G608" i="41"/>
  <c r="B608" i="4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K605" i="41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H513" i="41"/>
  <c r="K513" i="41"/>
  <c r="J513" i="41"/>
  <c r="E513" i="41"/>
  <c r="I513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E553" i="41"/>
  <c r="K553" i="41"/>
  <c r="J553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E554" i="41"/>
  <c r="H554" i="41"/>
  <c r="I554" i="41"/>
  <c r="K554" i="41"/>
  <c r="J554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I503" i="41"/>
  <c r="K503" i="41"/>
  <c r="E503" i="41"/>
  <c r="J503" i="41"/>
  <c r="H503" i="41"/>
  <c r="D34" i="41"/>
  <c r="G34" i="41"/>
  <c r="L34" i="41"/>
  <c r="B34" i="41"/>
  <c r="I22" i="39"/>
  <c r="J22" i="39"/>
  <c r="H22" i="39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44" i="11"/>
  <c r="K147" i="11" s="1"/>
  <c r="J147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H202" i="41"/>
  <c r="I202" i="41"/>
  <c r="J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J651" i="41"/>
  <c r="K651" i="41"/>
  <c r="E651" i="41"/>
  <c r="H651" i="41"/>
  <c r="I65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I603" i="41"/>
  <c r="H603" i="41"/>
  <c r="J603" i="41"/>
  <c r="E603" i="41"/>
  <c r="I489" i="41"/>
  <c r="E489" i="41"/>
  <c r="K489" i="41"/>
  <c r="H489" i="41"/>
  <c r="J489" i="41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E547" i="41"/>
  <c r="I547" i="41"/>
  <c r="J547" i="41"/>
  <c r="K547" i="41"/>
  <c r="H547" i="41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I398" i="41"/>
  <c r="E398" i="41"/>
  <c r="K398" i="41"/>
  <c r="J398" i="41"/>
  <c r="H398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J23" i="39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521" i="41"/>
  <c r="K521" i="41"/>
  <c r="E521" i="41"/>
  <c r="H521" i="41"/>
  <c r="I521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J88" i="41"/>
  <c r="I88" i="41"/>
  <c r="E88" i="41"/>
  <c r="H88" i="41"/>
  <c r="K88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H592" i="4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J482" i="41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H500" i="41"/>
  <c r="I500" i="41"/>
  <c r="I177" i="41"/>
  <c r="J177" i="41"/>
  <c r="E177" i="41"/>
  <c r="H177" i="41"/>
  <c r="K177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J66" i="29"/>
  <c r="I66" i="29"/>
  <c r="H66" i="29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I164" i="41"/>
  <c r="K393" i="41"/>
  <c r="H123" i="41"/>
  <c r="J123" i="41"/>
  <c r="I123" i="41"/>
  <c r="K123" i="41"/>
  <c r="E123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I407" i="41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H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J87" i="29"/>
  <c r="I87" i="29"/>
  <c r="H87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H168" i="41"/>
  <c r="E168" i="41"/>
  <c r="I168" i="41"/>
  <c r="K263" i="41"/>
  <c r="K53" i="41"/>
  <c r="J53" i="41"/>
  <c r="I53" i="41"/>
  <c r="E53" i="41"/>
  <c r="H53" i="41"/>
  <c r="J583" i="4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H608" i="41"/>
  <c r="K608" i="41"/>
  <c r="I608" i="41"/>
  <c r="J608" i="41"/>
  <c r="E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K272" i="41"/>
  <c r="E272" i="41"/>
  <c r="I272" i="41"/>
  <c r="H272" i="41"/>
  <c r="J272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K628" i="41"/>
  <c r="I628" i="41"/>
  <c r="E628" i="41"/>
  <c r="H628" i="41"/>
  <c r="J628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J133" i="41"/>
  <c r="E133" i="41"/>
  <c r="I133" i="41"/>
  <c r="H133" i="41"/>
  <c r="K133" i="41"/>
  <c r="K171" i="41"/>
  <c r="J171" i="41"/>
  <c r="H171" i="41"/>
  <c r="I171" i="41"/>
  <c r="E17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H160" i="29"/>
  <c r="J160" i="29"/>
  <c r="I160" i="29"/>
  <c r="H511" i="41"/>
  <c r="K511" i="41"/>
  <c r="I511" i="41"/>
  <c r="E511" i="41"/>
  <c r="J511" i="41"/>
  <c r="I595" i="41"/>
  <c r="E595" i="41"/>
  <c r="J595" i="41"/>
  <c r="H595" i="41"/>
  <c r="K595" i="41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J21" i="39"/>
  <c r="H21" i="39"/>
  <c r="I21" i="39"/>
  <c r="J495" i="41"/>
  <c r="E662" i="41"/>
  <c r="J662" i="41"/>
  <c r="K662" i="41"/>
  <c r="H662" i="41"/>
  <c r="I662" i="41"/>
  <c r="K245" i="41"/>
  <c r="J245" i="41"/>
  <c r="E245" i="41"/>
  <c r="H245" i="41"/>
  <c r="I245" i="41"/>
  <c r="I411" i="41"/>
  <c r="H411" i="41"/>
  <c r="J411" i="41"/>
  <c r="K411" i="41"/>
  <c r="E411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K342" i="41"/>
  <c r="J342" i="41"/>
  <c r="I342" i="41"/>
  <c r="E342" i="41"/>
  <c r="H342" i="41"/>
  <c r="H393" i="41" l="1"/>
  <c r="E500" i="41"/>
  <c r="K500" i="41"/>
  <c r="I592" i="41"/>
  <c r="E202" i="41"/>
  <c r="H18" i="39"/>
  <c r="I23" i="39"/>
  <c r="K426" i="41"/>
  <c r="E263" i="41"/>
  <c r="E407" i="41"/>
  <c r="H353" i="41"/>
  <c r="I495" i="41"/>
  <c r="H495" i="41"/>
  <c r="J426" i="41"/>
  <c r="E495" i="41"/>
  <c r="E426" i="41"/>
  <c r="I327" i="41"/>
  <c r="H164" i="41"/>
  <c r="H189" i="41"/>
  <c r="I263" i="41"/>
  <c r="J168" i="41"/>
  <c r="J327" i="41"/>
  <c r="J407" i="41"/>
  <c r="I18" i="39"/>
  <c r="I393" i="41"/>
  <c r="J393" i="41"/>
  <c r="E164" i="41"/>
  <c r="I474" i="41"/>
  <c r="E592" i="41"/>
  <c r="H31" i="39"/>
  <c r="E189" i="41"/>
  <c r="I329" i="41"/>
  <c r="J263" i="41"/>
  <c r="K327" i="41"/>
  <c r="K407" i="41"/>
  <c r="K496" i="41"/>
  <c r="J164" i="41"/>
  <c r="I28" i="39"/>
  <c r="H474" i="41"/>
  <c r="J592" i="41"/>
  <c r="H130" i="29"/>
  <c r="K329" i="41"/>
  <c r="H357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L13" i="54"/>
  <c r="M13" i="54" s="1"/>
  <c r="E176" i="41"/>
  <c r="H14" i="54"/>
  <c r="D14" i="54"/>
  <c r="C15" i="54"/>
  <c r="I14" i="54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K130" i="29" s="1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K22" i="39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87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K21" i="39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K66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K23" i="39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18" i="39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48" i="11"/>
  <c r="J149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48" i="11"/>
  <c r="K149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K160" i="29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31" i="39" l="1"/>
  <c r="K28" i="39"/>
  <c r="K16" i="29"/>
  <c r="K35" i="39"/>
  <c r="K20" i="39"/>
  <c r="K29" i="29"/>
  <c r="K60" i="29"/>
  <c r="K162" i="29"/>
  <c r="K34" i="29"/>
  <c r="K104" i="29"/>
  <c r="K113" i="29"/>
  <c r="L14" i="54"/>
  <c r="M14" i="54" s="1"/>
  <c r="H38" i="39"/>
  <c r="H39" i="39" s="1"/>
  <c r="H40" i="39" s="1"/>
  <c r="E14" i="54"/>
  <c r="H15" i="54"/>
  <c r="I15" i="54"/>
  <c r="C16" i="54"/>
  <c r="D15" i="54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0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L15" i="54" l="1"/>
  <c r="M15" i="54" s="1"/>
  <c r="D16" i="54"/>
  <c r="C17" i="54"/>
  <c r="H16" i="54"/>
  <c r="I16" i="54"/>
  <c r="E15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D17" i="54" l="1"/>
  <c r="E17" i="54"/>
  <c r="C18" i="54"/>
  <c r="H17" i="54"/>
  <c r="I17" i="54"/>
  <c r="L16" i="54"/>
  <c r="M16" i="54" s="1"/>
  <c r="E16" i="54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N13" i="54" s="1"/>
  <c r="P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J14" i="54" s="1"/>
  <c r="N14" i="54" s="1"/>
  <c r="P14" i="54" s="1"/>
  <c r="G16" i="54"/>
  <c r="J16" i="54" s="1"/>
  <c r="G12" i="54"/>
  <c r="J12" i="54" s="1"/>
  <c r="N12" i="54" s="1"/>
  <c r="P12" i="54" s="1"/>
  <c r="G25" i="54"/>
  <c r="G20" i="54"/>
  <c r="G18" i="54"/>
  <c r="G15" i="54"/>
  <c r="J15" i="54" s="1"/>
  <c r="N15" i="54" s="1"/>
  <c r="P15" i="54" s="1"/>
  <c r="G17" i="54"/>
  <c r="G28" i="54"/>
  <c r="G19" i="54"/>
  <c r="G7" i="54"/>
  <c r="J7" i="54" s="1"/>
  <c r="G26" i="54"/>
  <c r="G21" i="54"/>
  <c r="G27" i="54"/>
  <c r="G30" i="54"/>
  <c r="G29" i="54"/>
  <c r="N16" i="54" l="1"/>
  <c r="P16" i="54" s="1"/>
  <c r="I18" i="54"/>
  <c r="H18" i="54"/>
  <c r="J18" i="54" s="1"/>
  <c r="D18" i="54"/>
  <c r="C19" i="54"/>
  <c r="J17" i="54"/>
  <c r="L17" i="54"/>
  <c r="M17" i="54" s="1"/>
  <c r="N7" i="54"/>
  <c r="N17" i="54" l="1"/>
  <c r="P17" i="54" s="1"/>
  <c r="E18" i="54"/>
  <c r="L18" i="54" s="1"/>
  <c r="M18" i="54" s="1"/>
  <c r="N18" i="54" s="1"/>
  <c r="D19" i="54"/>
  <c r="C20" i="54"/>
  <c r="E19" i="54"/>
  <c r="H19" i="54"/>
  <c r="J19" i="54" s="1"/>
  <c r="I19" i="54"/>
  <c r="P7" i="54"/>
  <c r="Q7" i="54" s="1"/>
  <c r="P18" i="54" l="1"/>
  <c r="H20" i="54"/>
  <c r="I20" i="54"/>
  <c r="D20" i="54"/>
  <c r="E20" i="54" s="1"/>
  <c r="C21" i="54"/>
  <c r="L19" i="54"/>
  <c r="M19" i="54" s="1"/>
  <c r="N19" i="54" s="1"/>
  <c r="S7" i="54"/>
  <c r="Q8" i="54"/>
  <c r="P19" i="54" l="1"/>
  <c r="L20" i="54"/>
  <c r="M20" i="54" s="1"/>
  <c r="J20" i="54"/>
  <c r="H21" i="54"/>
  <c r="J21" i="54" s="1"/>
  <c r="I21" i="54"/>
  <c r="C22" i="54"/>
  <c r="D21" i="54"/>
  <c r="Q9" i="54"/>
  <c r="S8" i="54"/>
  <c r="E21" i="54" l="1"/>
  <c r="L21" i="54" s="1"/>
  <c r="M21" i="54" s="1"/>
  <c r="N21" i="54" s="1"/>
  <c r="P21" i="54" s="1"/>
  <c r="N20" i="54"/>
  <c r="I22" i="54"/>
  <c r="H22" i="54"/>
  <c r="J22" i="54" s="1"/>
  <c r="C23" i="54"/>
  <c r="D22" i="54"/>
  <c r="S9" i="54"/>
  <c r="Q10" i="54"/>
  <c r="T9" i="54"/>
  <c r="E22" i="54" l="1"/>
  <c r="L22" i="54" s="1"/>
  <c r="M22" i="54" s="1"/>
  <c r="N22" i="54" s="1"/>
  <c r="I23" i="54"/>
  <c r="H23" i="54"/>
  <c r="D23" i="54"/>
  <c r="C24" i="54"/>
  <c r="E23" i="54"/>
  <c r="P20" i="54"/>
  <c r="Q11" i="54"/>
  <c r="S10" i="54"/>
  <c r="T10" i="54"/>
  <c r="P22" i="54" l="1"/>
  <c r="D24" i="54"/>
  <c r="E24" i="54"/>
  <c r="C25" i="54"/>
  <c r="H24" i="54"/>
  <c r="J24" i="54" s="1"/>
  <c r="I24" i="54"/>
  <c r="L23" i="54"/>
  <c r="M23" i="54" s="1"/>
  <c r="J23" i="54"/>
  <c r="S11" i="54"/>
  <c r="Q12" i="54"/>
  <c r="T11" i="54"/>
  <c r="N23" i="54" l="1"/>
  <c r="H25" i="54"/>
  <c r="I25" i="54"/>
  <c r="C26" i="54"/>
  <c r="D25" i="54"/>
  <c r="L24" i="54"/>
  <c r="M24" i="54" s="1"/>
  <c r="N24" i="54" s="1"/>
  <c r="P24" i="54" s="1"/>
  <c r="S12" i="54"/>
  <c r="Q13" i="54"/>
  <c r="T12" i="54"/>
  <c r="J25" i="54" l="1"/>
  <c r="D26" i="54"/>
  <c r="E26" i="54" s="1"/>
  <c r="C27" i="54"/>
  <c r="I26" i="54"/>
  <c r="H26" i="54"/>
  <c r="J26" i="54" s="1"/>
  <c r="E25" i="54"/>
  <c r="L25" i="54" s="1"/>
  <c r="M25" i="54" s="1"/>
  <c r="P23" i="54"/>
  <c r="S13" i="54"/>
  <c r="Q14" i="54"/>
  <c r="T13" i="54"/>
  <c r="I27" i="54" l="1"/>
  <c r="H27" i="54"/>
  <c r="J27" i="54" s="1"/>
  <c r="D27" i="54"/>
  <c r="C28" i="54"/>
  <c r="L26" i="54"/>
  <c r="M26" i="54" s="1"/>
  <c r="N26" i="54" s="1"/>
  <c r="P26" i="54" s="1"/>
  <c r="N25" i="54"/>
  <c r="P25" i="54" s="1"/>
  <c r="T16" i="54"/>
  <c r="S14" i="54"/>
  <c r="Q15" i="54"/>
  <c r="T14" i="54"/>
  <c r="E27" i="54" l="1"/>
  <c r="L27" i="54" s="1"/>
  <c r="M27" i="54" s="1"/>
  <c r="N27" i="54" s="1"/>
  <c r="P27" i="54" s="1"/>
  <c r="I28" i="54"/>
  <c r="C29" i="54"/>
  <c r="D28" i="54"/>
  <c r="H28" i="54"/>
  <c r="J28" i="54" s="1"/>
  <c r="Q16" i="54"/>
  <c r="T17" i="54"/>
  <c r="S15" i="54"/>
  <c r="T15" i="54"/>
  <c r="H29" i="54" l="1"/>
  <c r="J29" i="54" s="1"/>
  <c r="I29" i="54"/>
  <c r="C30" i="54"/>
  <c r="D29" i="54"/>
  <c r="E29" i="54" s="1"/>
  <c r="E28" i="54"/>
  <c r="L28" i="54" s="1"/>
  <c r="M28" i="54" s="1"/>
  <c r="N28" i="54" s="1"/>
  <c r="P28" i="54" s="1"/>
  <c r="S16" i="54"/>
  <c r="Q17" i="54"/>
  <c r="T18" i="54"/>
  <c r="L29" i="54" l="1"/>
  <c r="M29" i="54" s="1"/>
  <c r="N29" i="54" s="1"/>
  <c r="P29" i="54" s="1"/>
  <c r="I30" i="54"/>
  <c r="H30" i="54"/>
  <c r="J30" i="54" s="1"/>
  <c r="C31" i="54"/>
  <c r="D30" i="54"/>
  <c r="E30" i="54" s="1"/>
  <c r="S17" i="54"/>
  <c r="Q18" i="54"/>
  <c r="T19" i="54"/>
  <c r="L30" i="54" l="1"/>
  <c r="M30" i="54" s="1"/>
  <c r="N30" i="54" s="1"/>
  <c r="P30" i="54" s="1"/>
  <c r="D31" i="54"/>
  <c r="C32" i="54"/>
  <c r="H31" i="54"/>
  <c r="J31" i="54" s="1"/>
  <c r="I31" i="54"/>
  <c r="E31" i="54"/>
  <c r="S18" i="54"/>
  <c r="Q19" i="54"/>
  <c r="T20" i="54"/>
  <c r="D32" i="54" l="1"/>
  <c r="H32" i="54"/>
  <c r="E32" i="54"/>
  <c r="I32" i="54"/>
  <c r="L31" i="54"/>
  <c r="M31" i="54" s="1"/>
  <c r="N31" i="54" s="1"/>
  <c r="P31" i="54" s="1"/>
  <c r="S19" i="54"/>
  <c r="Q20" i="54"/>
  <c r="T21" i="54"/>
  <c r="J32" i="54" l="1"/>
  <c r="L32" i="54"/>
  <c r="M32" i="54" s="1"/>
  <c r="M33" i="54" s="1"/>
  <c r="T22" i="54"/>
  <c r="Q21" i="54"/>
  <c r="S20" i="54"/>
  <c r="N32" i="54" l="1"/>
  <c r="J33" i="54"/>
  <c r="Q36" i="54" s="1"/>
  <c r="Q22" i="54"/>
  <c r="T23" i="54"/>
  <c r="S21" i="54"/>
  <c r="P32" i="54" l="1"/>
  <c r="Q34" i="54"/>
  <c r="Q37" i="54"/>
  <c r="Q38" i="54"/>
  <c r="T24" i="54"/>
  <c r="S22" i="54"/>
  <c r="Q23" i="54"/>
  <c r="S23" i="54" l="1"/>
  <c r="Q24" i="54"/>
  <c r="T25" i="54"/>
  <c r="T26" i="54" l="1"/>
  <c r="Q25" i="54"/>
  <c r="S24" i="54"/>
  <c r="Q26" i="54" l="1"/>
  <c r="T27" i="54"/>
  <c r="S25" i="54"/>
  <c r="S26" i="54" l="1"/>
  <c r="Q27" i="54"/>
  <c r="T28" i="54"/>
  <c r="T29" i="54" l="1"/>
  <c r="S27" i="54"/>
  <c r="Q28" i="54"/>
  <c r="T30" i="54" l="1"/>
  <c r="S28" i="54"/>
  <c r="Q29" i="54"/>
  <c r="Q30" i="54" l="1"/>
  <c r="S29" i="54"/>
  <c r="T31" i="54"/>
  <c r="T32" i="54" l="1"/>
  <c r="Q35" i="54" s="1"/>
  <c r="Q31" i="54"/>
  <c r="S30" i="54"/>
  <c r="S31" i="54" l="1"/>
  <c r="Q32" i="54"/>
  <c r="S32" i="54" s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<sst xmlns="http://schemas.openxmlformats.org/spreadsheetml/2006/main" count="4825" uniqueCount="1655">
  <si>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</si>
  <si>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</si>
  <si>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</si>
  <si>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</si>
  <si>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</si>
  <si>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</si>
  <si>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</si>
  <si>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</si>
  <si>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</si>
  <si>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</si>
  <si>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</si>
  <si>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</si>
  <si>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</si>
  <si>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</si>
  <si>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</si>
  <si>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</si>
  <si>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</si>
  <si>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</si>
  <si>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</si>
  <si>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</si>
  <si>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</si>
  <si>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</si>
  <si>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</si>
  <si>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</si>
  <si>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</si>
  <si>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</si>
  <si>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</si>
  <si>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</si>
  <si>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</si>
  <si>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</si>
  <si>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</si>
  <si>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</si>
  <si>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</si>
  <si>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</si>
  <si>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</si>
  <si>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</si>
  <si>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</si>
  <si>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</si>
  <si>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</si>
  <si>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</si>
  <si>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</si>
  <si>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</si>
  <si>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</si>
  <si>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</si>
  <si>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</si>
  <si>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</si>
  <si>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</si>
  <si>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</si>
  <si>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</si>
  <si>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</si>
  <si>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</si>
  <si>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</si>
  <si>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</si>
  <si>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</si>
  <si>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</si>
  <si>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</si>
  <si>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</si>
  <si>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</si>
  <si>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</si>
  <si>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</si>
  <si>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</si>
  <si>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</si>
  <si>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</si>
  <si>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</si>
  <si>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</si>
  <si>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</si>
  <si>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</si>
  <si>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</si>
  <si>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</si>
  <si>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</si>
  <si>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</si>
  <si>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</si>
  <si>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</si>
  <si>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</si>
  <si>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</si>
  <si>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</si>
  <si>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</si>
  <si>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</si>
  <si>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</si>
  <si>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</si>
  <si>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</si>
  <si>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</si>
  <si>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</si>
  <si>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</si>
  <si>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</si>
  <si>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</si>
  <si>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</si>
  <si>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</si>
  <si>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</si>
  <si>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</si>
  <si>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</si>
  <si>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</si>
  <si>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</si>
  <si>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</si>
  <si>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</si>
  <si>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</si>
  <si>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</si>
  <si>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</si>
  <si>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</si>
  <si>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</si>
  <si>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</si>
  <si>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</si>
  <si>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</si>
  <si>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</si>
  <si>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</si>
  <si>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</si>
  <si>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</si>
  <si>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</si>
  <si>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</si>
  <si>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</si>
  <si>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</si>
  <si>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</si>
  <si>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</si>
  <si>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</si>
  <si>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</si>
  <si>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</si>
  <si>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</si>
  <si>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</si>
  <si>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</si>
  <si>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</si>
  <si>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</si>
  <si>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</si>
  <si>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</si>
  <si>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</si>
  <si>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</si>
  <si>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</si>
  <si>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</si>
  <si>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</si>
  <si>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</si>
  <si>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</si>
  <si>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</si>
  <si>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</si>
  <si>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</si>
  <si>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</si>
  <si>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</si>
  <si>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</si>
  <si>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</si>
  <si>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</si>
  <si>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</si>
  <si>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</si>
  <si>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</si>
  <si>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</si>
  <si>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</si>
  <si>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</si>
  <si>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</si>
  <si>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</si>
  <si>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</si>
  <si>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</si>
  <si>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</si>
  <si>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</si>
  <si>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</si>
  <si>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</si>
  <si>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</si>
  <si>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</si>
  <si>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</si>
  <si>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</si>
  <si>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</si>
  <si>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</si>
  <si>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</si>
  <si>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</si>
  <si>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</si>
  <si>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</si>
  <si>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</si>
  <si>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</si>
  <si>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</si>
  <si>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</si>
  <si>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</si>
  <si>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</si>
  <si>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</si>
  <si>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</si>
  <si>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</si>
  <si>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</si>
  <si>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</si>
  <si>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</si>
  <si>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</si>
  <si>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</si>
  <si>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</si>
  <si>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</si>
  <si>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</si>
  <si>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</si>
  <si>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</si>
  <si>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</si>
  <si>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</si>
  <si>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</si>
  <si>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</si>
  <si>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</si>
  <si>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</si>
  <si>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</si>
  <si>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</si>
  <si>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</si>
  <si>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</si>
  <si>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</si>
  <si>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</si>
  <si>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</si>
  <si>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</si>
  <si>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</si>
  <si>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</si>
  <si>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</si>
  <si>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</si>
  <si>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</si>
  <si>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</si>
  <si>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</si>
  <si>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</si>
  <si>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</si>
  <si>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</si>
  <si>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</si>
  <si>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</si>
  <si>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</si>
  <si>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</si>
  <si>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</si>
  <si>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</si>
  <si>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</si>
  <si>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</si>
  <si>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</si>
  <si>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</si>
  <si>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</si>
  <si>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</si>
  <si>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</si>
  <si>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</si>
  <si>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</si>
  <si>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</si>
  <si>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</si>
  <si>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</si>
  <si>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</si>
  <si>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</si>
  <si>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</si>
  <si>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</si>
  <si>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</si>
  <si>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</si>
  <si>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</si>
  <si>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</si>
  <si>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</si>
  <si>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</si>
  <si>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</si>
  <si>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</si>
  <si>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</si>
  <si>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</si>
  <si>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</si>
  <si>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</si>
  <si>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</si>
  <si>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</si>
  <si>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</si>
  <si>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</si>
  <si>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</si>
  <si>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</si>
  <si>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</si>
  <si>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</si>
  <si>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</si>
  <si>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</si>
  <si>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</si>
  <si>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</si>
  <si>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</si>
  <si>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</si>
  <si>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</si>
  <si>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</si>
  <si>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</si>
  <si>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</si>
  <si>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</si>
  <si>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</si>
  <si>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</si>
  <si>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</si>
  <si>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</si>
  <si>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</si>
  <si>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</si>
  <si>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</si>
  <si>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</si>
  <si>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</si>
  <si>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</si>
  <si>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</si>
  <si>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</si>
  <si>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</si>
  <si>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</si>
  <si>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</si>
  <si>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</si>
  <si>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</si>
  <si>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</si>
  <si>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</si>
  <si>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</si>
  <si>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</si>
  <si>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</si>
  <si>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</si>
  <si>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</si>
  <si>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</si>
  <si>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</si>
  <si>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</si>
  <si>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</si>
  <si>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</si>
  <si>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</si>
  <si>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</si>
  <si>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</si>
  <si>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</si>
  <si>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</si>
  <si>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</si>
  <si>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</si>
  <si>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</si>
  <si>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</si>
  <si>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</si>
  <si>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</si>
  <si>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</si>
  <si>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</si>
  <si>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</si>
  <si>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</si>
  <si>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</si>
  <si>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</si>
  <si>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</si>
  <si>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</si>
  <si>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</si>
  <si>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</si>
  <si>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</si>
  <si>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</si>
  <si>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</si>
  <si>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</si>
  <si>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</si>
  <si>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</si>
  <si>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</si>
  <si>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</si>
  <si>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</si>
  <si>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</si>
  <si>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</si>
  <si>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</si>
  <si>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</si>
  <si>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</si>
  <si>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</si>
  <si>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</si>
  <si>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</si>
  <si>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</si>
  <si>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</si>
  <si>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</si>
  <si>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</si>
  <si>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</si>
  <si>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</si>
  <si>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</si>
  <si>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</si>
  <si>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</si>
  <si>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</si>
  <si>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</si>
  <si>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</si>
  <si>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</si>
  <si>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</si>
  <si>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</si>
  <si>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</si>
  <si>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</si>
  <si>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</si>
  <si>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</si>
  <si>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</si>
  <si>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</si>
  <si>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</si>
  <si>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</si>
  <si>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</si>
  <si>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</si>
  <si>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</si>
  <si>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</si>
  <si>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</si>
  <si>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</si>
  <si>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</si>
  <si>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</si>
  <si>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</si>
  <si>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</si>
  <si>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</si>
  <si>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</si>
  <si>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</si>
  <si>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</si>
  <si>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</si>
  <si>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</si>
  <si>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</si>
  <si>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</si>
  <si>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</si>
  <si>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</si>
  <si>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</si>
  <si>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</si>
  <si>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</si>
  <si>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</si>
  <si>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</si>
  <si>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</si>
  <si>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</si>
  <si>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</si>
  <si>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</si>
  <si>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</si>
  <si>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</si>
  <si>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</si>
  <si>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</si>
  <si>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</si>
  <si>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</si>
  <si>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</si>
  <si>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</si>
  <si>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</si>
  <si>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</si>
  <si>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</si>
  <si>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</si>
  <si>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</si>
  <si>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</si>
  <si>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</si>
  <si>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</si>
  <si>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</si>
  <si>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</si>
  <si>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</si>
  <si>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</si>
  <si>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</si>
  <si>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</si>
  <si>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</si>
  <si>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</si>
  <si>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</si>
  <si>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</si>
  <si>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</si>
  <si>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</si>
  <si>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</si>
  <si>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</si>
  <si>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</si>
  <si>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</si>
  <si>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</si>
  <si>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</si>
  <si>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</si>
  <si>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</si>
  <si>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</si>
  <si>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</si>
  <si>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</si>
  <si>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</si>
  <si>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</si>
  <si>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</si>
  <si>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</si>
  <si>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</si>
  <si>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</si>
  <si>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</si>
  <si>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</si>
  <si>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</si>
  <si>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</si>
  <si>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</si>
  <si>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</si>
  <si>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</si>
  <si>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</si>
  <si>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</si>
  <si>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</si>
  <si>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</si>
  <si>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</si>
  <si>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</si>
  <si>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</si>
  <si>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</si>
  <si>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</si>
  <si>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</si>
  <si>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</si>
  <si>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</si>
  <si>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</si>
  <si>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</si>
  <si>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</si>
  <si>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</si>
  <si>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</si>
  <si>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</si>
  <si>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</si>
  <si>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</si>
  <si>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</si>
  <si>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</si>
  <si>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</si>
  <si>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</si>
  <si>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</si>
  <si>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</si>
  <si>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</si>
  <si>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</si>
  <si>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</si>
  <si>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</si>
  <si>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</si>
  <si>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</si>
  <si>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</si>
  <si>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</si>
  <si>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</si>
  <si>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</si>
  <si>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</si>
  <si>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</si>
  <si>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</si>
  <si>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</si>
  <si>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</si>
  <si>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</si>
  <si>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</si>
  <si>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</si>
  <si>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</si>
  <si>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</si>
  <si>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</si>
  <si>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</si>
  <si>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</si>
  <si>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</si>
  <si>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</si>
  <si>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</si>
  <si>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</si>
  <si>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</si>
  <si>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</si>
  <si>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</si>
  <si>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</si>
  <si>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</si>
  <si>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</si>
  <si>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</si>
  <si>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</si>
  <si>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</si>
  <si>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</si>
  <si>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</si>
  <si>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</si>
  <si>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</si>
  <si>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</si>
  <si>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</si>
  <si>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</si>
  <si>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</si>
  <si>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</si>
  <si>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</si>
  <si>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</si>
  <si>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</si>
  <si>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</si>
  <si>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</si>
  <si>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</si>
  <si>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</si>
  <si>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</si>
  <si>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</si>
  <si>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</si>
  <si>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</si>
  <si>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</si>
  <si>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</si>
  <si>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</si>
  <si>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</si>
  <si>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</si>
  <si>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</si>
  <si>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</si>
  <si>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</si>
  <si>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</si>
  <si>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</si>
  <si>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</si>
  <si>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</si>
  <si>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</si>
  <si>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</si>
  <si>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</si>
  <si>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</si>
  <si>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</si>
  <si>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</si>
  <si>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</si>
  <si>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</si>
  <si>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</si>
  <si>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</si>
  <si>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</si>
  <si>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</si>
  <si>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</si>
  <si>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</si>
  <si>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</si>
  <si>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</si>
  <si>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</si>
  <si>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</si>
  <si>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</si>
  <si>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</si>
  <si>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</si>
  <si>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</si>
  <si>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</si>
  <si>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</si>
  <si>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</si>
  <si>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</si>
  <si>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</si>
  <si>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</si>
  <si>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</si>
  <si>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</si>
  <si>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</si>
  <si>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</si>
  <si>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</si>
  <si>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</si>
  <si>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</si>
  <si>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</si>
  <si>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</si>
  <si>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</si>
  <si>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</si>
  <si>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</si>
  <si>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</si>
  <si>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</si>
  <si>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</si>
  <si>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</si>
  <si>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</si>
  <si>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</si>
  <si>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</si>
  <si>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</si>
  <si>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</si>
  <si>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</si>
  <si>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</si>
  <si>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</si>
  <si>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</si>
  <si>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</si>
  <si>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</si>
  <si>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</si>
  <si>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</si>
  <si>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</si>
  <si>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</si>
  <si>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</si>
  <si>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</si>
  <si>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</si>
  <si>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</si>
  <si>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</si>
  <si>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</si>
  <si>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</si>
  <si>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</si>
  <si>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</si>
  <si>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</si>
  <si>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</si>
  <si>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</si>
  <si>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</si>
  <si>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</si>
  <si>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</si>
  <si>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</si>
  <si>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</si>
  <si>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</si>
  <si>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</si>
  <si>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</si>
  <si>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</si>
  <si>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</si>
  <si>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</si>
  <si>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</si>
  <si>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</si>
  <si>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</si>
  <si>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</si>
  <si>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</si>
  <si>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</si>
  <si>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</si>
  <si>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</si>
  <si>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</si>
  <si>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</si>
  <si>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</si>
  <si>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</si>
  <si>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</si>
  <si>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</si>
  <si>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</si>
  <si>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</si>
  <si>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</si>
  <si>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</si>
  <si>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</si>
  <si>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</si>
  <si>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</si>
  <si>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</si>
  <si>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</si>
  <si>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</si>
  <si>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</si>
  <si>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</si>
  <si>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</si>
  <si>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</si>
  <si>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</si>
  <si>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</si>
  <si>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</si>
  <si>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</si>
  <si>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</si>
  <si>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</si>
  <si>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</si>
  <si>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</si>
  <si>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</si>
  <si>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</si>
  <si>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</si>
  <si>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</si>
  <si>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</si>
  <si>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</si>
  <si>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</si>
  <si>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</si>
  <si>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</si>
  <si>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</si>
  <si>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</si>
  <si>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</si>
  <si>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</si>
  <si>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</si>
  <si>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</si>
  <si>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</si>
  <si>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</si>
  <si>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</si>
  <si>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</si>
  <si>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</si>
  <si>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</si>
  <si>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</si>
  <si>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</si>
  <si>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</si>
  <si>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</si>
  <si>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</si>
  <si>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</si>
  <si>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</si>
  <si>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</si>
  <si>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</si>
  <si>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</si>
  <si>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</si>
  <si>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</si>
  <si>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</si>
  <si>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</si>
  <si>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</si>
  <si>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</si>
  <si>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</si>
  <si>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</si>
  <si>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</si>
  <si>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</si>
  <si>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</si>
  <si>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</si>
  <si>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</si>
  <si>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</si>
  <si>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</si>
  <si>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</si>
  <si>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</si>
  <si>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</si>
  <si>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</si>
  <si>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</si>
  <si>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</si>
  <si>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</si>
  <si>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</si>
  <si>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</si>
  <si>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</si>
  <si>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</si>
  <si>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</si>
  <si>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</si>
  <si>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</si>
  <si>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</si>
  <si>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</si>
  <si>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</si>
  <si>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</si>
  <si>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</si>
  <si>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</si>
  <si>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</si>
  <si>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</si>
  <si>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</si>
  <si>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</si>
  <si>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</si>
  <si>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</si>
  <si>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</si>
  <si>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</si>
  <si>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</si>
  <si>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</si>
  <si>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</si>
  <si>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</si>
  <si>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</si>
  <si>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</si>
  <si>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</si>
  <si>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</si>
  <si>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</si>
  <si>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</si>
  <si>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</si>
  <si>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</si>
  <si>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</si>
  <si>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</si>
  <si>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</si>
  <si>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</si>
  <si>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</si>
  <si>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</si>
  <si>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</si>
  <si>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</si>
  <si>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</si>
  <si>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</si>
  <si>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</si>
  <si>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</si>
  <si>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</si>
  <si>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</si>
  <si>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</si>
  <si>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</si>
  <si>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</si>
  <si>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</si>
  <si>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</si>
  <si>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</si>
  <si>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</si>
  <si>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</si>
  <si>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</si>
  <si>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</si>
  <si>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</si>
  <si>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</si>
  <si>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</si>
  <si>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</si>
  <si>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</si>
  <si>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</si>
  <si>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</si>
  <si>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</si>
  <si>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</si>
  <si>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</si>
  <si>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</si>
  <si>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</si>
  <si>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</si>
  <si>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</si>
  <si>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</si>
  <si>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</si>
  <si>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</si>
  <si>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</si>
  <si>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</si>
  <si>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</si>
  <si>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</si>
  <si>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</si>
  <si>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</si>
  <si>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</si>
  <si>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</si>
  <si>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</si>
  <si>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</si>
  <si>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</si>
  <si>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</si>
  <si>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</si>
  <si>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</si>
  <si>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</si>
  <si>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</si>
  <si>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</si>
  <si>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</si>
  <si>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</si>
  <si>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</si>
  <si>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</si>
  <si>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</si>
  <si>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</si>
  <si>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</si>
  <si>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</si>
  <si>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</si>
  <si>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</si>
  <si>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</si>
  <si>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</si>
  <si>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</si>
  <si>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</si>
  <si>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</si>
  <si>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</si>
  <si>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</si>
  <si>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</si>
  <si>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</si>
  <si>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</si>
  <si>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</si>
  <si>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</si>
  <si>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</si>
  <si>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</si>
  <si>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</si>
  <si>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</si>
  <si>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</si>
  <si>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</si>
  <si>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</si>
  <si>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</si>
  <si>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</si>
  <si>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</si>
  <si>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</si>
  <si>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</si>
  <si>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</si>
  <si>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</si>
  <si>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</si>
  <si>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</si>
  <si>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</si>
  <si>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</si>
  <si>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</si>
  <si>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</si>
  <si>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</si>
  <si>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</si>
  <si>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</si>
  <si>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</si>
  <si>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</si>
  <si>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</si>
  <si>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</si>
  <si>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</si>
  <si>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</si>
  <si>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</si>
  <si>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</si>
  <si>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</si>
  <si>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</si>
  <si>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</si>
  <si>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</si>
  <si>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</si>
  <si>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</si>
  <si>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</si>
  <si>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</si>
  <si>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</si>
  <si>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</si>
  <si>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</si>
  <si>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</si>
  <si>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</si>
  <si>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</si>
  <si>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</si>
  <si>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</si>
  <si>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</si>
  <si>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</si>
  <si>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</si>
  <si>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</si>
  <si>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</si>
  <si>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</si>
  <si>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</si>
  <si>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</si>
  <si>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</si>
  <si>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</si>
  <si>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</si>
  <si>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</si>
  <si>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</si>
  <si>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</si>
  <si>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</si>
  <si>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</si>
  <si>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</si>
  <si>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</si>
  <si>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</si>
  <si>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</si>
  <si>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</si>
  <si>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</si>
  <si>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</si>
  <si>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</si>
  <si>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</si>
  <si>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</si>
  <si>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</si>
  <si>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</si>
  <si>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</si>
  <si>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</si>
  <si>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</si>
  <si>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</si>
  <si>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</si>
  <si>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</si>
  <si>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</si>
  <si>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</si>
  <si>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</si>
  <si>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</si>
  <si>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</si>
  <si>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</si>
  <si>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</si>
  <si>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</si>
  <si>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</si>
  <si>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</si>
  <si>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</si>
  <si>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</si>
  <si>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</si>
  <si>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</si>
  <si>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</si>
  <si>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</si>
  <si>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</si>
  <si>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</si>
  <si>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</si>
  <si>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</si>
  <si>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</si>
  <si>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</si>
  <si>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</si>
  <si>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</si>
  <si>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</si>
  <si>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</si>
  <si>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</si>
  <si>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</si>
  <si>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</si>
  <si>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</si>
  <si>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</si>
  <si>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</si>
  <si>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</si>
  <si>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</si>
  <si>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</si>
  <si>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</si>
  <si>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</si>
  <si>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</si>
  <si>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</si>
  <si>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</si>
  <si>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</si>
  <si>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</si>
  <si>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</si>
  <si>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</si>
  <si>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</si>
  <si>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</si>
  <si>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</si>
  <si>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</si>
  <si>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</si>
  <si>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</si>
  <si>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</si>
  <si>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</si>
  <si>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</si>
  <si>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</si>
  <si>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</si>
  <si>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</si>
  <si>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</si>
  <si>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</si>
  <si>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</si>
  <si>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</si>
  <si>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</si>
  <si>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</si>
  <si>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</si>
  <si>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</si>
  <si>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</si>
  <si>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</si>
  <si>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</si>
  <si>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</si>
  <si>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</si>
  <si>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</si>
  <si>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</si>
  <si>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</si>
  <si>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</si>
  <si>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</si>
  <si>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</si>
  <si>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</si>
  <si>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</si>
  <si>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</si>
  <si>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</si>
  <si>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</si>
  <si>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</si>
  <si>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</si>
  <si>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</si>
  <si>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</si>
  <si>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</si>
  <si>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</si>
  <si>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</si>
  <si>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</si>
  <si>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</si>
  <si>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</si>
  <si>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</si>
  <si>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</si>
  <si>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</si>
  <si>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</si>
  <si>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</si>
  <si>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</si>
  <si>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</si>
  <si>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</si>
  <si>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</si>
  <si>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</si>
  <si>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</si>
  <si>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</si>
  <si>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</si>
  <si>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</si>
  <si>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</si>
  <si>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</si>
  <si>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</si>
  <si>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</si>
  <si>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</si>
  <si>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</si>
  <si>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</si>
  <si>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</si>
  <si>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</si>
  <si>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</si>
  <si>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</si>
  <si>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</si>
  <si>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</si>
  <si>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</si>
  <si>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</si>
  <si>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</si>
  <si>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</si>
  <si>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</si>
  <si>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</si>
  <si>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</si>
  <si>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</si>
  <si>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</si>
  <si>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</si>
  <si>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</si>
  <si>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</si>
  <si>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</si>
  <si>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</si>
  <si>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</si>
  <si>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</si>
  <si>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</si>
  <si>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</si>
  <si>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</si>
  <si>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</si>
  <si>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</si>
  <si>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</si>
  <si>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</si>
  <si>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</si>
  <si>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</si>
  <si>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</si>
  <si>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</si>
  <si>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</si>
  <si>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</si>
  <si>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</si>
  <si>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</si>
  <si>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</si>
  <si>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</si>
  <si>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</si>
  <si>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</si>
  <si>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</si>
  <si>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</si>
  <si>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</si>
  <si>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</si>
  <si>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</si>
  <si>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</si>
  <si>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</si>
  <si>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</si>
  <si>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</si>
  <si>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</si>
  <si>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</si>
  <si>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</si>
  <si>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</si>
  <si>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</si>
  <si>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</si>
  <si>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</si>
  <si>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</si>
  <si>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</si>
  <si>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</si>
  <si>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</si>
  <si>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</si>
  <si>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</si>
  <si>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</si>
  <si>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</si>
  <si>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</si>
  <si>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</si>
  <si>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</si>
  <si>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</si>
  <si>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</si>
  <si>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</si>
  <si>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</si>
  <si>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</si>
  <si>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</si>
  <si>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</si>
  <si>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</si>
  <si>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</si>
  <si>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</si>
  <si>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</si>
  <si>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</si>
  <si>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</si>
  <si>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</si>
  <si>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</si>
  <si>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</si>
  <si>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</si>
  <si>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</si>
  <si>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</si>
  <si>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</si>
  <si>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</si>
  <si>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</si>
  <si>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</si>
  <si>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</si>
  <si>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</si>
  <si>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</si>
  <si>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</si>
  <si>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</si>
  <si>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</si>
  <si>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</si>
  <si>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</si>
  <si>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</si>
  <si>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</si>
  <si>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</si>
  <si>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</si>
  <si>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</si>
  <si>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</si>
  <si>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</si>
  <si>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</si>
  <si>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</si>
  <si>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</si>
  <si>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</si>
  <si>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</si>
  <si>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</si>
  <si>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</si>
  <si>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</si>
  <si>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</si>
  <si>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</si>
  <si>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</si>
  <si>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</si>
  <si>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</si>
  <si>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</si>
  <si>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</si>
  <si>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</si>
  <si>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</si>
  <si>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</si>
  <si>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</si>
  <si>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</si>
  <si>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</si>
  <si>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</si>
  <si>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</si>
  <si>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</si>
  <si>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</si>
  <si>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</si>
  <si>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</si>
  <si>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</si>
  <si>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</si>
  <si>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</si>
  <si>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</si>
  <si>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</si>
  <si>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</si>
  <si>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</si>
  <si>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</si>
  <si>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</si>
  <si>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</si>
  <si>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</si>
  <si>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</si>
  <si>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</si>
  <si>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</si>
  <si>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</si>
  <si>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</si>
  <si>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</si>
  <si>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</si>
  <si>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</si>
  <si>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</si>
  <si>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</si>
  <si>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</si>
  <si>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</si>
  <si>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</si>
  <si>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</si>
  <si>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</si>
  <si>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</si>
  <si>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</si>
  <si>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</si>
  <si>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</si>
  <si>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</si>
  <si>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</si>
  <si>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</si>
  <si>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</si>
  <si>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</si>
  <si>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</si>
  <si>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</si>
  <si>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</si>
  <si>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</si>
  <si>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</si>
  <si>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</si>
  <si>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</si>
  <si>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</si>
  <si>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</si>
  <si>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</si>
  <si>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</si>
  <si>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</si>
  <si>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</si>
  <si>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</si>
  <si>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</si>
  <si>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</si>
  <si>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</si>
  <si>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</si>
  <si>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</si>
  <si>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</si>
  <si>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</si>
  <si>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</si>
  <si>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</si>
  <si>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</si>
  <si>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</si>
  <si>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</si>
  <si>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</si>
  <si>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</si>
  <si>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</si>
  <si>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</si>
  <si>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</si>
  <si>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</si>
  <si>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</si>
  <si>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</si>
  <si>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</si>
  <si>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</si>
  <si>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</si>
  <si>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</si>
  <si>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</si>
  <si>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</si>
  <si>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</si>
  <si>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</si>
  <si>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</si>
  <si>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</si>
  <si>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</si>
  <si>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</si>
  <si>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</si>
  <si>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</si>
  <si>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</si>
  <si>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</si>
  <si>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</si>
  <si>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</si>
  <si>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</si>
  <si>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</si>
  <si>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</si>
  <si>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</si>
  <si>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</si>
  <si>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</si>
  <si>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</si>
  <si>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</si>
  <si>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</si>
  <si>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</si>
  <si>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</si>
  <si>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</si>
  <si>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</si>
  <si>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</si>
  <si>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</si>
  <si>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</si>
  <si>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</si>
  <si>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</si>
  <si>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</si>
  <si>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</si>
  <si>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</si>
  <si>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</si>
  <si>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</si>
  <si>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</si>
  <si>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</si>
  <si>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</si>
  <si>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</si>
  <si>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</si>
  <si>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</si>
  <si>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</si>
  <si>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</si>
  <si>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</si>
  <si>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</si>
  <si>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</si>
  <si>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</si>
  <si>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</si>
  <si>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</si>
  <si>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</si>
  <si>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</si>
  <si>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</si>
  <si>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</si>
  <si>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</si>
  <si>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</si>
  <si>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</si>
  <si>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</si>
  <si>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</si>
  <si>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</si>
  <si>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</si>
  <si>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</si>
  <si>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</si>
  <si>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</si>
  <si>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</si>
  <si>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</si>
  <si>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</si>
  <si>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</si>
  <si>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</si>
  <si>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</si>
  <si>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</si>
  <si>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</si>
  <si>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</si>
  <si>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</si>
  <si>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</si>
  <si>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</si>
  <si>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</si>
  <si>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</si>
  <si>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</si>
  <si>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</si>
  <si>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</si>
  <si>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</si>
  <si>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</si>
  <si>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</si>
  <si>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</si>
  <si>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</si>
  <si>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</si>
  <si>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</si>
  <si>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</si>
  <si>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</si>
  <si>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</si>
  <si>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</si>
  <si>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</si>
  <si>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</si>
  <si>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</si>
  <si>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</si>
  <si>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</si>
  <si>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</si>
  <si>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</si>
  <si>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</si>
  <si>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</si>
  <si>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</si>
  <si>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</si>
  <si>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</si>
  <si>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</si>
  <si>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</si>
  <si>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</si>
  <si>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</si>
  <si>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</si>
  <si>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</si>
  <si>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</si>
  <si>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</si>
  <si>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</si>
  <si>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</si>
  <si>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</si>
  <si>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</si>
  <si>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</si>
  <si>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</si>
  <si>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</si>
  <si>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</si>
  <si>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</si>
  <si>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</si>
  <si>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</si>
  <si>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</si>
  <si>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</si>
  <si>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</si>
  <si>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</si>
  <si>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</si>
  <si>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</si>
  <si>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</si>
  <si>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</si>
  <si>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</si>
  <si>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</si>
  <si>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</si>
  <si>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</si>
  <si>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</si>
  <si>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</si>
  <si>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</si>
  <si>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</si>
  <si>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</si>
  <si>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</si>
  <si>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</si>
  <si>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</si>
  <si>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</si>
  <si>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</si>
  <si>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</si>
  <si>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</si>
  <si>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</si>
  <si>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</si>
  <si>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</si>
  <si>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</si>
  <si>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</si>
  <si>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</si>
  <si>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</si>
  <si>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</si>
  <si>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</si>
  <si>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</si>
  <si>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</si>
  <si>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</si>
  <si>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</si>
  <si>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</si>
  <si>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</si>
  <si>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</si>
  <si>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</si>
  <si>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</si>
  <si>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</si>
  <si>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</si>
  <si>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</si>
  <si>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</si>
  <si>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</si>
  <si>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</si>
  <si>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</si>
  <si>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</si>
  <si>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</si>
  <si>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</si>
  <si>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</si>
  <si>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</si>
  <si>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</si>
  <si>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</si>
  <si>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</si>
  <si>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</si>
  <si>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</si>
  <si>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</si>
  <si>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</si>
  <si>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</si>
  <si>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</si>
  <si>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</si>
  <si>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</si>
  <si>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</si>
  <si>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</si>
  <si>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</si>
  <si>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</si>
  <si>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</si>
  <si>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</si>
  <si>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</si>
  <si>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</si>
  <si>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</si>
  <si>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</si>
  <si>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</si>
  <si>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</si>
  <si>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</si>
  <si>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</si>
  <si>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</si>
  <si>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</si>
  <si>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</si>
  <si>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</si>
  <si>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</si>
  <si>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</si>
  <si>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</si>
  <si>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</si>
  <si>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</si>
  <si>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</si>
  <si>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</si>
  <si>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</si>
  <si>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</si>
  <si>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</si>
  <si>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</si>
  <si>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</si>
  <si>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</si>
  <si>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</si>
  <si>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</si>
  <si>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</si>
  <si>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</si>
  <si>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</si>
  <si>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</si>
  <si>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</si>
  <si>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</si>
  <si>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</si>
  <si>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</si>
  <si>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</si>
  <si>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</si>
  <si>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</si>
  <si>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</si>
  <si>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</si>
  <si>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</si>
  <si>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</si>
  <si>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</si>
  <si>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</si>
  <si>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</si>
  <si>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</si>
  <si>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</si>
  <si>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</si>
  <si>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</si>
  <si>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</si>
  <si>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</si>
  <si>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</si>
  <si>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</si>
  <si>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</si>
  <si>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</si>
  <si>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</si>
  <si>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</si>
  <si>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</si>
  <si>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</si>
  <si>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</si>
  <si>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</si>
  <si>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</si>
  <si>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</si>
  <si>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</si>
  <si>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</si>
  <si>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</si>
  <si>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</si>
  <si>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</si>
  <si>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</si>
  <si>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</si>
  <si>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</si>
  <si>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</si>
  <si>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</si>
  <si>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</si>
  <si>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</si>
  <si>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</si>
  <si>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</si>
  <si>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</si>
  <si>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</si>
  <si>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</si>
  <si>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</si>
  <si>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</si>
  <si>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</si>
  <si>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</si>
  <si>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</si>
  <si>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</si>
  <si>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</si>
  <si>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</si>
  <si>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</si>
  <si>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</si>
  <si>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</si>
  <si>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</si>
  <si>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</si>
  <si>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</si>
  <si>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</si>
  <si>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</si>
  <si>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</si>
  <si>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</si>
  <si>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</si>
  <si>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</si>
  <si>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</si>
  <si>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</si>
  <si>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</si>
  <si>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</si>
  <si>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</si>
  <si>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</si>
  <si>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</si>
  <si>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</si>
  <si>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</si>
  <si>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</si>
  <si>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</si>
  <si>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</si>
  <si>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</si>
  <si>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</si>
  <si>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</si>
  <si>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</si>
  <si>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</si>
  <si>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</si>
  <si>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</si>
  <si>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F1-3</t>
  </si>
  <si>
    <t>CE1-3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</si>
  <si>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</si>
  <si>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</si>
  <si>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</si>
  <si>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</si>
  <si>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</si>
  <si>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</si>
  <si>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</si>
  <si>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</si>
  <si>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</si>
  <si>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</si>
  <si>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</si>
  <si>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</si>
  <si>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</si>
  <si>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</si>
  <si>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</si>
  <si>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</si>
  <si>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</si>
  <si>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</si>
  <si>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</si>
  <si>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</si>
  <si>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</si>
  <si>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</si>
  <si>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</si>
  <si>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</si>
  <si>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</si>
  <si>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</si>
  <si>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</si>
  <si>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</si>
  <si>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</si>
  <si>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</si>
  <si>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</si>
  <si>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</si>
  <si>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</si>
  <si>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</si>
  <si>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</si>
  <si>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</si>
  <si>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</si>
  <si>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</si>
  <si>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</si>
  <si>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</si>
  <si>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</si>
  <si>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</si>
  <si>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</si>
  <si>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</si>
  <si>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</si>
  <si>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</si>
  <si>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</si>
  <si>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</si>
  <si>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</si>
  <si>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</si>
  <si>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</si>
  <si>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</si>
  <si>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</si>
  <si>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</si>
  <si>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</si>
  <si>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</si>
  <si>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</si>
  <si>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</si>
  <si>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</si>
  <si>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</si>
  <si>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</si>
  <si>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</si>
  <si>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Trafo 3 Fasa 100 KVA 1 Tiang (G312-A)</t>
  </si>
  <si>
    <t>NFA2X-T 3 x 70 + N 50 mm²</t>
  </si>
  <si>
    <t>CC7</t>
  </si>
  <si>
    <t>Isolator Tarik ( Porcelain ) 20 KV + Primary Dead End Clamp 150-240 mm²</t>
  </si>
  <si>
    <t>PEKERJAAN PEMASANGAN KONDUKTOR</t>
  </si>
  <si>
    <t>PEKERJAAN PEMASANGAN APP</t>
  </si>
  <si>
    <t>Daya 105.000 VA</t>
  </si>
  <si>
    <t>PEMBONGKARAN</t>
  </si>
  <si>
    <t>AGR HANDOYO</t>
  </si>
  <si>
    <t>DS SUKOREJO</t>
  </si>
  <si>
    <t>B2</t>
  </si>
  <si>
    <t>T1-260/29</t>
  </si>
  <si>
    <t>MGN06</t>
  </si>
  <si>
    <t xml:space="preserve">Hasil Ukur Trafo 3 Ph 50 KVA ( X ) 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</si>
  <si>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</si>
  <si>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</si>
  <si>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</si>
  <si>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</si>
  <si>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</si>
  <si>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</si>
  <si>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</si>
  <si>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</si>
  <si>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</si>
  <si>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</si>
  <si>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</si>
  <si>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</si>
  <si>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</si>
  <si>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</si>
  <si>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</si>
  <si>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</si>
  <si>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</si>
  <si>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</si>
  <si>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</si>
  <si>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</si>
  <si>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</si>
  <si>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</si>
  <si>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</si>
  <si>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</si>
  <si>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</si>
  <si>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</si>
  <si>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G312-A 100KVA</t>
  </si>
  <si>
    <t>APP 100KVA</t>
  </si>
  <si>
    <t>CE1-2</t>
  </si>
  <si>
    <t>F1-2</t>
  </si>
  <si>
    <t>AAAC 70MM</t>
  </si>
  <si>
    <t>MTR</t>
  </si>
  <si>
    <t>LVTC 3X70+N70</t>
  </si>
  <si>
    <t>C12-350</t>
  </si>
  <si>
    <t>BTG</t>
  </si>
  <si>
    <t>Keterangan Tambahan :'-7.061742, 110.621868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</si>
  <si>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</si>
  <si>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</si>
  <si>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</si>
  <si>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</si>
  <si>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</si>
  <si>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</si>
  <si>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</si>
  <si>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AGR HANDOYO 105KVA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</si>
  <si>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</si>
  <si>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</si>
  <si>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</si>
  <si>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</si>
  <si>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</si>
  <si>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</si>
  <si>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</si>
  <si>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</si>
  <si>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</si>
  <si>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'-7.061742, 110.621868</t>
  </si>
  <si>
    <t>SINGLE LINE DIAGRAM LOKASI PELANGGAN</t>
  </si>
  <si>
    <t>Tegowanu, …...........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</si>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</sst>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(* #,##0_);_(* \(#,##0\);_(* &quot;-&quot;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&quot;Rp&quot;#,##0.00_);\(&quot;Rp&quot;#,##0.00\)"/>
    <numFmt numFmtId="170" formatCode="_(* #,##0_);_(* \(#,##0\);_(* &quot;-&quot;??_);_(@_)"/>
    <numFmt numFmtId="171" formatCode="_(&quot;Rp&quot;* #,##0_);_(&quot;Rp&quot;* \(#,##0\);_(&quot;Rp&quot;* &quot;-&quot;???_);_(@_)"/>
    <numFmt numFmtId="172" formatCode="_([$Rp-421]* #,##0_);_([$Rp-421]* \(#,##0\);_([$Rp-421]* &quot;-&quot;??_);_(@_)"/>
    <numFmt numFmtId="173" formatCode="General_)"/>
    <numFmt numFmtId="174" formatCode="0.000000%"/>
    <numFmt numFmtId="175" formatCode="_(&quot;$&quot;* #,##0.0_);_(&quot;$&quot;* \(#,##0.0\);_(&quot;$&quot;* &quot;-&quot;?_);_(@_)"/>
    <numFmt numFmtId="176" formatCode="00000"/>
    <numFmt numFmtId="177" formatCode="m/d"/>
    <numFmt numFmtId="178" formatCode="0.0000000000"/>
    <numFmt numFmtId="179" formatCode="d\ayy"/>
    <numFmt numFmtId="180" formatCode="dd/mm/yy;@"/>
    <numFmt numFmtId="181" formatCode="_-* #,##0.000_-;\-* #,##0.000_-;_-* &quot;-&quot;_-;_-@_-"/>
    <numFmt numFmtId="182" formatCode="0.000"/>
    <numFmt numFmtId="183" formatCode="_(* #,##0.000_);_(* \(#,##0.000\);_(* &quot;-&quot;??_);_(@_)"/>
    <numFmt numFmtId="184" formatCode="[$-409]d\-mmm\-yy;@"/>
    <numFmt numFmtId="185" formatCode="0.0"/>
    <numFmt numFmtId="186" formatCode="_(* #,##0.000_);_(* \(#,##0.000\);_(* &quot;-&quot;_);_(@_)"/>
    <numFmt numFmtId="187" formatCode="&quot;IR£&quot;#,##0.00;[Red]\-&quot;IR£&quot;#,##0.00"/>
    <numFmt numFmtId="188" formatCode="&quot;$&quot;#,##0\ ;\(&quot;$&quot;#,##0\)"/>
    <numFmt numFmtId="189" formatCode="m\o\n\th\ \D\,\ \y\y\y\y"/>
    <numFmt numFmtId="190" formatCode="#."/>
    <numFmt numFmtId="191" formatCode="#,#00"/>
    <numFmt numFmtId="192" formatCode="#,"/>
    <numFmt numFmtId="193" formatCode="_-* #,##0\ _€_-;\-* #,##0\ _€_-;_-* &quot;-&quot;\ _€_-;_-@_-"/>
    <numFmt numFmtId="194" formatCode="&quot;Rp.&quot;#,##0.00;&quot;Rp.&quot;\-#,##0.00"/>
    <numFmt numFmtId="195" formatCode="0.00_)"/>
    <numFmt numFmtId="196" formatCode="[$-421]dd\ mmmm\ yyyy;@"/>
    <numFmt numFmtId="197" formatCode="_([$Rp-421]* #,##0.00_);_([$Rp-421]* \(#,##0.00\);_([$Rp-421]* &quot;-&quot;??_);_(@_)"/>
    <numFmt numFmtId="198" formatCode="_-&quot;£&quot;* #,##0_-;\-&quot;£&quot;* #,##0_-;_-&quot;£&quot;* &quot;-&quot;_-;_-@_-"/>
    <numFmt numFmtId="199" formatCode="_(* #,##0.0000_);_(* \(#,##0.0000\);_(* &quot;-&quot;??_);_(@_)"/>
    <numFmt numFmtId="200" formatCode="[$-409]d\-mmm\-yyyy;@"/>
    <numFmt numFmtId="201" formatCode="#,##0&quot;NT$&quot;;[Red]\-#,##0&quot;NT$&quot;"/>
    <numFmt numFmtId="202" formatCode="mm/dd/yy"/>
    <numFmt numFmtId="203" formatCode="dddd"/>
    <numFmt numFmtId="204" formatCode="ddd"/>
    <numFmt numFmtId="205" formatCode="#.##0_);\(#.##\)"/>
    <numFmt numFmtId="206" formatCode="_(* #,##0.0_);_(* \(#,##0.0\);_(* &quot;-&quot;_);_(@_)"/>
    <numFmt numFmtId="207" formatCode="0.E+00"/>
    <numFmt numFmtId="208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692">
    <xf numFmtId="0" fontId="0" fillId="0" borderId="0"/>
    <xf numFmtId="173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43" fontId="99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0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169" fontId="31" fillId="0" borderId="0" applyFont="0" applyFill="0" applyBorder="0" applyAlignment="0" applyProtection="0"/>
    <xf numFmtId="169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81" fontId="17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17" fillId="0" borderId="0" applyFont="0" applyFill="0" applyBorder="0" applyAlignment="0" applyProtection="0"/>
    <xf numFmtId="178" fontId="31" fillId="0" borderId="0" applyFont="0" applyFill="0" applyBorder="0" applyAlignment="0" applyProtection="0"/>
    <xf numFmtId="178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18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5" fontId="31" fillId="0" borderId="0" applyFont="0" applyFill="0" applyBorder="0" applyAlignment="0" applyProtection="0"/>
    <xf numFmtId="185" fontId="17" fillId="0" borderId="0" applyFont="0" applyFill="0" applyBorder="0" applyAlignment="0" applyProtection="0"/>
    <xf numFmtId="18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2" fillId="0" borderId="0" applyFont="0" applyFill="0" applyBorder="0" applyAlignment="0" applyProtection="0"/>
    <xf numFmtId="186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20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7" fontId="31" fillId="0" borderId="3"/>
    <xf numFmtId="187" fontId="17" fillId="0" borderId="3"/>
    <xf numFmtId="167" fontId="18" fillId="0" borderId="0" applyFont="0" applyFill="0" applyBorder="0" applyAlignment="0" applyProtection="0"/>
    <xf numFmtId="167" fontId="43" fillId="0" borderId="0" applyFont="0" applyFill="0" applyBorder="0" applyAlignment="0" applyProtection="0"/>
    <xf numFmtId="174" fontId="31" fillId="0" borderId="0" applyFont="0" applyFill="0" applyBorder="0" applyAlignment="0" applyProtection="0"/>
    <xf numFmtId="174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17" fillId="0" borderId="0" applyFont="0" applyFill="0" applyBorder="0" applyAlignment="0" applyProtection="0"/>
    <xf numFmtId="188" fontId="65" fillId="0" borderId="0" applyFont="0" applyFill="0" applyBorder="0" applyAlignment="0" applyProtection="0"/>
    <xf numFmtId="189" fontId="67" fillId="0" borderId="0">
      <protection locked="0"/>
    </xf>
    <xf numFmtId="14" fontId="59" fillId="0" borderId="0" applyFill="0" applyBorder="0" applyAlignment="0"/>
    <xf numFmtId="190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1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2" fontId="72" fillId="0" borderId="0">
      <protection locked="0"/>
    </xf>
    <xf numFmtId="192" fontId="72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3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4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4" fontId="31" fillId="0" borderId="0"/>
    <xf numFmtId="194" fontId="17" fillId="0" borderId="0"/>
    <xf numFmtId="194" fontId="31" fillId="0" borderId="0"/>
    <xf numFmtId="194" fontId="17" fillId="0" borderId="0"/>
    <xf numFmtId="194" fontId="31" fillId="0" borderId="0"/>
    <xf numFmtId="194" fontId="17" fillId="0" borderId="0"/>
    <xf numFmtId="194" fontId="17" fillId="0" borderId="0"/>
    <xf numFmtId="194" fontId="31" fillId="0" borderId="0"/>
    <xf numFmtId="173" fontId="78" fillId="0" borderId="0"/>
    <xf numFmtId="173" fontId="79" fillId="0" borderId="0"/>
    <xf numFmtId="173" fontId="79" fillId="0" borderId="0"/>
    <xf numFmtId="0" fontId="61" fillId="0" borderId="0"/>
    <xf numFmtId="0" fontId="106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8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64" fillId="0" borderId="0"/>
    <xf numFmtId="0" fontId="31" fillId="0" borderId="0"/>
    <xf numFmtId="0" fontId="106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5" fontId="38" fillId="0" borderId="0"/>
    <xf numFmtId="0" fontId="106" fillId="0" borderId="0"/>
    <xf numFmtId="0" fontId="10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6" fillId="0" borderId="0"/>
    <xf numFmtId="183" fontId="79" fillId="0" borderId="0"/>
    <xf numFmtId="0" fontId="79" fillId="0" borderId="0"/>
    <xf numFmtId="196" fontId="79" fillId="0" borderId="0"/>
    <xf numFmtId="197" fontId="79" fillId="0" borderId="0"/>
    <xf numFmtId="0" fontId="79" fillId="0" borderId="0"/>
    <xf numFmtId="198" fontId="79" fillId="0" borderId="0"/>
    <xf numFmtId="198" fontId="79" fillId="0" borderId="0"/>
    <xf numFmtId="198" fontId="79" fillId="0" borderId="0"/>
    <xf numFmtId="196" fontId="79" fillId="0" borderId="0"/>
    <xf numFmtId="0" fontId="79" fillId="0" borderId="0"/>
    <xf numFmtId="0" fontId="31" fillId="0" borderId="0"/>
    <xf numFmtId="0" fontId="17" fillId="0" borderId="0"/>
    <xf numFmtId="183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6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8" fontId="79" fillId="0" borderId="0"/>
    <xf numFmtId="198" fontId="79" fillId="0" borderId="0"/>
    <xf numFmtId="198" fontId="79" fillId="0" borderId="0"/>
    <xf numFmtId="198" fontId="79" fillId="0" borderId="0"/>
    <xf numFmtId="200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06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5" fontId="38" fillId="0" borderId="0"/>
    <xf numFmtId="0" fontId="17" fillId="0" borderId="0"/>
    <xf numFmtId="0" fontId="17" fillId="0" borderId="0" applyProtection="0"/>
    <xf numFmtId="0" fontId="106" fillId="0" borderId="0"/>
    <xf numFmtId="0" fontId="106" fillId="0" borderId="0"/>
    <xf numFmtId="0" fontId="106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6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31" fillId="0" borderId="0"/>
    <xf numFmtId="0" fontId="17" fillId="0" borderId="0"/>
    <xf numFmtId="0" fontId="108" fillId="0" borderId="0"/>
    <xf numFmtId="0" fontId="17" fillId="0" borderId="0"/>
    <xf numFmtId="0" fontId="17" fillId="0" borderId="0"/>
    <xf numFmtId="0" fontId="18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8" fillId="0" borderId="0"/>
    <xf numFmtId="0" fontId="107" fillId="0" borderId="0"/>
    <xf numFmtId="0" fontId="62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5" fontId="38" fillId="0" borderId="0"/>
    <xf numFmtId="195" fontId="38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7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31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8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1" fillId="27" borderId="12" applyNumberFormat="0" applyFont="0" applyAlignment="0" applyProtection="0"/>
    <xf numFmtId="195" fontId="38" fillId="28" borderId="12" applyAlignment="0" applyProtection="0"/>
    <xf numFmtId="195" fontId="38" fillId="28" borderId="12" applyAlignment="0" applyProtection="0"/>
    <xf numFmtId="0" fontId="17" fillId="27" borderId="12" applyNumberFormat="0" applyFont="0" applyAlignment="0" applyProtection="0"/>
    <xf numFmtId="195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201" fontId="31" fillId="0" borderId="0" applyFont="0" applyFill="0" applyBorder="0" applyAlignment="0" applyProtection="0"/>
    <xf numFmtId="201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8" fontId="31" fillId="0" borderId="0" applyFill="0" applyBorder="0" applyAlignment="0"/>
    <xf numFmtId="178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9" fontId="31" fillId="0" borderId="0" applyFill="0" applyBorder="0" applyAlignment="0"/>
    <xf numFmtId="179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0" fontId="69" fillId="0" borderId="0"/>
    <xf numFmtId="202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31" fillId="0" borderId="0" applyFill="0" applyBorder="0" applyAlignment="0"/>
    <xf numFmtId="204" fontId="17" fillId="0" borderId="0" applyFill="0" applyBorder="0" applyAlignment="0"/>
    <xf numFmtId="205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165" fontId="17" fillId="0" borderId="0" applyFont="0" applyFill="0" applyBorder="0" applyAlignment="0" applyProtection="0"/>
    <xf numFmtId="9" fontId="138" fillId="0" borderId="0" applyFont="0" applyFill="0" applyBorder="0" applyAlignment="0" applyProtection="0"/>
    <xf numFmtId="165" fontId="150" fillId="0" borderId="0" applyFont="0" applyFill="0" applyBorder="0" applyAlignment="0" applyProtection="0"/>
    <xf numFmtId="0" fontId="17" fillId="0" borderId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64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17" fillId="0" borderId="0" applyFont="0" applyFill="0" applyBorder="0" applyAlignment="0" applyProtection="0"/>
    <xf numFmtId="0" fontId="1" fillId="0" borderId="0"/>
    <xf numFmtId="0" fontId="1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0" fontId="11" fillId="27" borderId="1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" fillId="0" borderId="0"/>
    <xf numFmtId="166" fontId="6" fillId="0" borderId="0" applyFont="0" applyFill="0" applyBorder="0" applyAlignment="0" applyProtection="0"/>
    <xf numFmtId="0" fontId="1" fillId="0" borderId="0"/>
    <xf numFmtId="165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" fillId="0" borderId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731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41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41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41" fontId="40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43" fontId="48" fillId="0" borderId="0" xfId="1652" applyNumberFormat="1" applyFont="1"/>
    <xf numFmtId="0" fontId="106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70" fontId="40" fillId="0" borderId="0" xfId="714" applyFont="1" applyFill="1" applyAlignment="1">
      <alignment horizontal="center" wrapText="1"/>
    </xf>
    <xf numFmtId="170" fontId="39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70" fontId="40" fillId="0" borderId="21" xfId="715" applyNumberFormat="1" applyFont="1" applyFill="1" applyBorder="1" applyAlignment="1">
      <alignment horizontal="center" vertical="center" wrapText="1"/>
    </xf>
    <xf numFmtId="170" fontId="40" fillId="0" borderId="21" xfId="714" applyFont="1" applyFill="1" applyBorder="1" applyAlignment="1">
      <alignment horizontal="center" vertical="center" wrapText="1"/>
    </xf>
    <xf numFmtId="170" fontId="40" fillId="0" borderId="33" xfId="714" applyFont="1" applyFill="1" applyBorder="1" applyAlignment="1">
      <alignment horizontal="center" vertical="center" wrapText="1"/>
    </xf>
    <xf numFmtId="43" fontId="39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43" fontId="39" fillId="0" borderId="0" xfId="1615" applyNumberFormat="1" applyFont="1" applyAlignment="1">
      <alignment horizontal="left" vertical="center"/>
    </xf>
    <xf numFmtId="43" fontId="48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8" fontId="40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41" fontId="90" fillId="0" borderId="0" xfId="1448" applyNumberFormat="1" applyFont="1" applyAlignment="1">
      <alignment wrapText="1"/>
    </xf>
    <xf numFmtId="41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70" fontId="40" fillId="0" borderId="21" xfId="717" applyNumberFormat="1" applyFont="1" applyFill="1" applyBorder="1" applyAlignment="1" applyProtection="1">
      <alignment horizontal="center" vertical="center" wrapText="1"/>
    </xf>
    <xf numFmtId="41" fontId="40" fillId="0" borderId="21" xfId="1451" applyNumberFormat="1" applyFont="1" applyBorder="1" applyAlignment="1">
      <alignment horizontal="center" vertical="center" wrapText="1"/>
    </xf>
    <xf numFmtId="170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70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70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70" fontId="39" fillId="0" borderId="3" xfId="715" applyNumberFormat="1" applyFont="1" applyFill="1" applyBorder="1" applyAlignment="1">
      <alignment horizontal="center" vertical="center" wrapText="1"/>
    </xf>
    <xf numFmtId="3" fontId="112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15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43" fontId="111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13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13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25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41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15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21" fillId="36" borderId="0" xfId="2670" applyFont="1" applyFill="1" applyAlignment="1">
      <alignment horizontal="left" vertical="center"/>
    </xf>
    <xf numFmtId="0" fontId="121" fillId="36" borderId="0" xfId="2670" applyFont="1" applyFill="1" applyAlignment="1">
      <alignment horizontal="center" vertical="center"/>
    </xf>
    <xf numFmtId="0" fontId="122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left" vertical="center"/>
    </xf>
    <xf numFmtId="0" fontId="123" fillId="36" borderId="0" xfId="2670" applyFont="1" applyFill="1" applyAlignment="1">
      <alignment horizontal="center" vertical="center"/>
    </xf>
    <xf numFmtId="0" fontId="123" fillId="36" borderId="0" xfId="2670" applyFont="1" applyFill="1" applyAlignment="1">
      <alignment horizontal="right" vertical="center"/>
    </xf>
    <xf numFmtId="9" fontId="124" fillId="36" borderId="0" xfId="2671" applyFont="1" applyFill="1" applyBorder="1" applyAlignment="1" applyProtection="1">
      <alignment horizontal="right" vertical="center"/>
    </xf>
    <xf numFmtId="43" fontId="123" fillId="36" borderId="0" xfId="2672" applyFont="1" applyFill="1" applyBorder="1" applyAlignment="1" applyProtection="1">
      <alignment horizontal="right" vertical="center"/>
    </xf>
    <xf numFmtId="43" fontId="124" fillId="36" borderId="0" xfId="2672" applyFont="1" applyFill="1" applyBorder="1" applyAlignment="1" applyProtection="1">
      <alignment horizontal="right" vertical="center"/>
    </xf>
    <xf numFmtId="10" fontId="124" fillId="36" borderId="0" xfId="2671" applyNumberFormat="1" applyFont="1" applyFill="1" applyBorder="1" applyAlignment="1" applyProtection="1">
      <alignment horizontal="right" vertical="center"/>
    </xf>
    <xf numFmtId="170" fontId="123" fillId="36" borderId="0" xfId="2672" applyNumberFormat="1" applyFont="1" applyFill="1" applyBorder="1" applyAlignment="1" applyProtection="1">
      <alignment horizontal="right" vertical="center"/>
    </xf>
    <xf numFmtId="0" fontId="117" fillId="0" borderId="0" xfId="2670" applyFont="1" applyAlignment="1">
      <alignment horizontal="left" vertical="center"/>
    </xf>
    <xf numFmtId="0" fontId="12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7" fillId="0" borderId="0" xfId="1538"/>
    <xf numFmtId="43" fontId="107" fillId="0" borderId="0" xfId="1538" applyNumberFormat="1"/>
    <xf numFmtId="0" fontId="57" fillId="0" borderId="0" xfId="1538" applyFont="1"/>
    <xf numFmtId="0" fontId="110" fillId="0" borderId="0" xfId="1538" applyFont="1"/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7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43" fontId="0" fillId="0" borderId="3" xfId="1026" applyFont="1" applyFill="1" applyBorder="1" applyProtection="1"/>
    <xf numFmtId="43" fontId="107" fillId="0" borderId="3" xfId="1538" applyNumberFormat="1" applyBorder="1"/>
    <xf numFmtId="43" fontId="118" fillId="0" borderId="3" xfId="1026" applyFont="1" applyBorder="1" applyProtection="1"/>
    <xf numFmtId="43" fontId="0" fillId="0" borderId="3" xfId="1026" applyFont="1" applyBorder="1" applyProtection="1"/>
    <xf numFmtId="43" fontId="110" fillId="0" borderId="3" xfId="1538" applyNumberFormat="1" applyFont="1" applyBorder="1"/>
    <xf numFmtId="0" fontId="57" fillId="0" borderId="3" xfId="1538" applyFont="1" applyBorder="1"/>
    <xf numFmtId="41" fontId="107" fillId="0" borderId="3" xfId="1538" applyNumberFormat="1" applyBorder="1"/>
    <xf numFmtId="43" fontId="99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43" fontId="45" fillId="0" borderId="3" xfId="1538" applyNumberFormat="1" applyFont="1" applyBorder="1"/>
    <xf numFmtId="0" fontId="107" fillId="29" borderId="0" xfId="1538" applyFill="1"/>
    <xf numFmtId="0" fontId="45" fillId="0" borderId="0" xfId="1538" applyFont="1" applyAlignment="1">
      <alignment horizontal="center"/>
    </xf>
    <xf numFmtId="43" fontId="45" fillId="0" borderId="0" xfId="1538" applyNumberFormat="1" applyFont="1"/>
    <xf numFmtId="0" fontId="107" fillId="29" borderId="3" xfId="1538" applyFill="1" applyBorder="1"/>
    <xf numFmtId="170" fontId="107" fillId="29" borderId="3" xfId="1538" applyNumberFormat="1" applyFill="1" applyBorder="1" applyAlignment="1">
      <alignment horizontal="right"/>
    </xf>
    <xf numFmtId="166" fontId="107" fillId="0" borderId="0" xfId="1538" applyNumberFormat="1"/>
    <xf numFmtId="43" fontId="107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26" fillId="0" borderId="0" xfId="1614" applyFont="1" applyAlignment="1">
      <alignment horizontal="center"/>
    </xf>
    <xf numFmtId="0" fontId="127" fillId="0" borderId="0" xfId="1614" applyFont="1" applyAlignment="1">
      <alignment horizontal="center" vertical="center"/>
    </xf>
    <xf numFmtId="0" fontId="128" fillId="0" borderId="0" xfId="1614" applyFont="1" applyAlignment="1">
      <alignment horizontal="left" vertical="center"/>
    </xf>
    <xf numFmtId="0" fontId="128" fillId="0" borderId="0" xfId="1614" applyFont="1" applyAlignment="1">
      <alignment vertical="center"/>
    </xf>
    <xf numFmtId="0" fontId="129" fillId="0" borderId="0" xfId="1614" applyFont="1" applyAlignment="1">
      <alignment horizontal="center" vertical="center"/>
    </xf>
    <xf numFmtId="3" fontId="127" fillId="0" borderId="0" xfId="1614" applyNumberFormat="1" applyFont="1" applyAlignment="1">
      <alignment horizontal="center" vertical="center"/>
    </xf>
    <xf numFmtId="0" fontId="130" fillId="0" borderId="0" xfId="1614" applyFont="1" applyAlignment="1">
      <alignment horizontal="center" vertical="center"/>
    </xf>
    <xf numFmtId="0" fontId="129" fillId="0" borderId="0" xfId="1614" applyFont="1" applyAlignment="1">
      <alignment horizontal="center"/>
    </xf>
    <xf numFmtId="0" fontId="127" fillId="0" borderId="0" xfId="1614" applyFont="1" applyAlignment="1">
      <alignment horizontal="center"/>
    </xf>
    <xf numFmtId="3" fontId="126" fillId="0" borderId="0" xfId="1614" applyNumberFormat="1" applyFont="1" applyAlignment="1">
      <alignment horizontal="center"/>
    </xf>
    <xf numFmtId="0" fontId="131" fillId="0" borderId="0" xfId="1614" applyFont="1"/>
    <xf numFmtId="43" fontId="131" fillId="0" borderId="0" xfId="1652" applyNumberFormat="1" applyFont="1"/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horizontal="center" vertical="center"/>
    </xf>
    <xf numFmtId="3" fontId="128" fillId="0" borderId="0" xfId="1614" applyNumberFormat="1" applyFont="1" applyAlignment="1">
      <alignment horizontal="left" vertical="center"/>
    </xf>
    <xf numFmtId="0" fontId="131" fillId="0" borderId="0" xfId="1614" applyFont="1" applyAlignment="1">
      <alignment horizontal="center"/>
    </xf>
    <xf numFmtId="0" fontId="128" fillId="0" borderId="0" xfId="1614" applyFont="1" applyAlignment="1">
      <alignment horizontal="center"/>
    </xf>
    <xf numFmtId="0" fontId="131" fillId="0" borderId="0" xfId="1614" applyFont="1" applyAlignment="1">
      <alignment horizontal="center" vertical="center" wrapText="1"/>
    </xf>
    <xf numFmtId="0" fontId="128" fillId="0" borderId="0" xfId="1614" applyFont="1" applyAlignment="1">
      <alignment horizontal="center" vertical="center" wrapText="1"/>
    </xf>
    <xf numFmtId="3" fontId="127" fillId="0" borderId="0" xfId="1614" applyNumberFormat="1" applyFont="1" applyAlignment="1">
      <alignment vertical="center"/>
    </xf>
    <xf numFmtId="0" fontId="128" fillId="0" borderId="20" xfId="1615" applyFont="1" applyBorder="1" applyAlignment="1">
      <alignment horizontal="center" vertical="center"/>
    </xf>
    <xf numFmtId="0" fontId="128" fillId="0" borderId="21" xfId="1615" applyFont="1" applyBorder="1" applyAlignment="1">
      <alignment horizontal="left" vertical="center" wrapText="1"/>
    </xf>
    <xf numFmtId="0" fontId="127" fillId="0" borderId="21" xfId="1614" applyFont="1" applyBorder="1" applyAlignment="1">
      <alignment horizontal="center" vertical="center" wrapText="1"/>
    </xf>
    <xf numFmtId="0" fontId="134" fillId="0" borderId="21" xfId="1614" applyFont="1" applyBorder="1" applyAlignment="1">
      <alignment horizontal="center" vertical="center"/>
    </xf>
    <xf numFmtId="3" fontId="134" fillId="0" borderId="21" xfId="1614" applyNumberFormat="1" applyFont="1" applyBorder="1" applyAlignment="1">
      <alignment horizontal="center" vertical="center"/>
    </xf>
    <xf numFmtId="3" fontId="127" fillId="0" borderId="21" xfId="1614" applyNumberFormat="1" applyFont="1" applyBorder="1" applyAlignment="1">
      <alignment horizontal="center" vertical="center"/>
    </xf>
    <xf numFmtId="3" fontId="127" fillId="0" borderId="22" xfId="1614" applyNumberFormat="1" applyFont="1" applyBorder="1" applyAlignment="1">
      <alignment horizontal="center" vertical="center"/>
    </xf>
    <xf numFmtId="3" fontId="127" fillId="0" borderId="0" xfId="1614" applyNumberFormat="1" applyFont="1" applyAlignment="1">
      <alignment horizontal="center"/>
    </xf>
    <xf numFmtId="3" fontId="126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29" fillId="0" borderId="21" xfId="1653" applyFont="1" applyBorder="1" applyAlignment="1">
      <alignment horizontal="center" vertical="center"/>
    </xf>
    <xf numFmtId="3" fontId="130" fillId="0" borderId="0" xfId="1614" applyNumberFormat="1" applyFont="1" applyAlignment="1">
      <alignment horizontal="center" vertical="center"/>
    </xf>
    <xf numFmtId="0" fontId="130" fillId="0" borderId="0" xfId="1614" applyFont="1" applyAlignment="1">
      <alignment horizontal="center"/>
    </xf>
    <xf numFmtId="0" fontId="127" fillId="0" borderId="21" xfId="1451" applyFont="1" applyBorder="1" applyAlignment="1">
      <alignment horizontal="left" vertical="center" wrapText="1"/>
    </xf>
    <xf numFmtId="0" fontId="134" fillId="0" borderId="21" xfId="1615" applyFont="1" applyBorder="1" applyAlignment="1">
      <alignment horizontal="center" vertical="center"/>
    </xf>
    <xf numFmtId="0" fontId="129" fillId="0" borderId="20" xfId="1653" applyFont="1" applyBorder="1" applyAlignment="1">
      <alignment horizontal="center" vertical="center"/>
    </xf>
    <xf numFmtId="0" fontId="129" fillId="0" borderId="21" xfId="1653" applyFont="1" applyBorder="1" applyAlignment="1">
      <alignment vertical="center" wrapText="1"/>
    </xf>
    <xf numFmtId="0" fontId="129" fillId="0" borderId="21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vertical="center" wrapText="1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29" fillId="33" borderId="21" xfId="1653" applyFont="1" applyFill="1" applyBorder="1" applyAlignment="1">
      <alignment vertical="center" wrapText="1"/>
    </xf>
    <xf numFmtId="0" fontId="129" fillId="0" borderId="21" xfId="1652" applyFont="1" applyBorder="1" applyAlignment="1">
      <alignment horizontal="left" vertical="center" wrapText="1"/>
    </xf>
    <xf numFmtId="0" fontId="127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34" fillId="0" borderId="21" xfId="1652" applyFont="1" applyBorder="1" applyAlignment="1">
      <alignment horizontal="center" vertical="center"/>
    </xf>
    <xf numFmtId="0" fontId="134" fillId="0" borderId="44" xfId="1652" applyFont="1" applyBorder="1" applyAlignment="1">
      <alignment horizontal="center" vertical="center"/>
    </xf>
    <xf numFmtId="0" fontId="134" fillId="0" borderId="3" xfId="1652" applyFont="1" applyBorder="1" applyAlignment="1">
      <alignment vertical="center" wrapText="1"/>
    </xf>
    <xf numFmtId="0" fontId="127" fillId="0" borderId="3" xfId="1614" applyFont="1" applyBorder="1" applyAlignment="1">
      <alignment horizontal="center" vertical="center" wrapText="1"/>
    </xf>
    <xf numFmtId="0" fontId="134" fillId="0" borderId="3" xfId="1614" applyFont="1" applyBorder="1" applyAlignment="1">
      <alignment horizontal="center" vertical="center"/>
    </xf>
    <xf numFmtId="0" fontId="134" fillId="0" borderId="3" xfId="1652" applyFont="1" applyBorder="1" applyAlignment="1">
      <alignment horizontal="center" vertical="center"/>
    </xf>
    <xf numFmtId="208" fontId="134" fillId="0" borderId="3" xfId="1614" applyNumberFormat="1" applyFont="1" applyBorder="1" applyAlignment="1">
      <alignment horizontal="center" vertical="center"/>
    </xf>
    <xf numFmtId="3" fontId="127" fillId="0" borderId="3" xfId="1614" applyNumberFormat="1" applyFont="1" applyBorder="1" applyAlignment="1">
      <alignment horizontal="center" vertical="center"/>
    </xf>
    <xf numFmtId="3" fontId="127" fillId="0" borderId="39" xfId="1614" applyNumberFormat="1" applyFont="1" applyBorder="1" applyAlignment="1">
      <alignment horizontal="center" vertical="center"/>
    </xf>
    <xf numFmtId="0" fontId="134" fillId="0" borderId="20" xfId="1652" applyFont="1" applyBorder="1" applyAlignment="1">
      <alignment horizontal="center" vertical="center"/>
    </xf>
    <xf numFmtId="0" fontId="134" fillId="0" borderId="21" xfId="1652" applyFont="1" applyBorder="1" applyAlignment="1">
      <alignment vertical="center" wrapText="1"/>
    </xf>
    <xf numFmtId="0" fontId="127" fillId="0" borderId="23" xfId="1614" applyFont="1" applyBorder="1" applyAlignment="1">
      <alignment horizontal="center" vertical="center"/>
    </xf>
    <xf numFmtId="0" fontId="127" fillId="0" borderId="24" xfId="1614" applyFont="1" applyBorder="1" applyAlignment="1">
      <alignment horizontal="left" vertical="center"/>
    </xf>
    <xf numFmtId="0" fontId="127" fillId="0" borderId="24" xfId="1614" applyFont="1" applyBorder="1" applyAlignment="1">
      <alignment vertical="center"/>
    </xf>
    <xf numFmtId="0" fontId="134" fillId="0" borderId="24" xfId="1614" applyFont="1" applyBorder="1" applyAlignment="1">
      <alignment horizontal="center" vertical="center"/>
    </xf>
    <xf numFmtId="3" fontId="127" fillId="0" borderId="24" xfId="1614" applyNumberFormat="1" applyFont="1" applyBorder="1" applyAlignment="1">
      <alignment horizontal="center" vertical="center"/>
    </xf>
    <xf numFmtId="3" fontId="127" fillId="0" borderId="25" xfId="1614" applyNumberFormat="1" applyFont="1" applyBorder="1" applyAlignment="1">
      <alignment horizontal="center" vertical="center"/>
    </xf>
    <xf numFmtId="0" fontId="129" fillId="0" borderId="26" xfId="1614" applyFont="1" applyBorder="1" applyAlignment="1">
      <alignment horizontal="center" vertical="center"/>
    </xf>
    <xf numFmtId="37" fontId="131" fillId="0" borderId="27" xfId="1614" applyNumberFormat="1" applyFont="1" applyBorder="1" applyAlignment="1">
      <alignment horizontal="center"/>
    </xf>
    <xf numFmtId="37" fontId="129" fillId="0" borderId="27" xfId="1614" applyNumberFormat="1" applyFont="1" applyBorder="1" applyAlignment="1">
      <alignment horizontal="center"/>
    </xf>
    <xf numFmtId="37" fontId="127" fillId="0" borderId="0" xfId="1614" applyNumberFormat="1" applyFont="1" applyAlignment="1">
      <alignment horizontal="center"/>
    </xf>
    <xf numFmtId="37" fontId="129" fillId="0" borderId="0" xfId="1614" applyNumberFormat="1" applyFont="1" applyAlignment="1">
      <alignment horizontal="center"/>
    </xf>
    <xf numFmtId="0" fontId="129" fillId="0" borderId="28" xfId="1614" applyFont="1" applyBorder="1" applyAlignment="1">
      <alignment horizontal="center" vertical="center"/>
    </xf>
    <xf numFmtId="37" fontId="131" fillId="0" borderId="29" xfId="1614" applyNumberFormat="1" applyFont="1" applyBorder="1" applyAlignment="1">
      <alignment horizontal="center"/>
    </xf>
    <xf numFmtId="37" fontId="129" fillId="0" borderId="29" xfId="1614" applyNumberFormat="1" applyFont="1" applyBorder="1" applyAlignment="1">
      <alignment horizontal="center"/>
    </xf>
    <xf numFmtId="37" fontId="135" fillId="0" borderId="0" xfId="1614" applyNumberFormat="1" applyFont="1" applyAlignment="1">
      <alignment horizontal="center"/>
    </xf>
    <xf numFmtId="37" fontId="135" fillId="0" borderId="30" xfId="1614" applyNumberFormat="1" applyFont="1" applyBorder="1" applyAlignment="1">
      <alignment horizontal="center"/>
    </xf>
    <xf numFmtId="37" fontId="135" fillId="0" borderId="32" xfId="1614" applyNumberFormat="1" applyFont="1" applyBorder="1" applyAlignment="1">
      <alignment horizontal="center"/>
    </xf>
    <xf numFmtId="0" fontId="126" fillId="0" borderId="0" xfId="1614" applyFont="1" applyAlignment="1">
      <alignment horizontal="center" vertical="center"/>
    </xf>
    <xf numFmtId="0" fontId="135" fillId="0" borderId="34" xfId="1614" applyFont="1" applyBorder="1" applyAlignment="1">
      <alignment vertical="center"/>
    </xf>
    <xf numFmtId="0" fontId="129" fillId="0" borderId="19" xfId="1614" applyFont="1" applyBorder="1"/>
    <xf numFmtId="0" fontId="129" fillId="0" borderId="19" xfId="1614" applyFont="1" applyBorder="1" applyAlignment="1">
      <alignment horizontal="center"/>
    </xf>
    <xf numFmtId="0" fontId="129" fillId="0" borderId="19" xfId="1614" applyFont="1" applyBorder="1" applyAlignment="1">
      <alignment horizontal="right"/>
    </xf>
    <xf numFmtId="0" fontId="129" fillId="0" borderId="31" xfId="1614" applyFont="1" applyBorder="1" applyAlignment="1">
      <alignment horizontal="right"/>
    </xf>
    <xf numFmtId="0" fontId="127" fillId="0" borderId="0" xfId="1614" applyFont="1" applyAlignment="1">
      <alignment horizontal="left" vertical="center"/>
    </xf>
    <xf numFmtId="0" fontId="127" fillId="0" borderId="0" xfId="1614" applyFont="1" applyAlignment="1">
      <alignment vertical="center"/>
    </xf>
    <xf numFmtId="0" fontId="134" fillId="0" borderId="0" xfId="1614" applyFont="1" applyAlignment="1">
      <alignment horizontal="center" vertical="center"/>
    </xf>
    <xf numFmtId="41" fontId="134" fillId="0" borderId="0" xfId="1652" applyNumberFormat="1" applyFont="1" applyAlignment="1">
      <alignment vertical="center"/>
    </xf>
    <xf numFmtId="0" fontId="129" fillId="0" borderId="0" xfId="1652" applyFont="1" applyAlignment="1">
      <alignment horizontal="right"/>
    </xf>
    <xf numFmtId="0" fontId="136" fillId="0" borderId="0" xfId="1644" applyFont="1" applyAlignment="1">
      <alignment horizontal="center" vertical="center"/>
    </xf>
    <xf numFmtId="0" fontId="134" fillId="0" borderId="0" xfId="1652" applyFont="1" applyAlignment="1">
      <alignment vertical="center"/>
    </xf>
    <xf numFmtId="0" fontId="137" fillId="39" borderId="59" xfId="2670" applyFont="1" applyFill="1" applyBorder="1" applyAlignment="1">
      <alignment horizontal="left" vertical="center"/>
    </xf>
    <xf numFmtId="0" fontId="137" fillId="39" borderId="60" xfId="2670" applyFont="1" applyFill="1" applyBorder="1" applyAlignment="1">
      <alignment horizontal="center" vertical="center"/>
    </xf>
    <xf numFmtId="0" fontId="137" fillId="39" borderId="62" xfId="2670" applyFont="1" applyFill="1" applyBorder="1" applyAlignment="1">
      <alignment horizontal="left" vertical="center"/>
    </xf>
    <xf numFmtId="0" fontId="137" fillId="39" borderId="58" xfId="2670" applyFont="1" applyFill="1" applyBorder="1" applyAlignment="1">
      <alignment horizontal="center" vertical="center"/>
    </xf>
    <xf numFmtId="0" fontId="137" fillId="39" borderId="64" xfId="2670" applyFont="1" applyFill="1" applyBorder="1" applyAlignment="1">
      <alignment horizontal="left" vertical="center"/>
    </xf>
    <xf numFmtId="0" fontId="137" fillId="39" borderId="65" xfId="2670" applyFont="1" applyFill="1" applyBorder="1" applyAlignment="1">
      <alignment horizontal="center" vertical="center"/>
    </xf>
    <xf numFmtId="43" fontId="119" fillId="40" borderId="61" xfId="2672" applyFont="1" applyFill="1" applyBorder="1" applyAlignment="1" applyProtection="1">
      <alignment horizontal="right" vertical="center" wrapText="1"/>
      <protection locked="0"/>
    </xf>
    <xf numFmtId="43" fontId="119" fillId="40" borderId="63" xfId="2672" applyFont="1" applyFill="1" applyBorder="1" applyAlignment="1" applyProtection="1">
      <alignment horizontal="right" vertical="center"/>
      <protection locked="0"/>
    </xf>
    <xf numFmtId="170" fontId="119" fillId="40" borderId="63" xfId="2672" applyNumberFormat="1" applyFont="1" applyFill="1" applyBorder="1" applyAlignment="1" applyProtection="1">
      <alignment horizontal="right" vertical="center"/>
      <protection locked="0"/>
    </xf>
    <xf numFmtId="170" fontId="119" fillId="40" borderId="66" xfId="2672" applyNumberFormat="1" applyFont="1" applyFill="1" applyBorder="1" applyAlignment="1" applyProtection="1">
      <alignment horizontal="right" vertical="center"/>
      <protection locked="0"/>
    </xf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51" xfId="2673" applyFont="1" applyBorder="1" applyAlignment="1">
      <alignment horizontal="center" vertical="center" wrapText="1"/>
    </xf>
    <xf numFmtId="0" fontId="140" fillId="0" borderId="0" xfId="2673" applyFont="1" applyAlignment="1">
      <alignment horizontal="center" vertical="center" wrapText="1"/>
    </xf>
    <xf numFmtId="0" fontId="141" fillId="0" borderId="0" xfId="2673" applyFont="1" applyAlignment="1">
      <alignment vertical="center" wrapText="1"/>
    </xf>
    <xf numFmtId="0" fontId="142" fillId="0" borderId="0" xfId="2673" applyFont="1" applyAlignment="1">
      <alignment vertical="center" wrapText="1"/>
    </xf>
    <xf numFmtId="0" fontId="125" fillId="35" borderId="70" xfId="2673" applyFont="1" applyFill="1" applyBorder="1" applyAlignment="1">
      <alignment vertical="center" wrapText="1"/>
    </xf>
    <xf numFmtId="0" fontId="125" fillId="43" borderId="70" xfId="2673" applyFont="1" applyFill="1" applyBorder="1" applyAlignment="1">
      <alignment vertical="center" wrapText="1"/>
    </xf>
    <xf numFmtId="0" fontId="139" fillId="0" borderId="0" xfId="2673" applyFont="1" applyAlignment="1">
      <alignment vertical="center" wrapText="1"/>
    </xf>
    <xf numFmtId="0" fontId="145" fillId="0" borderId="0" xfId="2673" applyFont="1" applyAlignment="1">
      <alignment horizontal="center" vertical="center" wrapText="1"/>
    </xf>
    <xf numFmtId="1" fontId="146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14" fillId="35" borderId="32" xfId="2673" applyFont="1" applyFill="1" applyBorder="1" applyAlignment="1">
      <alignment vertical="center" wrapText="1"/>
    </xf>
    <xf numFmtId="0" fontId="114" fillId="43" borderId="32" xfId="2673" applyFont="1" applyFill="1" applyBorder="1" applyAlignment="1">
      <alignment vertical="center" wrapText="1"/>
    </xf>
    <xf numFmtId="0" fontId="114" fillId="0" borderId="0" xfId="2673" applyFont="1" applyAlignment="1">
      <alignment vertical="center" wrapText="1"/>
    </xf>
    <xf numFmtId="2" fontId="114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2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4" fillId="0" borderId="0" xfId="2675" applyFont="1" applyFill="1" applyBorder="1" applyAlignment="1">
      <alignment horizontal="center" vertical="center" wrapText="1"/>
    </xf>
    <xf numFmtId="1" fontId="114" fillId="0" borderId="45" xfId="2673" applyNumberFormat="1" applyFont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47" fillId="0" borderId="0" xfId="2673" applyFont="1" applyAlignment="1">
      <alignment horizontal="center" vertical="center" wrapText="1"/>
    </xf>
    <xf numFmtId="2" fontId="147" fillId="0" borderId="0" xfId="2673" applyNumberFormat="1" applyFont="1" applyAlignment="1">
      <alignment horizontal="center" vertical="center" wrapText="1"/>
    </xf>
    <xf numFmtId="1" fontId="147" fillId="0" borderId="0" xfId="2673" applyNumberFormat="1" applyFont="1" applyAlignment="1">
      <alignment horizontal="center" vertical="center" wrapText="1"/>
    </xf>
    <xf numFmtId="0" fontId="148" fillId="0" borderId="0" xfId="2673" applyFont="1" applyAlignment="1">
      <alignment vertical="center" wrapText="1"/>
    </xf>
    <xf numFmtId="0" fontId="125" fillId="35" borderId="46" xfId="2673" applyFont="1" applyFill="1" applyBorder="1" applyAlignment="1">
      <alignment vertical="center" wrapText="1"/>
    </xf>
    <xf numFmtId="0" fontId="125" fillId="0" borderId="48" xfId="2673" applyFont="1" applyBorder="1" applyAlignment="1">
      <alignment horizontal="center" vertical="center" wrapText="1"/>
    </xf>
    <xf numFmtId="0" fontId="125" fillId="35" borderId="44" xfId="2673" applyFont="1" applyFill="1" applyBorder="1" applyAlignment="1">
      <alignment vertical="center" wrapText="1"/>
    </xf>
    <xf numFmtId="1" fontId="114" fillId="0" borderId="50" xfId="2673" applyNumberFormat="1" applyFont="1" applyBorder="1" applyAlignment="1">
      <alignment vertical="center" wrapText="1"/>
    </xf>
    <xf numFmtId="0" fontId="114" fillId="35" borderId="44" xfId="2673" applyFont="1" applyFill="1" applyBorder="1" applyAlignment="1">
      <alignment vertical="center" wrapText="1"/>
    </xf>
    <xf numFmtId="0" fontId="114" fillId="35" borderId="74" xfId="2673" applyFont="1" applyFill="1" applyBorder="1" applyAlignment="1">
      <alignment vertical="center" wrapText="1"/>
    </xf>
    <xf numFmtId="0" fontId="101" fillId="0" borderId="52" xfId="2673" applyFont="1" applyBorder="1" applyAlignment="1">
      <alignment horizontal="center" vertical="center" wrapText="1"/>
    </xf>
    <xf numFmtId="0" fontId="125" fillId="0" borderId="46" xfId="2673" applyFont="1" applyBorder="1" applyAlignment="1">
      <alignment vertical="center" wrapText="1"/>
    </xf>
    <xf numFmtId="0" fontId="125" fillId="0" borderId="44" xfId="2673" applyFont="1" applyBorder="1" applyAlignment="1">
      <alignment vertical="center" wrapText="1"/>
    </xf>
    <xf numFmtId="0" fontId="114" fillId="0" borderId="44" xfId="2673" applyFont="1" applyBorder="1" applyAlignment="1">
      <alignment vertical="center" wrapText="1"/>
    </xf>
    <xf numFmtId="0" fontId="114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6" fillId="0" borderId="21" xfId="1614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165" fontId="130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10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8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70" fontId="123" fillId="47" borderId="0" xfId="2672" applyNumberFormat="1" applyFont="1" applyFill="1" applyBorder="1" applyAlignment="1" applyProtection="1">
      <alignment horizontal="right" vertical="center"/>
    </xf>
    <xf numFmtId="3" fontId="134" fillId="48" borderId="21" xfId="1614" applyNumberFormat="1" applyFont="1" applyFill="1" applyBorder="1" applyAlignment="1">
      <alignment horizontal="center" vertical="center"/>
    </xf>
    <xf numFmtId="0" fontId="40" fillId="0" borderId="21" xfId="0" applyFont="1" applyBorder="1" applyAlignment="1">
      <alignment horizontal="left" vertical="center" wrapText="1"/>
    </xf>
    <xf numFmtId="0" fontId="128" fillId="0" borderId="20" xfId="1653" applyFont="1" applyBorder="1" applyAlignment="1">
      <alignment horizontal="center" vertical="center"/>
    </xf>
    <xf numFmtId="0" fontId="128" fillId="0" borderId="21" xfId="1451" applyFont="1" applyBorder="1" applyAlignment="1">
      <alignment horizontal="left" vertical="center" wrapText="1"/>
    </xf>
    <xf numFmtId="0" fontId="133" fillId="0" borderId="20" xfId="1653" applyFont="1" applyBorder="1" applyAlignment="1">
      <alignment horizontal="center" vertical="center"/>
    </xf>
    <xf numFmtId="0" fontId="127" fillId="0" borderId="21" xfId="1615" applyFont="1" applyBorder="1" applyAlignment="1">
      <alignment horizontal="left" vertical="center" wrapText="1"/>
    </xf>
    <xf numFmtId="0" fontId="110" fillId="0" borderId="20" xfId="1652" applyFont="1" applyBorder="1" applyAlignment="1">
      <alignment horizontal="center" vertical="center"/>
    </xf>
    <xf numFmtId="0" fontId="110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129" fillId="33" borderId="21" xfId="1652" applyFont="1" applyFill="1" applyBorder="1" applyAlignment="1">
      <alignment vertical="center" wrapText="1"/>
    </xf>
    <xf numFmtId="0" fontId="129" fillId="33" borderId="20" xfId="1652" applyFont="1" applyFill="1" applyBorder="1" applyAlignment="1">
      <alignment horizontal="center" vertical="center"/>
    </xf>
    <xf numFmtId="0" fontId="40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09" fillId="0" borderId="21" xfId="1652" applyFont="1" applyBorder="1" applyAlignment="1">
      <alignment vertical="center"/>
    </xf>
    <xf numFmtId="0" fontId="40" fillId="0" borderId="20" xfId="1652" applyFont="1" applyBorder="1" applyAlignment="1">
      <alignment horizontal="center" vertical="center"/>
    </xf>
    <xf numFmtId="0" fontId="40" fillId="0" borderId="21" xfId="1652" applyFont="1" applyBorder="1" applyAlignment="1">
      <alignment vertical="center"/>
    </xf>
    <xf numFmtId="0" fontId="134" fillId="33" borderId="21" xfId="1615" applyFont="1" applyFill="1" applyBorder="1" applyAlignment="1">
      <alignment horizontal="center" vertical="center"/>
    </xf>
    <xf numFmtId="0" fontId="6" fillId="33" borderId="21" xfId="1614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35" fillId="0" borderId="0" xfId="1614" applyFont="1" applyAlignment="1">
      <alignment horizontal="center" vertical="center"/>
    </xf>
    <xf numFmtId="0" fontId="151" fillId="33" borderId="0" xfId="0" applyFont="1" applyFill="1" applyAlignment="1">
      <alignment horizontal="center"/>
    </xf>
    <xf numFmtId="0" fontId="151" fillId="33" borderId="26" xfId="0" applyFont="1" applyFill="1" applyBorder="1" applyAlignment="1">
      <alignment horizontal="center"/>
    </xf>
    <xf numFmtId="0" fontId="151" fillId="33" borderId="36" xfId="0" applyFont="1" applyFill="1" applyBorder="1" applyAlignment="1">
      <alignment horizontal="center"/>
    </xf>
    <xf numFmtId="0" fontId="151" fillId="33" borderId="28" xfId="0" applyFont="1" applyFill="1" applyBorder="1" applyAlignment="1">
      <alignment horizontal="center"/>
    </xf>
    <xf numFmtId="0" fontId="153" fillId="0" borderId="0" xfId="2669" applyFont="1" applyAlignment="1">
      <alignment vertical="center"/>
    </xf>
    <xf numFmtId="0" fontId="154" fillId="0" borderId="0" xfId="1450" applyFont="1" applyAlignment="1">
      <alignment horizontal="center"/>
    </xf>
    <xf numFmtId="0" fontId="154" fillId="0" borderId="3" xfId="1450" applyFont="1" applyBorder="1" applyAlignment="1">
      <alignment horizontal="center"/>
    </xf>
    <xf numFmtId="0" fontId="155" fillId="33" borderId="18" xfId="0" applyFont="1" applyFill="1" applyBorder="1" applyAlignment="1">
      <alignment horizontal="left"/>
    </xf>
    <xf numFmtId="0" fontId="151" fillId="33" borderId="37" xfId="0" applyFont="1" applyFill="1" applyBorder="1" applyAlignment="1">
      <alignment horizontal="center"/>
    </xf>
    <xf numFmtId="0" fontId="151" fillId="33" borderId="3" xfId="0" applyFont="1" applyFill="1" applyBorder="1" applyAlignment="1">
      <alignment horizontal="center"/>
    </xf>
    <xf numFmtId="0" fontId="151" fillId="33" borderId="39" xfId="0" applyFont="1" applyFill="1" applyBorder="1" applyAlignment="1">
      <alignment horizontal="center"/>
    </xf>
    <xf numFmtId="0" fontId="154" fillId="33" borderId="0" xfId="0" applyFont="1" applyFill="1" applyAlignment="1">
      <alignment horizontal="center"/>
    </xf>
    <xf numFmtId="0" fontId="156" fillId="33" borderId="28" xfId="0" applyFont="1" applyFill="1" applyBorder="1" applyAlignment="1">
      <alignment horizontal="center"/>
    </xf>
    <xf numFmtId="0" fontId="156" fillId="33" borderId="0" xfId="0" applyFont="1" applyFill="1" applyAlignment="1">
      <alignment horizontal="center"/>
    </xf>
    <xf numFmtId="0" fontId="151" fillId="33" borderId="38" xfId="0" applyFont="1" applyFill="1" applyBorder="1" applyAlignment="1">
      <alignment horizontal="center"/>
    </xf>
    <xf numFmtId="0" fontId="158" fillId="33" borderId="83" xfId="0" applyFont="1" applyFill="1" applyBorder="1" applyAlignment="1">
      <alignment horizontal="center" vertical="center"/>
    </xf>
    <xf numFmtId="0" fontId="158" fillId="33" borderId="84" xfId="0" applyFont="1" applyFill="1" applyBorder="1" applyAlignment="1">
      <alignment horizontal="center" vertical="center"/>
    </xf>
    <xf numFmtId="0" fontId="151" fillId="33" borderId="3" xfId="0" applyFont="1" applyFill="1" applyBorder="1" applyAlignment="1">
      <alignment horizontal="left" vertical="center"/>
    </xf>
    <xf numFmtId="0" fontId="151" fillId="33" borderId="3" xfId="0" applyFont="1" applyFill="1" applyBorder="1" applyAlignment="1">
      <alignment horizontal="center" vertical="center"/>
    </xf>
    <xf numFmtId="0" fontId="151" fillId="33" borderId="39" xfId="0" applyFont="1" applyFill="1" applyBorder="1" applyAlignment="1">
      <alignment horizontal="center" vertical="center"/>
    </xf>
    <xf numFmtId="0" fontId="160" fillId="33" borderId="87" xfId="0" applyFont="1" applyFill="1" applyBorder="1" applyAlignment="1">
      <alignment horizontal="center" vertical="center"/>
    </xf>
    <xf numFmtId="0" fontId="158" fillId="33" borderId="88" xfId="0" applyFont="1" applyFill="1" applyBorder="1" applyAlignment="1">
      <alignment horizontal="center" vertical="center"/>
    </xf>
    <xf numFmtId="0" fontId="161" fillId="33" borderId="0" xfId="0" applyFont="1" applyFill="1" applyAlignment="1">
      <alignment horizontal="center"/>
    </xf>
    <xf numFmtId="49" fontId="151" fillId="33" borderId="7" xfId="0" applyNumberFormat="1" applyFont="1" applyFill="1" applyBorder="1" applyAlignment="1">
      <alignment horizontal="center" vertical="top" wrapText="1"/>
    </xf>
    <xf numFmtId="49" fontId="151" fillId="33" borderId="78" xfId="0" applyNumberFormat="1" applyFont="1" applyFill="1" applyBorder="1" applyAlignment="1">
      <alignment horizontal="center" vertical="top" wrapText="1"/>
    </xf>
    <xf numFmtId="0" fontId="151" fillId="33" borderId="3" xfId="0" applyFont="1" applyFill="1" applyBorder="1" applyAlignment="1">
      <alignment vertical="top" wrapText="1"/>
    </xf>
    <xf numFmtId="0" fontId="151" fillId="33" borderId="39" xfId="0" applyFont="1" applyFill="1" applyBorder="1" applyAlignment="1">
      <alignment vertical="top" wrapText="1"/>
    </xf>
    <xf numFmtId="0" fontId="160" fillId="33" borderId="93" xfId="0" applyFont="1" applyFill="1" applyBorder="1" applyAlignment="1">
      <alignment horizontal="center" vertical="center"/>
    </xf>
    <xf numFmtId="0" fontId="151" fillId="33" borderId="7" xfId="0" applyFont="1" applyFill="1" applyBorder="1" applyAlignment="1">
      <alignment horizontal="center" vertical="top" wrapText="1"/>
    </xf>
    <xf numFmtId="0" fontId="151" fillId="33" borderId="78" xfId="0" applyFont="1" applyFill="1" applyBorder="1" applyAlignment="1">
      <alignment horizontal="center" vertical="top" wrapText="1"/>
    </xf>
    <xf numFmtId="0" fontId="162" fillId="33" borderId="96" xfId="0" applyFont="1" applyFill="1" applyBorder="1" applyAlignment="1">
      <alignment horizontal="center" vertical="top" wrapText="1"/>
    </xf>
    <xf numFmtId="0" fontId="162" fillId="33" borderId="97" xfId="0" applyFont="1" applyFill="1" applyBorder="1" applyAlignment="1">
      <alignment horizontal="center" vertical="top" wrapText="1"/>
    </xf>
    <xf numFmtId="0" fontId="151" fillId="33" borderId="40" xfId="0" applyFont="1" applyFill="1" applyBorder="1" applyAlignment="1">
      <alignment horizontal="center"/>
    </xf>
    <xf numFmtId="0" fontId="151" fillId="33" borderId="41" xfId="0" applyFont="1" applyFill="1" applyBorder="1" applyAlignment="1">
      <alignment vertical="top" wrapText="1"/>
    </xf>
    <xf numFmtId="0" fontId="151" fillId="33" borderId="42" xfId="0" applyFont="1" applyFill="1" applyBorder="1" applyAlignment="1">
      <alignment vertical="top" wrapText="1"/>
    </xf>
    <xf numFmtId="0" fontId="151" fillId="33" borderId="77" xfId="0" applyFont="1" applyFill="1" applyBorder="1" applyAlignment="1">
      <alignment vertical="top" wrapText="1"/>
    </xf>
    <xf numFmtId="0" fontId="162" fillId="33" borderId="28" xfId="0" applyFont="1" applyFill="1" applyBorder="1" applyAlignment="1">
      <alignment horizontal="center"/>
    </xf>
    <xf numFmtId="0" fontId="162" fillId="33" borderId="0" xfId="0" applyFont="1" applyFill="1" applyAlignment="1">
      <alignment horizontal="center"/>
    </xf>
    <xf numFmtId="20" fontId="151" fillId="33" borderId="39" xfId="0" applyNumberFormat="1" applyFont="1" applyFill="1" applyBorder="1" applyAlignment="1">
      <alignment horizontal="center"/>
    </xf>
    <xf numFmtId="0" fontId="151" fillId="33" borderId="40" xfId="0" applyFont="1" applyFill="1" applyBorder="1" applyAlignment="1">
      <alignment horizontal="center" vertical="center" wrapText="1"/>
    </xf>
    <xf numFmtId="0" fontId="162" fillId="33" borderId="34" xfId="0" applyFont="1" applyFill="1" applyBorder="1" applyAlignment="1">
      <alignment horizontal="center"/>
    </xf>
    <xf numFmtId="0" fontId="162" fillId="33" borderId="19" xfId="0" applyFont="1" applyFill="1" applyBorder="1" applyAlignment="1">
      <alignment horizontal="center"/>
    </xf>
    <xf numFmtId="0" fontId="151" fillId="33" borderId="19" xfId="0" applyFont="1" applyFill="1" applyBorder="1" applyAlignment="1">
      <alignment horizontal="center"/>
    </xf>
    <xf numFmtId="0" fontId="151" fillId="33" borderId="98" xfId="0" applyFont="1" applyFill="1" applyBorder="1" applyAlignment="1">
      <alignment horizontal="center"/>
    </xf>
    <xf numFmtId="0" fontId="163" fillId="0" borderId="26" xfId="1451" applyFont="1" applyBorder="1"/>
    <xf numFmtId="0" fontId="163" fillId="0" borderId="36" xfId="1451" applyFont="1" applyBorder="1"/>
    <xf numFmtId="0" fontId="163" fillId="0" borderId="43" xfId="1451" applyFont="1" applyBorder="1"/>
    <xf numFmtId="0" fontId="163" fillId="0" borderId="0" xfId="1451" applyFont="1"/>
    <xf numFmtId="0" fontId="163" fillId="0" borderId="28" xfId="1451" applyFont="1" applyBorder="1"/>
    <xf numFmtId="0" fontId="163" fillId="0" borderId="37" xfId="1451" applyFont="1" applyBorder="1"/>
    <xf numFmtId="0" fontId="164" fillId="35" borderId="0" xfId="1451" applyFont="1" applyFill="1" applyAlignment="1">
      <alignment vertical="center"/>
    </xf>
    <xf numFmtId="0" fontId="165" fillId="0" borderId="0" xfId="1451" applyFont="1" applyAlignment="1">
      <alignment vertical="center"/>
    </xf>
    <xf numFmtId="0" fontId="166" fillId="0" borderId="0" xfId="1451" applyFont="1"/>
    <xf numFmtId="0" fontId="164" fillId="0" borderId="0" xfId="1451" applyFont="1" applyAlignment="1">
      <alignment vertical="center"/>
    </xf>
    <xf numFmtId="0" fontId="168" fillId="0" borderId="0" xfId="1451" applyFont="1" applyAlignment="1">
      <alignment horizontal="center" vertical="center"/>
    </xf>
    <xf numFmtId="0" fontId="169" fillId="0" borderId="0" xfId="1451" applyFont="1"/>
    <xf numFmtId="0" fontId="170" fillId="0" borderId="0" xfId="1451" applyFont="1"/>
    <xf numFmtId="0" fontId="155" fillId="0" borderId="0" xfId="1451" applyFont="1" applyAlignment="1">
      <alignment vertical="center"/>
    </xf>
    <xf numFmtId="0" fontId="155" fillId="0" borderId="37" xfId="1451" applyFont="1" applyBorder="1" applyAlignment="1">
      <alignment vertical="center"/>
    </xf>
    <xf numFmtId="0" fontId="163" fillId="0" borderId="34" xfId="1451" applyFont="1" applyBorder="1"/>
    <xf numFmtId="0" fontId="163" fillId="0" borderId="19" xfId="1451" applyFont="1" applyBorder="1"/>
    <xf numFmtId="0" fontId="170" fillId="0" borderId="19" xfId="1451" applyFont="1" applyBorder="1" applyAlignment="1">
      <alignment horizontal="center"/>
    </xf>
    <xf numFmtId="0" fontId="170" fillId="0" borderId="19" xfId="1451" applyFont="1" applyBorder="1"/>
    <xf numFmtId="0" fontId="155" fillId="0" borderId="19" xfId="1451" applyFont="1" applyBorder="1" applyAlignment="1">
      <alignment vertical="center"/>
    </xf>
    <xf numFmtId="0" fontId="155" fillId="0" borderId="19" xfId="1451" applyFont="1" applyBorder="1" applyAlignment="1">
      <alignment horizontal="center" vertical="center"/>
    </xf>
    <xf numFmtId="0" fontId="155" fillId="0" borderId="31" xfId="1451" applyFont="1" applyBorder="1" applyAlignment="1">
      <alignment vertical="center"/>
    </xf>
    <xf numFmtId="0" fontId="155" fillId="0" borderId="0" xfId="1451" applyFont="1" applyAlignment="1">
      <alignment horizontal="center" vertical="center"/>
    </xf>
    <xf numFmtId="0" fontId="163" fillId="0" borderId="0" xfId="1451" applyFont="1" applyAlignment="1">
      <alignment horizontal="center" vertical="center"/>
    </xf>
    <xf numFmtId="0" fontId="163" fillId="0" borderId="0" xfId="1451" applyFont="1" applyAlignment="1">
      <alignment horizontal="center"/>
    </xf>
    <xf numFmtId="0" fontId="163" fillId="33" borderId="0" xfId="1451" applyFont="1" applyFill="1"/>
    <xf numFmtId="0" fontId="163" fillId="33" borderId="26" xfId="1451" applyFont="1" applyFill="1" applyBorder="1"/>
    <xf numFmtId="0" fontId="163" fillId="33" borderId="36" xfId="1451" applyFont="1" applyFill="1" applyBorder="1"/>
    <xf numFmtId="0" fontId="163" fillId="33" borderId="43" xfId="1451" applyFont="1" applyFill="1" applyBorder="1"/>
    <xf numFmtId="0" fontId="163" fillId="33" borderId="28" xfId="1451" applyFont="1" applyFill="1" applyBorder="1"/>
    <xf numFmtId="0" fontId="163" fillId="33" borderId="37" xfId="1451" applyFont="1" applyFill="1" applyBorder="1"/>
    <xf numFmtId="0" fontId="165" fillId="33" borderId="0" xfId="1451" applyFont="1" applyFill="1" applyAlignment="1">
      <alignment vertical="center"/>
    </xf>
    <xf numFmtId="0" fontId="168" fillId="33" borderId="0" xfId="1451" applyFont="1" applyFill="1" applyAlignment="1">
      <alignment horizontal="center" vertical="center"/>
    </xf>
    <xf numFmtId="0" fontId="164" fillId="33" borderId="0" xfId="1451" applyFont="1" applyFill="1" applyAlignment="1">
      <alignment vertical="center"/>
    </xf>
    <xf numFmtId="0" fontId="169" fillId="33" borderId="0" xfId="1451" applyFont="1" applyFill="1"/>
    <xf numFmtId="0" fontId="170" fillId="33" borderId="0" xfId="1451" applyFont="1" applyFill="1"/>
    <xf numFmtId="0" fontId="155" fillId="33" borderId="0" xfId="1451" applyFont="1" applyFill="1" applyAlignment="1">
      <alignment vertical="center"/>
    </xf>
    <xf numFmtId="0" fontId="155" fillId="33" borderId="37" xfId="1451" applyFont="1" applyFill="1" applyBorder="1" applyAlignment="1">
      <alignment vertical="center"/>
    </xf>
    <xf numFmtId="0" fontId="170" fillId="33" borderId="0" xfId="1451" applyFont="1" applyFill="1" applyAlignment="1">
      <alignment horizontal="center"/>
    </xf>
    <xf numFmtId="0" fontId="155" fillId="33" borderId="0" xfId="1451" applyFont="1" applyFill="1" applyAlignment="1">
      <alignment horizontal="center" vertical="center"/>
    </xf>
    <xf numFmtId="0" fontId="155" fillId="33" borderId="37" xfId="1451" applyFont="1" applyFill="1" applyBorder="1" applyAlignment="1">
      <alignment horizontal="center" vertical="center"/>
    </xf>
    <xf numFmtId="0" fontId="171" fillId="33" borderId="0" xfId="1451" applyFont="1" applyFill="1" applyAlignment="1">
      <alignment vertical="center"/>
    </xf>
    <xf numFmtId="0" fontId="171" fillId="33" borderId="37" xfId="1451" applyFont="1" applyFill="1" applyBorder="1" applyAlignment="1">
      <alignment vertical="center"/>
    </xf>
    <xf numFmtId="0" fontId="163" fillId="33" borderId="34" xfId="1451" applyFont="1" applyFill="1" applyBorder="1"/>
    <xf numFmtId="0" fontId="163" fillId="33" borderId="19" xfId="1451" applyFont="1" applyFill="1" applyBorder="1"/>
    <xf numFmtId="0" fontId="155" fillId="33" borderId="19" xfId="1451" applyFont="1" applyFill="1" applyBorder="1" applyAlignment="1">
      <alignment vertical="center"/>
    </xf>
    <xf numFmtId="0" fontId="155" fillId="33" borderId="19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vertical="center"/>
    </xf>
    <xf numFmtId="0" fontId="163" fillId="33" borderId="31" xfId="1451" applyFont="1" applyFill="1" applyBorder="1"/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54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0" xfId="1615" applyNumberFormat="1" applyFont="1" applyFill="1" applyBorder="1" applyAlignment="1">
      <alignment horizontal="center" vertical="center"/>
    </xf>
    <xf numFmtId="3" fontId="39" fillId="31" borderId="41" xfId="1615" applyNumberFormat="1" applyFont="1" applyFill="1" applyBorder="1" applyAlignment="1">
      <alignment horizontal="center" vertical="center"/>
    </xf>
    <xf numFmtId="3" fontId="39" fillId="31" borderId="55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43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3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0" fontId="48" fillId="0" borderId="3" xfId="1614" applyFont="1" applyBorder="1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6" fillId="0" borderId="46" xfId="1614" applyFont="1" applyBorder="1" applyAlignment="1">
      <alignment horizontal="center" vertical="center"/>
    </xf>
    <xf numFmtId="0" fontId="46" fillId="0" borderId="44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48" xfId="1614" applyFont="1" applyBorder="1" applyAlignment="1">
      <alignment horizontal="center" vertical="center"/>
    </xf>
    <xf numFmtId="0" fontId="46" fillId="0" borderId="47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49" xfId="1614" applyFont="1" applyBorder="1" applyAlignment="1">
      <alignment horizontal="center" vertical="center"/>
    </xf>
    <xf numFmtId="170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4" fillId="0" borderId="72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73" xfId="2673" applyBorder="1" applyAlignment="1">
      <alignment horizontal="center" vertical="center" wrapText="1"/>
    </xf>
    <xf numFmtId="9" fontId="147" fillId="0" borderId="0" xfId="2675" applyFont="1" applyFill="1" applyBorder="1" applyAlignment="1">
      <alignment horizontal="center" vertical="center" wrapText="1"/>
    </xf>
    <xf numFmtId="0" fontId="144" fillId="37" borderId="0" xfId="2673" applyFont="1" applyFill="1" applyAlignment="1">
      <alignment horizontal="left" vertical="center" wrapText="1"/>
    </xf>
    <xf numFmtId="166" fontId="125" fillId="35" borderId="7" xfId="2673" applyNumberFormat="1" applyFont="1" applyFill="1" applyBorder="1" applyAlignment="1">
      <alignment horizontal="center" vertical="center" wrapText="1"/>
    </xf>
    <xf numFmtId="0" fontId="125" fillId="35" borderId="50" xfId="2673" applyFont="1" applyFill="1" applyBorder="1" applyAlignment="1">
      <alignment horizontal="center" vertical="center" wrapText="1"/>
    </xf>
    <xf numFmtId="2" fontId="114" fillId="35" borderId="51" xfId="2673" applyNumberFormat="1" applyFont="1" applyFill="1" applyBorder="1" applyAlignment="1">
      <alignment horizontal="center" vertical="center" wrapText="1"/>
    </xf>
    <xf numFmtId="2" fontId="114" fillId="35" borderId="71" xfId="2673" applyNumberFormat="1" applyFont="1" applyFill="1" applyBorder="1" applyAlignment="1">
      <alignment horizontal="center" vertical="center" wrapText="1"/>
    </xf>
    <xf numFmtId="0" fontId="140" fillId="41" borderId="67" xfId="2673" applyFont="1" applyFill="1" applyBorder="1" applyAlignment="1">
      <alignment horizontal="center" vertical="center" wrapText="1"/>
    </xf>
    <xf numFmtId="0" fontId="140" fillId="41" borderId="68" xfId="2673" applyFont="1" applyFill="1" applyBorder="1" applyAlignment="1">
      <alignment horizontal="center" vertical="center" wrapText="1"/>
    </xf>
    <xf numFmtId="0" fontId="140" fillId="41" borderId="69" xfId="2673" applyFont="1" applyFill="1" applyBorder="1" applyAlignment="1">
      <alignment horizontal="center" vertical="center" wrapText="1"/>
    </xf>
    <xf numFmtId="0" fontId="114" fillId="35" borderId="7" xfId="2673" applyFont="1" applyFill="1" applyBorder="1" applyAlignment="1">
      <alignment horizontal="center" vertical="center" wrapText="1"/>
    </xf>
    <xf numFmtId="0" fontId="114" fillId="35" borderId="50" xfId="2673" applyFont="1" applyFill="1" applyBorder="1" applyAlignment="1">
      <alignment horizontal="center" vertical="center" wrapText="1"/>
    </xf>
    <xf numFmtId="1" fontId="125" fillId="35" borderId="7" xfId="2673" applyNumberFormat="1" applyFont="1" applyFill="1" applyBorder="1" applyAlignment="1">
      <alignment horizontal="center" vertical="center" wrapText="1"/>
    </xf>
    <xf numFmtId="1" fontId="125" fillId="35" borderId="50" xfId="2673" applyNumberFormat="1" applyFont="1" applyFill="1" applyBorder="1" applyAlignment="1">
      <alignment horizontal="center" vertical="center" wrapText="1"/>
    </xf>
    <xf numFmtId="166" fontId="125" fillId="0" borderId="48" xfId="2673" applyNumberFormat="1" applyFont="1" applyBorder="1" applyAlignment="1">
      <alignment horizontal="center" vertical="center" wrapText="1"/>
    </xf>
    <xf numFmtId="0" fontId="125" fillId="0" borderId="49" xfId="2673" applyFont="1" applyBorder="1" applyAlignment="1">
      <alignment horizontal="center" vertical="center" wrapText="1"/>
    </xf>
    <xf numFmtId="9" fontId="114" fillId="0" borderId="52" xfId="2675" applyFont="1" applyFill="1" applyBorder="1" applyAlignment="1">
      <alignment horizontal="center" vertical="center" wrapText="1"/>
    </xf>
    <xf numFmtId="9" fontId="114" fillId="0" borderId="53" xfId="2675" applyFont="1" applyFill="1" applyBorder="1" applyAlignment="1">
      <alignment horizontal="center" vertical="center" wrapText="1"/>
    </xf>
    <xf numFmtId="1" fontId="125" fillId="0" borderId="3" xfId="2673" applyNumberFormat="1" applyFont="1" applyBorder="1" applyAlignment="1">
      <alignment horizontal="center" vertical="center" wrapText="1"/>
    </xf>
    <xf numFmtId="1" fontId="125" fillId="0" borderId="39" xfId="2673" applyNumberFormat="1" applyFont="1" applyBorder="1" applyAlignment="1">
      <alignment horizontal="center" vertical="center" wrapText="1"/>
    </xf>
    <xf numFmtId="2" fontId="114" fillId="0" borderId="3" xfId="2673" applyNumberFormat="1" applyFont="1" applyBorder="1" applyAlignment="1">
      <alignment horizontal="center" vertical="center" wrapText="1"/>
    </xf>
    <xf numFmtId="2" fontId="114" fillId="0" borderId="39" xfId="2673" applyNumberFormat="1" applyFont="1" applyBorder="1" applyAlignment="1">
      <alignment horizontal="center" vertical="center" wrapText="1"/>
    </xf>
    <xf numFmtId="9" fontId="114" fillId="35" borderId="52" xfId="2675" applyFont="1" applyFill="1" applyBorder="1" applyAlignment="1">
      <alignment horizontal="center" vertical="center" wrapText="1"/>
    </xf>
    <xf numFmtId="9" fontId="114" fillId="35" borderId="53" xfId="2675" applyFont="1" applyFill="1" applyBorder="1" applyAlignment="1">
      <alignment horizontal="center" vertical="center" wrapText="1"/>
    </xf>
    <xf numFmtId="2" fontId="114" fillId="35" borderId="3" xfId="2673" applyNumberFormat="1" applyFont="1" applyFill="1" applyBorder="1" applyAlignment="1">
      <alignment horizontal="center" vertical="center" wrapText="1"/>
    </xf>
    <xf numFmtId="2" fontId="114" fillId="35" borderId="39" xfId="2673" applyNumberFormat="1" applyFont="1" applyFill="1" applyBorder="1" applyAlignment="1">
      <alignment horizontal="center" vertical="center" wrapText="1"/>
    </xf>
    <xf numFmtId="0" fontId="143" fillId="0" borderId="45" xfId="2673" applyFont="1" applyBorder="1" applyAlignment="1">
      <alignment horizontal="center" vertical="center" wrapText="1"/>
    </xf>
    <xf numFmtId="0" fontId="143" fillId="0" borderId="50" xfId="2673" applyFont="1" applyBorder="1" applyAlignment="1">
      <alignment horizontal="center" vertical="center" wrapText="1"/>
    </xf>
    <xf numFmtId="0" fontId="143" fillId="44" borderId="3" xfId="2673" applyFont="1" applyFill="1" applyBorder="1" applyAlignment="1">
      <alignment horizontal="center" vertical="center" wrapText="1"/>
    </xf>
    <xf numFmtId="0" fontId="143" fillId="44" borderId="39" xfId="2673" applyFont="1" applyFill="1" applyBorder="1" applyAlignment="1">
      <alignment horizontal="center" vertical="center" wrapText="1"/>
    </xf>
    <xf numFmtId="1" fontId="114" fillId="0" borderId="3" xfId="2673" applyNumberFormat="1" applyFont="1" applyBorder="1" applyAlignment="1">
      <alignment horizontal="center" vertical="center" wrapText="1"/>
    </xf>
    <xf numFmtId="1" fontId="114" fillId="0" borderId="39" xfId="2673" applyNumberFormat="1" applyFont="1" applyBorder="1" applyAlignment="1">
      <alignment horizontal="center" vertical="center" wrapText="1"/>
    </xf>
    <xf numFmtId="2" fontId="114" fillId="45" borderId="3" xfId="2673" applyNumberFormat="1" applyFont="1" applyFill="1" applyBorder="1" applyAlignment="1">
      <alignment horizontal="center" vertical="center" wrapText="1"/>
    </xf>
    <xf numFmtId="2" fontId="114" fillId="45" borderId="39" xfId="2673" applyNumberFormat="1" applyFont="1" applyFill="1" applyBorder="1" applyAlignment="1">
      <alignment horizontal="center" vertical="center" wrapText="1"/>
    </xf>
    <xf numFmtId="0" fontId="140" fillId="42" borderId="67" xfId="2673" applyFont="1" applyFill="1" applyBorder="1" applyAlignment="1">
      <alignment horizontal="center" vertical="center" wrapText="1"/>
    </xf>
    <xf numFmtId="0" fontId="140" fillId="42" borderId="68" xfId="2673" applyFont="1" applyFill="1" applyBorder="1" applyAlignment="1">
      <alignment horizontal="center" vertical="center" wrapText="1"/>
    </xf>
    <xf numFmtId="0" fontId="140" fillId="42" borderId="69" xfId="2673" applyFont="1" applyFill="1" applyBorder="1" applyAlignment="1">
      <alignment horizontal="center" vertical="center" wrapText="1"/>
    </xf>
    <xf numFmtId="166" fontId="125" fillId="43" borderId="7" xfId="2673" applyNumberFormat="1" applyFont="1" applyFill="1" applyBorder="1" applyAlignment="1">
      <alignment horizontal="center" vertical="center" wrapText="1"/>
    </xf>
    <xf numFmtId="0" fontId="125" fillId="43" borderId="50" xfId="2673" applyFont="1" applyFill="1" applyBorder="1" applyAlignment="1">
      <alignment horizontal="center" vertical="center" wrapText="1"/>
    </xf>
    <xf numFmtId="1" fontId="114" fillId="43" borderId="7" xfId="2673" applyNumberFormat="1" applyFont="1" applyFill="1" applyBorder="1" applyAlignment="1">
      <alignment horizontal="center" vertical="center" wrapText="1"/>
    </xf>
    <xf numFmtId="1" fontId="114" fillId="43" borderId="50" xfId="2673" applyNumberFormat="1" applyFont="1" applyFill="1" applyBorder="1" applyAlignment="1">
      <alignment horizontal="center" vertical="center" wrapText="1"/>
    </xf>
    <xf numFmtId="0" fontId="114" fillId="43" borderId="7" xfId="2673" applyFont="1" applyFill="1" applyBorder="1" applyAlignment="1">
      <alignment horizontal="center" vertical="center" wrapText="1"/>
    </xf>
    <xf numFmtId="0" fontId="114" fillId="43" borderId="50" xfId="2673" applyFont="1" applyFill="1" applyBorder="1" applyAlignment="1">
      <alignment horizontal="center" vertical="center" wrapText="1"/>
    </xf>
    <xf numFmtId="1" fontId="125" fillId="44" borderId="45" xfId="2673" applyNumberFormat="1" applyFont="1" applyFill="1" applyBorder="1" applyAlignment="1">
      <alignment horizontal="center" vertical="center" wrapText="1"/>
    </xf>
    <xf numFmtId="1" fontId="125" fillId="44" borderId="50" xfId="2673" applyNumberFormat="1" applyFont="1" applyFill="1" applyBorder="1" applyAlignment="1">
      <alignment horizontal="center" vertical="center" wrapText="1"/>
    </xf>
    <xf numFmtId="2" fontId="114" fillId="43" borderId="51" xfId="2673" applyNumberFormat="1" applyFont="1" applyFill="1" applyBorder="1" applyAlignment="1">
      <alignment horizontal="center" vertical="center" wrapText="1"/>
    </xf>
    <xf numFmtId="2" fontId="114" fillId="43" borderId="71" xfId="2673" applyNumberFormat="1" applyFont="1" applyFill="1" applyBorder="1" applyAlignment="1">
      <alignment horizontal="center" vertical="center" wrapText="1"/>
    </xf>
    <xf numFmtId="166" fontId="125" fillId="44" borderId="75" xfId="2673" applyNumberFormat="1" applyFont="1" applyFill="1" applyBorder="1" applyAlignment="1">
      <alignment horizontal="center" vertical="center" wrapText="1"/>
    </xf>
    <xf numFmtId="166" fontId="125" fillId="44" borderId="69" xfId="2673" applyNumberFormat="1" applyFont="1" applyFill="1" applyBorder="1" applyAlignment="1">
      <alignment horizontal="center" vertical="center" wrapText="1"/>
    </xf>
    <xf numFmtId="0" fontId="5" fillId="34" borderId="56" xfId="2670" applyFill="1" applyBorder="1" applyAlignment="1">
      <alignment horizontal="center" vertical="center"/>
    </xf>
    <xf numFmtId="0" fontId="117" fillId="0" borderId="57" xfId="2670" applyFont="1" applyBorder="1" applyAlignment="1">
      <alignment horizontal="left" vertical="center"/>
    </xf>
    <xf numFmtId="0" fontId="48" fillId="0" borderId="42" xfId="1538" applyFont="1" applyBorder="1" applyAlignment="1">
      <alignment horizontal="left"/>
    </xf>
    <xf numFmtId="0" fontId="107" fillId="38" borderId="3" xfId="1538" applyFill="1" applyBorder="1" applyAlignment="1">
      <alignment horizontal="center" vertical="center"/>
    </xf>
    <xf numFmtId="0" fontId="107" fillId="38" borderId="3" xfId="1538" applyFill="1" applyBorder="1" applyAlignment="1">
      <alignment horizontal="center" vertical="center" wrapText="1"/>
    </xf>
    <xf numFmtId="0" fontId="98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31" fillId="30" borderId="3" xfId="1614" applyFont="1" applyFill="1" applyBorder="1" applyAlignment="1">
      <alignment horizontal="center" vertical="center"/>
    </xf>
    <xf numFmtId="0" fontId="132" fillId="0" borderId="0" xfId="1652" applyFont="1" applyAlignment="1">
      <alignment horizontal="center" vertical="center"/>
    </xf>
    <xf numFmtId="37" fontId="129" fillId="0" borderId="36" xfId="1614" applyNumberFormat="1" applyFont="1" applyBorder="1" applyAlignment="1">
      <alignment horizontal="center"/>
    </xf>
    <xf numFmtId="0" fontId="133" fillId="35" borderId="46" xfId="1614" applyFont="1" applyFill="1" applyBorder="1" applyAlignment="1">
      <alignment horizontal="center" vertical="center"/>
    </xf>
    <xf numFmtId="0" fontId="133" fillId="35" borderId="44" xfId="1614" applyFont="1" applyFill="1" applyBorder="1" applyAlignment="1">
      <alignment horizontal="center" vertical="center"/>
    </xf>
    <xf numFmtId="0" fontId="133" fillId="35" borderId="47" xfId="1614" applyFont="1" applyFill="1" applyBorder="1" applyAlignment="1">
      <alignment horizontal="center" vertical="center"/>
    </xf>
    <xf numFmtId="0" fontId="133" fillId="35" borderId="21" xfId="1614" applyFont="1" applyFill="1" applyBorder="1" applyAlignment="1">
      <alignment horizontal="center" vertical="center"/>
    </xf>
    <xf numFmtId="0" fontId="133" fillId="35" borderId="33" xfId="1614" applyFont="1" applyFill="1" applyBorder="1" applyAlignment="1">
      <alignment horizontal="center" vertical="center"/>
    </xf>
    <xf numFmtId="0" fontId="133" fillId="35" borderId="48" xfId="1614" applyFont="1" applyFill="1" applyBorder="1" applyAlignment="1">
      <alignment horizontal="center" vertical="center"/>
    </xf>
    <xf numFmtId="0" fontId="133" fillId="35" borderId="3" xfId="1614" applyFont="1" applyFill="1" applyBorder="1" applyAlignment="1">
      <alignment horizontal="center" vertical="center"/>
    </xf>
    <xf numFmtId="0" fontId="133" fillId="35" borderId="47" xfId="1614" applyFont="1" applyFill="1" applyBorder="1" applyAlignment="1">
      <alignment horizontal="center" vertical="center" wrapText="1"/>
    </xf>
    <xf numFmtId="0" fontId="133" fillId="35" borderId="21" xfId="1614" applyFont="1" applyFill="1" applyBorder="1" applyAlignment="1">
      <alignment horizontal="center" vertical="center" wrapText="1"/>
    </xf>
    <xf numFmtId="0" fontId="133" fillId="35" borderId="33" xfId="1614" applyFont="1" applyFill="1" applyBorder="1" applyAlignment="1">
      <alignment horizontal="center" vertical="center" wrapText="1"/>
    </xf>
    <xf numFmtId="0" fontId="133" fillId="35" borderId="35" xfId="1652" applyFont="1" applyFill="1" applyBorder="1" applyAlignment="1">
      <alignment horizontal="center" vertical="center" wrapText="1"/>
    </xf>
    <xf numFmtId="0" fontId="133" fillId="35" borderId="33" xfId="1652" applyFont="1" applyFill="1" applyBorder="1" applyAlignment="1">
      <alignment horizontal="center" vertical="center" wrapText="1"/>
    </xf>
    <xf numFmtId="0" fontId="133" fillId="35" borderId="49" xfId="1614" applyFont="1" applyFill="1" applyBorder="1" applyAlignment="1">
      <alignment horizontal="center" vertical="center"/>
    </xf>
    <xf numFmtId="0" fontId="133" fillId="35" borderId="39" xfId="1614" applyFont="1" applyFill="1" applyBorder="1" applyAlignment="1">
      <alignment horizontal="center" vertical="center"/>
    </xf>
    <xf numFmtId="0" fontId="128" fillId="0" borderId="0" xfId="1644" applyFont="1" applyAlignment="1">
      <alignment horizontal="center" vertical="center"/>
    </xf>
    <xf numFmtId="37" fontId="135" fillId="0" borderId="19" xfId="1614" applyNumberFormat="1" applyFont="1" applyBorder="1" applyAlignment="1">
      <alignment horizontal="center"/>
    </xf>
    <xf numFmtId="37" fontId="129" fillId="0" borderId="0" xfId="1614" applyNumberFormat="1" applyFont="1" applyAlignment="1">
      <alignment horizontal="center"/>
    </xf>
    <xf numFmtId="0" fontId="149" fillId="0" borderId="26" xfId="1614" applyFont="1" applyBorder="1" applyAlignment="1">
      <alignment horizontal="left" vertical="center" wrapText="1"/>
    </xf>
    <xf numFmtId="0" fontId="149" fillId="0" borderId="36" xfId="1614" applyFont="1" applyBorder="1" applyAlignment="1">
      <alignment horizontal="left" vertical="center" wrapText="1"/>
    </xf>
    <xf numFmtId="0" fontId="149" fillId="0" borderId="43" xfId="1614" applyFont="1" applyBorder="1" applyAlignment="1">
      <alignment horizontal="left" vertical="center" wrapText="1"/>
    </xf>
    <xf numFmtId="0" fontId="149" fillId="0" borderId="28" xfId="1614" applyFont="1" applyBorder="1" applyAlignment="1">
      <alignment horizontal="left" vertical="center" wrapText="1"/>
    </xf>
    <xf numFmtId="0" fontId="149" fillId="0" borderId="0" xfId="1614" applyFont="1" applyAlignment="1">
      <alignment horizontal="left" vertical="center" wrapText="1"/>
    </xf>
    <xf numFmtId="0" fontId="149" fillId="0" borderId="37" xfId="1614" applyFont="1" applyBorder="1" applyAlignment="1">
      <alignment horizontal="left" vertical="center" wrapText="1"/>
    </xf>
    <xf numFmtId="0" fontId="134" fillId="0" borderId="0" xfId="1652" applyFont="1" applyAlignment="1">
      <alignment horizontal="center" vertical="center"/>
    </xf>
    <xf numFmtId="0" fontId="129" fillId="0" borderId="0" xfId="1652" applyFont="1" applyAlignment="1">
      <alignment horizontal="center" vertical="center"/>
    </xf>
    <xf numFmtId="0" fontId="151" fillId="33" borderId="51" xfId="0" applyFont="1" applyFill="1" applyBorder="1" applyAlignment="1">
      <alignment horizontal="center"/>
    </xf>
    <xf numFmtId="0" fontId="151" fillId="33" borderId="99" xfId="0" applyFont="1" applyFill="1" applyBorder="1" applyAlignment="1">
      <alignment horizontal="center"/>
    </xf>
    <xf numFmtId="0" fontId="151" fillId="33" borderId="52" xfId="0" applyFont="1" applyFill="1" applyBorder="1" applyAlignment="1">
      <alignment horizontal="center"/>
    </xf>
    <xf numFmtId="0" fontId="151" fillId="33" borderId="53" xfId="0" applyFont="1" applyFill="1" applyBorder="1" applyAlignment="1">
      <alignment horizontal="center"/>
    </xf>
    <xf numFmtId="0" fontId="151" fillId="33" borderId="7" xfId="0" applyFont="1" applyFill="1" applyBorder="1" applyAlignment="1">
      <alignment horizontal="center"/>
    </xf>
    <xf numFmtId="0" fontId="151" fillId="33" borderId="78" xfId="0" applyFont="1" applyFill="1" applyBorder="1" applyAlignment="1">
      <alignment horizontal="center"/>
    </xf>
    <xf numFmtId="0" fontId="151" fillId="33" borderId="3" xfId="0" applyFont="1" applyFill="1" applyBorder="1" applyAlignment="1">
      <alignment horizontal="center"/>
    </xf>
    <xf numFmtId="0" fontId="151" fillId="33" borderId="39" xfId="0" applyFont="1" applyFill="1" applyBorder="1" applyAlignment="1">
      <alignment horizontal="center"/>
    </xf>
    <xf numFmtId="15" fontId="151" fillId="33" borderId="3" xfId="0" applyNumberFormat="1" applyFont="1" applyFill="1" applyBorder="1" applyAlignment="1">
      <alignment horizontal="center"/>
    </xf>
    <xf numFmtId="0" fontId="151" fillId="33" borderId="79" xfId="0" applyFont="1" applyFill="1" applyBorder="1" applyAlignment="1">
      <alignment horizontal="center" vertical="center"/>
    </xf>
    <xf numFmtId="0" fontId="151" fillId="33" borderId="80" xfId="0" applyFont="1" applyFill="1" applyBorder="1" applyAlignment="1">
      <alignment horizontal="center" vertical="center"/>
    </xf>
    <xf numFmtId="0" fontId="151" fillId="33" borderId="0" xfId="0" applyFont="1" applyFill="1" applyAlignment="1">
      <alignment horizontal="center" vertical="center" wrapText="1"/>
    </xf>
    <xf numFmtId="0" fontId="151" fillId="33" borderId="37" xfId="0" applyFont="1" applyFill="1" applyBorder="1" applyAlignment="1">
      <alignment horizontal="center" vertical="center" wrapText="1"/>
    </xf>
    <xf numFmtId="0" fontId="151" fillId="33" borderId="42" xfId="0" applyFont="1" applyFill="1" applyBorder="1" applyAlignment="1">
      <alignment horizontal="center" vertical="center" wrapText="1"/>
    </xf>
    <xf numFmtId="0" fontId="151" fillId="33" borderId="77" xfId="0" applyFont="1" applyFill="1" applyBorder="1" applyAlignment="1">
      <alignment horizontal="center" vertical="center" wrapText="1"/>
    </xf>
    <xf numFmtId="0" fontId="155" fillId="33" borderId="38" xfId="0" applyFont="1" applyFill="1" applyBorder="1" applyAlignment="1">
      <alignment horizontal="left" vertical="top" wrapText="1"/>
    </xf>
    <xf numFmtId="0" fontId="155" fillId="33" borderId="79" xfId="0" applyFont="1" applyFill="1" applyBorder="1" applyAlignment="1">
      <alignment horizontal="left" vertical="top" wrapText="1"/>
    </xf>
    <xf numFmtId="0" fontId="155" fillId="33" borderId="80" xfId="0" applyFont="1" applyFill="1" applyBorder="1" applyAlignment="1">
      <alignment horizontal="left" vertical="top" wrapText="1"/>
    </xf>
    <xf numFmtId="0" fontId="160" fillId="33" borderId="91" xfId="0" applyFont="1" applyFill="1" applyBorder="1" applyAlignment="1">
      <alignment horizontal="center" vertical="center"/>
    </xf>
    <xf numFmtId="0" fontId="160" fillId="33" borderId="92" xfId="0" applyFont="1" applyFill="1" applyBorder="1" applyAlignment="1">
      <alignment horizontal="center" vertical="center"/>
    </xf>
    <xf numFmtId="0" fontId="151" fillId="33" borderId="7" xfId="0" applyFont="1" applyFill="1" applyBorder="1" applyAlignment="1">
      <alignment horizontal="center" vertical="top" wrapText="1"/>
    </xf>
    <xf numFmtId="0" fontId="151" fillId="33" borderId="78" xfId="0" applyFont="1" applyFill="1" applyBorder="1" applyAlignment="1">
      <alignment horizontal="center" vertical="top" wrapText="1"/>
    </xf>
    <xf numFmtId="0" fontId="158" fillId="33" borderId="85" xfId="0" applyFont="1" applyFill="1" applyBorder="1" applyAlignment="1">
      <alignment horizontal="center" vertical="center"/>
    </xf>
    <xf numFmtId="0" fontId="158" fillId="33" borderId="83" xfId="0" applyFont="1" applyFill="1" applyBorder="1" applyAlignment="1">
      <alignment horizontal="center" vertical="center"/>
    </xf>
    <xf numFmtId="0" fontId="162" fillId="33" borderId="94" xfId="0" applyFont="1" applyFill="1" applyBorder="1" applyAlignment="1">
      <alignment horizontal="center" vertical="center" wrapText="1"/>
    </xf>
    <xf numFmtId="0" fontId="162" fillId="33" borderId="95" xfId="0" applyFont="1" applyFill="1" applyBorder="1" applyAlignment="1">
      <alignment horizontal="center" vertical="center" wrapText="1"/>
    </xf>
    <xf numFmtId="0" fontId="158" fillId="33" borderId="81" xfId="0" applyFont="1" applyFill="1" applyBorder="1" applyAlignment="1">
      <alignment horizontal="center" vertical="center"/>
    </xf>
    <xf numFmtId="0" fontId="158" fillId="33" borderId="82" xfId="0" applyFont="1" applyFill="1" applyBorder="1" applyAlignment="1">
      <alignment horizontal="center" vertical="center"/>
    </xf>
    <xf numFmtId="49" fontId="151" fillId="33" borderId="45" xfId="0" applyNumberFormat="1" applyFont="1" applyFill="1" applyBorder="1" applyAlignment="1">
      <alignment horizontal="center" vertical="center"/>
    </xf>
    <xf numFmtId="49" fontId="151" fillId="33" borderId="78" xfId="0" applyNumberFormat="1" applyFont="1" applyFill="1" applyBorder="1" applyAlignment="1">
      <alignment horizontal="center" vertical="center"/>
    </xf>
    <xf numFmtId="0" fontId="158" fillId="33" borderId="89" xfId="0" applyFont="1" applyFill="1" applyBorder="1" applyAlignment="1">
      <alignment horizontal="center" vertical="center"/>
    </xf>
    <xf numFmtId="0" fontId="158" fillId="33" borderId="90" xfId="0" applyFont="1" applyFill="1" applyBorder="1" applyAlignment="1">
      <alignment horizontal="center" vertical="center"/>
    </xf>
    <xf numFmtId="49" fontId="151" fillId="33" borderId="7" xfId="0" applyNumberFormat="1" applyFont="1" applyFill="1" applyBorder="1" applyAlignment="1">
      <alignment horizontal="center" vertical="center"/>
    </xf>
    <xf numFmtId="49" fontId="151" fillId="33" borderId="7" xfId="0" applyNumberFormat="1" applyFont="1" applyFill="1" applyBorder="1" applyAlignment="1">
      <alignment horizontal="center" vertical="top" wrapText="1"/>
    </xf>
    <xf numFmtId="49" fontId="151" fillId="33" borderId="78" xfId="0" applyNumberFormat="1" applyFont="1" applyFill="1" applyBorder="1" applyAlignment="1">
      <alignment horizontal="center" vertical="top" wrapText="1"/>
    </xf>
    <xf numFmtId="0" fontId="158" fillId="33" borderId="81" xfId="0" applyFont="1" applyFill="1" applyBorder="1" applyAlignment="1">
      <alignment horizontal="left" vertical="center"/>
    </xf>
    <xf numFmtId="0" fontId="158" fillId="33" borderId="86" xfId="0" applyFont="1" applyFill="1" applyBorder="1" applyAlignment="1">
      <alignment horizontal="left" vertical="center"/>
    </xf>
    <xf numFmtId="0" fontId="160" fillId="33" borderId="81" xfId="0" applyFont="1" applyFill="1" applyBorder="1" applyAlignment="1">
      <alignment horizontal="left" vertical="center"/>
    </xf>
    <xf numFmtId="0" fontId="160" fillId="33" borderId="82" xfId="0" applyFont="1" applyFill="1" applyBorder="1" applyAlignment="1">
      <alignment horizontal="left" vertical="center"/>
    </xf>
    <xf numFmtId="49" fontId="151" fillId="33" borderId="45" xfId="0" applyNumberFormat="1" applyFont="1" applyFill="1" applyBorder="1" applyAlignment="1">
      <alignment horizontal="left" vertical="center"/>
    </xf>
    <xf numFmtId="49" fontId="151" fillId="33" borderId="78" xfId="0" applyNumberFormat="1" applyFont="1" applyFill="1" applyBorder="1" applyAlignment="1">
      <alignment horizontal="left" vertical="center"/>
    </xf>
    <xf numFmtId="0" fontId="158" fillId="33" borderId="85" xfId="0" applyFont="1" applyFill="1" applyBorder="1" applyAlignment="1">
      <alignment horizontal="left" vertical="center"/>
    </xf>
    <xf numFmtId="0" fontId="158" fillId="33" borderId="83" xfId="0" applyFont="1" applyFill="1" applyBorder="1" applyAlignment="1">
      <alignment horizontal="left" vertical="center"/>
    </xf>
    <xf numFmtId="0" fontId="159" fillId="33" borderId="81" xfId="0" applyFont="1" applyFill="1" applyBorder="1" applyAlignment="1">
      <alignment horizontal="left" vertical="center"/>
    </xf>
    <xf numFmtId="0" fontId="159" fillId="33" borderId="86" xfId="0" applyFont="1" applyFill="1" applyBorder="1" applyAlignment="1">
      <alignment horizontal="left" vertical="center"/>
    </xf>
    <xf numFmtId="0" fontId="151" fillId="33" borderId="79" xfId="0" applyFont="1" applyFill="1" applyBorder="1" applyAlignment="1">
      <alignment horizontal="center"/>
    </xf>
    <xf numFmtId="0" fontId="151" fillId="33" borderId="80" xfId="0" applyFont="1" applyFill="1" applyBorder="1" applyAlignment="1">
      <alignment horizontal="center"/>
    </xf>
    <xf numFmtId="0" fontId="155" fillId="33" borderId="18" xfId="0" applyFont="1" applyFill="1" applyBorder="1" applyAlignment="1">
      <alignment horizontal="left"/>
    </xf>
    <xf numFmtId="0" fontId="155" fillId="33" borderId="0" xfId="0" applyFont="1" applyFill="1" applyAlignment="1">
      <alignment horizontal="left"/>
    </xf>
    <xf numFmtId="0" fontId="155" fillId="33" borderId="37" xfId="0" applyFont="1" applyFill="1" applyBorder="1" applyAlignment="1">
      <alignment horizontal="left"/>
    </xf>
    <xf numFmtId="0" fontId="157" fillId="33" borderId="45" xfId="0" applyFont="1" applyFill="1" applyBorder="1" applyAlignment="1">
      <alignment horizontal="center" vertical="center"/>
    </xf>
    <xf numFmtId="0" fontId="157" fillId="33" borderId="7" xfId="0" applyFont="1" applyFill="1" applyBorder="1" applyAlignment="1">
      <alignment horizontal="center" vertical="center"/>
    </xf>
    <xf numFmtId="0" fontId="157" fillId="33" borderId="78" xfId="0" applyFont="1" applyFill="1" applyBorder="1" applyAlignment="1">
      <alignment horizontal="center" vertical="center"/>
    </xf>
    <xf numFmtId="0" fontId="155" fillId="33" borderId="45" xfId="0" applyFont="1" applyFill="1" applyBorder="1" applyAlignment="1">
      <alignment horizontal="center" vertical="center"/>
    </xf>
    <xf numFmtId="0" fontId="155" fillId="33" borderId="7" xfId="0" applyFont="1" applyFill="1" applyBorder="1" applyAlignment="1">
      <alignment horizontal="center" vertical="center"/>
    </xf>
    <xf numFmtId="0" fontId="155" fillId="33" borderId="50" xfId="0" applyFont="1" applyFill="1" applyBorder="1" applyAlignment="1">
      <alignment horizontal="center" vertical="center"/>
    </xf>
    <xf numFmtId="0" fontId="153" fillId="0" borderId="3" xfId="2669" applyFont="1" applyBorder="1" applyAlignment="1">
      <alignment horizontal="center" vertical="center"/>
    </xf>
    <xf numFmtId="0" fontId="153" fillId="0" borderId="45" xfId="2669" applyFont="1" applyBorder="1" applyAlignment="1">
      <alignment horizontal="center" vertical="center"/>
    </xf>
    <xf numFmtId="0" fontId="153" fillId="0" borderId="78" xfId="2669" applyFont="1" applyBorder="1" applyAlignment="1">
      <alignment horizontal="center" vertical="center"/>
    </xf>
    <xf numFmtId="0" fontId="153" fillId="0" borderId="45" xfId="2669" applyFont="1" applyBorder="1" applyAlignment="1">
      <alignment horizontal="center" vertical="center" wrapText="1"/>
    </xf>
    <xf numFmtId="0" fontId="153" fillId="0" borderId="78" xfId="2669" applyFont="1" applyBorder="1" applyAlignment="1">
      <alignment horizontal="center" vertical="center" wrapText="1"/>
    </xf>
    <xf numFmtId="0" fontId="152" fillId="35" borderId="76" xfId="0" applyFont="1" applyFill="1" applyBorder="1" applyAlignment="1">
      <alignment horizontal="center" vertical="center"/>
    </xf>
    <xf numFmtId="0" fontId="152" fillId="35" borderId="36" xfId="0" applyFont="1" applyFill="1" applyBorder="1" applyAlignment="1">
      <alignment horizontal="center" vertical="center"/>
    </xf>
    <xf numFmtId="0" fontId="152" fillId="35" borderId="43" xfId="0" applyFont="1" applyFill="1" applyBorder="1" applyAlignment="1">
      <alignment horizontal="center" vertical="center"/>
    </xf>
    <xf numFmtId="0" fontId="152" fillId="35" borderId="41" xfId="0" applyFont="1" applyFill="1" applyBorder="1" applyAlignment="1">
      <alignment horizontal="center" vertical="center"/>
    </xf>
    <xf numFmtId="0" fontId="152" fillId="35" borderId="42" xfId="0" applyFont="1" applyFill="1" applyBorder="1" applyAlignment="1">
      <alignment horizontal="center" vertical="center"/>
    </xf>
    <xf numFmtId="0" fontId="152" fillId="35" borderId="77" xfId="0" applyFont="1" applyFill="1" applyBorder="1" applyAlignment="1">
      <alignment horizontal="center" vertical="center"/>
    </xf>
    <xf numFmtId="0" fontId="164" fillId="35" borderId="0" xfId="1451" applyFont="1" applyFill="1" applyAlignment="1">
      <alignment horizontal="center" vertical="center"/>
    </xf>
    <xf numFmtId="0" fontId="167" fillId="0" borderId="0" xfId="1451" applyFont="1" applyAlignment="1">
      <alignment horizontal="left"/>
    </xf>
    <xf numFmtId="0" fontId="164" fillId="35" borderId="26" xfId="1451" applyFont="1" applyFill="1" applyBorder="1" applyAlignment="1">
      <alignment horizontal="center" vertical="center"/>
    </xf>
    <xf numFmtId="0" fontId="164" fillId="35" borderId="36" xfId="1451" applyFont="1" applyFill="1" applyBorder="1" applyAlignment="1">
      <alignment horizontal="center" vertical="center"/>
    </xf>
    <xf numFmtId="0" fontId="164" fillId="35" borderId="43" xfId="1451" applyFont="1" applyFill="1" applyBorder="1" applyAlignment="1">
      <alignment horizontal="center" vertical="center"/>
    </xf>
    <xf numFmtId="0" fontId="164" fillId="35" borderId="28" xfId="1451" applyFont="1" applyFill="1" applyBorder="1" applyAlignment="1">
      <alignment horizontal="center" vertical="center"/>
    </xf>
    <xf numFmtId="0" fontId="164" fillId="35" borderId="37" xfId="1451" applyFont="1" applyFill="1" applyBorder="1" applyAlignment="1">
      <alignment horizontal="center" vertical="center"/>
    </xf>
    <xf numFmtId="0" fontId="164" fillId="35" borderId="34" xfId="1451" applyFont="1" applyFill="1" applyBorder="1" applyAlignment="1">
      <alignment horizontal="center" vertical="center"/>
    </xf>
    <xf numFmtId="0" fontId="164" fillId="35" borderId="19" xfId="1451" applyFont="1" applyFill="1" applyBorder="1" applyAlignment="1">
      <alignment horizontal="center" vertical="center"/>
    </xf>
    <xf numFmtId="0" fontId="164" fillId="35" borderId="31" xfId="1451" applyFont="1" applyFill="1" applyBorder="1" applyAlignment="1">
      <alignment horizontal="center" vertical="center"/>
    </xf>
  </cellXfs>
  <cellStyles count="369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3" xfId="3433" xr:uid="{FF1C1214-6A69-4780-B1FC-3F2033DFC0F7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3" xfId="3435" xr:uid="{BBB3AF98-FE7E-4A5D-980C-A11977824812}"/>
    <cellStyle name="Normal 135" xfId="1536" xr:uid="{00000000-0005-0000-0000-000001060000}"/>
    <cellStyle name="Normal 135 2" xfId="3437" xr:uid="{C7FACAE4-5C39-417B-B886-0B40EC3821DF}"/>
    <cellStyle name="Normal 136" xfId="1537" xr:uid="{00000000-0005-0000-0000-000002060000}"/>
    <cellStyle name="Normal 136 2" xfId="3438" xr:uid="{6831DEFF-55FE-45E3-8256-7B8C9CC91EFF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3" xfId="3440" xr:uid="{DBFED99F-F201-4435-8350-F0E0B590DF22}"/>
    <cellStyle name="Normal 137 3" xfId="2670" xr:uid="{DE2FAB10-EC26-4C42-9A25-5D9F87A07F8A}"/>
    <cellStyle name="Normal 137 3 2" xfId="3677" xr:uid="{C0ABB60D-AC2A-4055-B3F1-73A6CDB5B8F6}"/>
    <cellStyle name="Normal 137 4" xfId="3439" xr:uid="{86D69212-888B-438F-A513-0E0FB5F5D9C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3" xfId="3469" xr:uid="{AF499AF9-D28A-4666-877A-12C9AD201220}"/>
    <cellStyle name="Normal 2 5 3" xfId="1754" xr:uid="{00000000-0005-0000-0000-0000DB060000}"/>
    <cellStyle name="Normal 2 5 3 2" xfId="3471" xr:uid="{A15848AE-8037-4BCC-AA03-23276E14ED00}"/>
    <cellStyle name="Normal 2 5 4" xfId="3468" xr:uid="{029ADF14-BBFF-4F5F-8B90-16227F6E7DA4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5" xfId="3482" xr:uid="{993BBF43-BA77-40E7-9477-5E2DCDF0B1EF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4" xfId="3486" xr:uid="{58900736-645E-4E51-B2D2-7629F0A0E84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58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58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671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02007C7-63C2-4F1B-8DAC-6841282ACB10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D8F191B9-4CFF-4317-BB39-6E51B450026A}"/>
            </a:ext>
          </a:extLst>
        </xdr:cNvPr>
        <xdr:cNvGrpSpPr/>
      </xdr:nvGrpSpPr>
      <xdr:grpSpPr>
        <a:xfrm>
          <a:off x="10915766" y="815040"/>
          <a:ext cx="1534175" cy="1777253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20AD5052-FBBB-4FC5-8390-F2E80F97D38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3D9C0232-49F1-4663-B03B-782E6C7C26C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1F4FC020-1CC7-4B60-81EF-76AB73D6037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CD67B791-98E0-402E-AC7E-AE8968C11559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F2C3BF35-F799-47D4-BF72-15F391CC5E4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DE228AB8-B37E-44DD-928C-F3A6684B819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7B0F671-932D-4C38-ABAB-DA0B6AED259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BFF59313-7049-4BE2-84E5-84EFA5F5DD39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8845AA49-E8E5-41FC-93F7-BC50BC823B56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95C1DB3-0068-4F7A-92C8-87F28A27B43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2B819CA6-6EDB-4600-B937-295D879C096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FD0DB060-B336-4622-8C0B-F2B8A8A6E21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F0EE6644-F76C-4CB0-8C9B-A6C7E69A072D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3F4C8EA2-3DAB-47E2-986B-24DCF543D69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76682DB3-4521-4A8B-9ECF-C1A88B032F2B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D6BA223-9B38-4E02-AB79-C8A7C9CF3A0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6F149556-12CB-45D1-864F-E369FB89697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2343BD79-DEBD-4BE8-95F6-2FA1FB249DFB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FA5F881A-45F1-4DB0-B23F-7F5C21BDDFC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C67612BF-6F34-4748-A4A5-B5946023A002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15B35605-F8C0-4FBE-A1C5-456061359BFE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C6C1BFB-21C6-47E1-9179-6091F9FA0D0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B649BA0C-8559-45F0-BA2F-A29E06831FF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3D0249C8-9EE3-481F-AC99-3BD997A2DCD2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A8BE3E9-83A2-4C69-8FDC-5C592D88A8E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F499F4C2-2C10-474E-AA76-5453845602E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DD584DD3-5622-416B-BAF9-36226D9FB4F4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4AAE51F4-67A2-466C-9B42-5E54228158E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6ACC170-DFAF-480F-97C0-C4B33F538FE5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466C6440-F615-400F-9FDA-F79368C29EB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212C51-5C6D-4488-8E78-E6B8D5989CDB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161C9EBE-C38E-4128-B4E1-CD97DD0E2A6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4FE8BF6E-D68F-4BA5-A4AF-0A5069D8567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644336D2-F673-46B6-8449-BBBF1CBAF5B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AC26D9AC-10F4-4501-8E48-FF9885E63A84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F0C33A1B-1159-4942-A2C3-835B5E622A5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88828255-1907-401B-8EAF-6AF9FF75525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6CEE6526-B3F7-429A-BA63-23BA1227C5D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378841A7-6970-4620-998A-FC8829A96D2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4460378E-D58F-4E44-9269-E3D920609B8E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971CE58C-2BEA-465A-873F-F5E06DE7697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A8DF2EA3-5EFF-443D-B019-E5192C4A3EF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308D1E1F-2E0E-4B23-8B99-B63820503D4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B06F74BD-1A3F-4180-BFFA-65CBEBA7894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29C544F1-FCE6-4F60-9E71-F983ED174145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C2858DFC-A0F4-4BA8-8C39-915CB310BB7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8E0476EB-A09A-4E0A-8DE5-60EC64285E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28D69DE-5725-4C2E-B57D-36CBD477A4E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602C2D63-73D1-44D5-A054-857E7B5088D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82727A83-7FBB-48C9-B1C4-E0E4F5C561B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CD6DE2E0-02EC-45FE-B403-6B8E7CD62A62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BDD9EEDA-0FA4-4310-B946-BCD4607746D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393E4F58-17AF-4A83-AC12-DED2553389A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B68766CA-F916-4975-97D4-A6532A987191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4D84DEA8-428C-4353-B0C7-5748B26F2C5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7AB8026D-E0A3-415C-9FBC-5F12F9042C72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5DF44011-E41A-4F42-876B-70524FC77462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AABDD490-F854-481E-9D4D-4BD6D94D171A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CAD2B624-61C4-4EA7-8A73-E4DFE2BABE9B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687FC047-D429-43C7-BB89-A947CE73FD5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2B110B9A-5415-4C9E-A732-D2AF13A88CA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631D5346-4F6B-4194-A76E-868B1F3D014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16F61CE-0FBA-47CD-AD8C-8715BDE91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11</xdr:col>
      <xdr:colOff>284692</xdr:colOff>
      <xdr:row>28</xdr:row>
      <xdr:rowOff>17991</xdr:rowOff>
    </xdr:from>
    <xdr:to>
      <xdr:col>16</xdr:col>
      <xdr:colOff>42333</xdr:colOff>
      <xdr:row>33</xdr:row>
      <xdr:rowOff>138641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2FBF469-7E25-40F9-9AD2-4805D18A2198}"/>
            </a:ext>
          </a:extLst>
        </xdr:cNvPr>
        <xdr:cNvSpPr txBox="1"/>
      </xdr:nvSpPr>
      <xdr:spPr>
        <a:xfrm rot="5400000">
          <a:off x="4413250" y="3919008"/>
          <a:ext cx="873125" cy="166264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111125</xdr:colOff>
      <xdr:row>34</xdr:row>
      <xdr:rowOff>1593</xdr:rowOff>
    </xdr:from>
    <xdr:to>
      <xdr:col>13</xdr:col>
      <xdr:colOff>210079</xdr:colOff>
      <xdr:row>35</xdr:row>
      <xdr:rowOff>26458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9142B6A-4A85-4199-A1C6-0D5BF1373133}"/>
            </a:ext>
          </a:extLst>
        </xdr:cNvPr>
        <xdr:cNvSpPr txBox="1"/>
      </xdr:nvSpPr>
      <xdr:spPr>
        <a:xfrm flipH="1">
          <a:off x="4606925" y="5202243"/>
          <a:ext cx="989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11</xdr:col>
      <xdr:colOff>76200</xdr:colOff>
      <xdr:row>18</xdr:row>
      <xdr:rowOff>47625</xdr:rowOff>
    </xdr:from>
    <xdr:to>
      <xdr:col>11</xdr:col>
      <xdr:colOff>95250</xdr:colOff>
      <xdr:row>38</xdr:row>
      <xdr:rowOff>28575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78CCB596-FE15-4E83-9C11-CEFA127A7C3C}"/>
            </a:ext>
          </a:extLst>
        </xdr:cNvPr>
        <xdr:cNvCxnSpPr/>
      </xdr:nvCxnSpPr>
      <xdr:spPr>
        <a:xfrm flipV="1">
          <a:off x="3810000" y="2819400"/>
          <a:ext cx="19050" cy="3038475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106892</xdr:colOff>
      <xdr:row>35</xdr:row>
      <xdr:rowOff>134408</xdr:rowOff>
    </xdr:from>
    <xdr:to>
      <xdr:col>14</xdr:col>
      <xdr:colOff>249767</xdr:colOff>
      <xdr:row>37</xdr:row>
      <xdr:rowOff>29633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1577E2E-A879-47AC-8E02-AC81D9C73D60}"/>
            </a:ext>
          </a:extLst>
        </xdr:cNvPr>
        <xdr:cNvSpPr txBox="1"/>
      </xdr:nvSpPr>
      <xdr:spPr>
        <a:xfrm>
          <a:off x="4602692" y="5487458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11</xdr:col>
      <xdr:colOff>16933</xdr:colOff>
      <xdr:row>27</xdr:row>
      <xdr:rowOff>89959</xdr:rowOff>
    </xdr:from>
    <xdr:to>
      <xdr:col>11</xdr:col>
      <xdr:colOff>146629</xdr:colOff>
      <xdr:row>28</xdr:row>
      <xdr:rowOff>59446</xdr:rowOff>
    </xdr:to>
    <xdr:grpSp>
      <xdr:nvGrpSpPr>
        <xdr:cNvPr id="71" name="Group 682">
          <a:extLst>
            <a:ext uri="{FF2B5EF4-FFF2-40B4-BE49-F238E27FC236}">
              <a16:creationId xmlns:a16="http://schemas.microsoft.com/office/drawing/2014/main" id="{161C8329-96F2-4C7A-AB4A-E7FA51E16BF2}"/>
            </a:ext>
          </a:extLst>
        </xdr:cNvPr>
        <xdr:cNvGrpSpPr>
          <a:grpSpLocks/>
        </xdr:cNvGrpSpPr>
      </xdr:nvGrpSpPr>
      <xdr:grpSpPr bwMode="auto">
        <a:xfrm>
          <a:off x="4271433" y="4217459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CD9A17B3-78F7-458B-8EDA-F7EBD9A907F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A84BEB3D-DE1E-46B4-9D4C-49112EF59AF4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907217BB-EA94-4350-BEFD-4158F3166FF1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5" name="Group 2">
          <a:extLst>
            <a:ext uri="{FF2B5EF4-FFF2-40B4-BE49-F238E27FC236}">
              <a16:creationId xmlns:a16="http://schemas.microsoft.com/office/drawing/2014/main" id="{38A2F412-0C32-49F1-81F1-5CD6656E7F81}"/>
            </a:ext>
          </a:extLst>
        </xdr:cNvPr>
        <xdr:cNvGrpSpPr>
          <a:grpSpLocks/>
        </xdr:cNvGrpSpPr>
      </xdr:nvGrpSpPr>
      <xdr:grpSpPr bwMode="auto">
        <a:xfrm>
          <a:off x="13975123" y="936625"/>
          <a:ext cx="152400" cy="147358"/>
          <a:chOff x="3725636" y="1945820"/>
          <a:chExt cx="153760" cy="144237"/>
        </a:xfrm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81C07E24-417D-4D02-BAFB-D60BE1CB71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25449949-CC8F-44E0-8291-C417EB7D995C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0C5D77C-F447-4C0E-80DA-13F9BB9B8BDB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79" name="Group 6">
          <a:extLst>
            <a:ext uri="{FF2B5EF4-FFF2-40B4-BE49-F238E27FC236}">
              <a16:creationId xmlns:a16="http://schemas.microsoft.com/office/drawing/2014/main" id="{6B14163A-F5EC-4066-A963-732DA5EEFC94}"/>
            </a:ext>
          </a:extLst>
        </xdr:cNvPr>
        <xdr:cNvGrpSpPr>
          <a:grpSpLocks/>
        </xdr:cNvGrpSpPr>
      </xdr:nvGrpSpPr>
      <xdr:grpSpPr bwMode="auto">
        <a:xfrm>
          <a:off x="14549798" y="927100"/>
          <a:ext cx="203200" cy="147358"/>
          <a:chOff x="3725636" y="1945820"/>
          <a:chExt cx="153760" cy="144237"/>
        </a:xfrm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78ECDF62-1B92-4437-87D8-0546D9AD0F9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F32E86ED-A6D5-4C05-A8EF-E0481D61DCC5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CC0AB55-BC9E-44E5-8CE9-9F630808D4E4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3832B490-19DA-4266-8D85-4A78D39943C6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DF5B8BB2-9EA9-4F3E-BF76-98D414D2352F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7749DB53-6821-4F06-B782-7F836CB65D9C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60008472-89A4-4C84-82AB-FF441A2D06FC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7CF4B186-1850-45D2-8D13-BD176CED678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EBC55D7-D55A-466E-B873-D9CA512B46BE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C805B0B6-62E7-447F-AFBE-B3F7D316182D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14480005-32B9-4333-A0D4-F66C724C62AC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1" name="Group 18">
          <a:extLst>
            <a:ext uri="{FF2B5EF4-FFF2-40B4-BE49-F238E27FC236}">
              <a16:creationId xmlns:a16="http://schemas.microsoft.com/office/drawing/2014/main" id="{A2A11D4B-D1AC-410A-B68B-397C2AFDFE01}"/>
            </a:ext>
          </a:extLst>
        </xdr:cNvPr>
        <xdr:cNvGrpSpPr>
          <a:grpSpLocks/>
        </xdr:cNvGrpSpPr>
      </xdr:nvGrpSpPr>
      <xdr:grpSpPr bwMode="auto">
        <a:xfrm>
          <a:off x="14321198" y="2067859"/>
          <a:ext cx="152400" cy="104775"/>
          <a:chOff x="12269933" y="1884219"/>
          <a:chExt cx="148768" cy="97327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50395FB0-61B4-499C-ADD4-E1257599AFFA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3DD1356-99D8-46F3-92A6-B55CBB1BF1DF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830B92CD-E3CF-470C-86F8-0EA45068160E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5" name="Group 22">
          <a:extLst>
            <a:ext uri="{FF2B5EF4-FFF2-40B4-BE49-F238E27FC236}">
              <a16:creationId xmlns:a16="http://schemas.microsoft.com/office/drawing/2014/main" id="{D94B2A44-2594-434E-9BF2-7B82636486A1}"/>
            </a:ext>
          </a:extLst>
        </xdr:cNvPr>
        <xdr:cNvGrpSpPr>
          <a:grpSpLocks/>
        </xdr:cNvGrpSpPr>
      </xdr:nvGrpSpPr>
      <xdr:grpSpPr bwMode="auto">
        <a:xfrm>
          <a:off x="14311673" y="2234267"/>
          <a:ext cx="161925" cy="95250"/>
          <a:chOff x="12262141" y="2055842"/>
          <a:chExt cx="156559" cy="95595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DFE4929B-1BAF-4B6C-9E3B-0376702362CF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8736C9D-358C-4568-903A-93C77F5942E3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615914F0-E15E-4438-B7C8-D1C35A1C8D24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416CC892-360C-4423-A0D1-F368F2BF6786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759281BC-B383-4AEF-B7AB-0E875CB15B92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1" name="Group 28">
          <a:extLst>
            <a:ext uri="{FF2B5EF4-FFF2-40B4-BE49-F238E27FC236}">
              <a16:creationId xmlns:a16="http://schemas.microsoft.com/office/drawing/2014/main" id="{145E9D21-5A96-4B1B-91B3-7EB35B72C0F7}"/>
            </a:ext>
          </a:extLst>
        </xdr:cNvPr>
        <xdr:cNvGrpSpPr>
          <a:grpSpLocks/>
        </xdr:cNvGrpSpPr>
      </xdr:nvGrpSpPr>
      <xdr:grpSpPr bwMode="auto">
        <a:xfrm>
          <a:off x="14321198" y="2400674"/>
          <a:ext cx="190500" cy="95250"/>
          <a:chOff x="12267508" y="2212225"/>
          <a:chExt cx="192931" cy="101137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DCAFD6AB-5E2A-4544-85A4-C5CC3BA8213B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B1A0B4E1-B4EE-4826-A02E-D4E2C2DBAEFB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7A5915EE-6470-4CD4-BC1F-EFFE8BD52ED8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F505A2B9-D001-484D-B937-68345534DA1B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6" name="Group 33">
          <a:extLst>
            <a:ext uri="{FF2B5EF4-FFF2-40B4-BE49-F238E27FC236}">
              <a16:creationId xmlns:a16="http://schemas.microsoft.com/office/drawing/2014/main" id="{48D32773-1971-4840-B0DC-DEE86C43B923}"/>
            </a:ext>
          </a:extLst>
        </xdr:cNvPr>
        <xdr:cNvGrpSpPr>
          <a:grpSpLocks/>
        </xdr:cNvGrpSpPr>
      </xdr:nvGrpSpPr>
      <xdr:grpSpPr bwMode="auto">
        <a:xfrm>
          <a:off x="14321198" y="2567081"/>
          <a:ext cx="190500" cy="109258"/>
          <a:chOff x="12267336" y="2379518"/>
          <a:chExt cx="192062" cy="99752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BD8A4507-EF7B-45DE-9BC7-833BE4053092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9F8216D5-ED3B-42A5-B1BE-95E796F28C0C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5DFF9F58-E649-41D6-9C62-6185E0A4CC5B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9927781B-008C-4BC3-97C8-12FF78CAA7F7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56BBEB70-C496-49E0-876C-F0E957F34375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6F5A9E4C-6B8B-4429-A4A5-985A7E3F8661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86963AB9-77D2-4ECD-A9C5-CB09A8BC54C8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FD686E6-7CD3-4927-892A-123283EFE96F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5" name="Group 467">
          <a:extLst>
            <a:ext uri="{FF2B5EF4-FFF2-40B4-BE49-F238E27FC236}">
              <a16:creationId xmlns:a16="http://schemas.microsoft.com/office/drawing/2014/main" id="{02DEF8A5-ACC7-454A-A4C8-E6B54D3C3A17}"/>
            </a:ext>
          </a:extLst>
        </xdr:cNvPr>
        <xdr:cNvGrpSpPr>
          <a:grpSpLocks/>
        </xdr:cNvGrpSpPr>
      </xdr:nvGrpSpPr>
      <xdr:grpSpPr bwMode="auto">
        <a:xfrm>
          <a:off x="14051323" y="3527425"/>
          <a:ext cx="787400" cy="304240"/>
          <a:chOff x="1312712" y="2025839"/>
          <a:chExt cx="1349013" cy="348901"/>
        </a:xfrm>
      </xdr:grpSpPr>
      <xdr:sp macro="" textlink="">
        <xdr:nvSpPr>
          <xdr:cNvPr id="116" name="Freeform 44">
            <a:extLst>
              <a:ext uri="{FF2B5EF4-FFF2-40B4-BE49-F238E27FC236}">
                <a16:creationId xmlns:a16="http://schemas.microsoft.com/office/drawing/2014/main" id="{2F6117D9-934E-4FA9-9037-D01984EBB779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5EF66BED-AABA-4ED2-A55A-5EB6DC711253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BA1582E-3988-4776-A27A-5A22DA59A174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0BA7F0F-8A91-4ED1-8D1A-EA7BDE4F36F7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D09FB57B-7BB5-4CB7-831D-6920A5C77CDC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4AAE8D4C-04BF-4E0C-8B88-87435873977E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F6CD798D-AFD6-433F-A158-716A1E340C1B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4132762-7E7E-4B3B-896D-C99521318E66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4" name="Group 114">
          <a:extLst>
            <a:ext uri="{FF2B5EF4-FFF2-40B4-BE49-F238E27FC236}">
              <a16:creationId xmlns:a16="http://schemas.microsoft.com/office/drawing/2014/main" id="{72F91D53-F275-4011-9E9F-C5FB7974F9F4}"/>
            </a:ext>
          </a:extLst>
        </xdr:cNvPr>
        <xdr:cNvGrpSpPr>
          <a:grpSpLocks/>
        </xdr:cNvGrpSpPr>
      </xdr:nvGrpSpPr>
      <xdr:grpSpPr bwMode="auto">
        <a:xfrm>
          <a:off x="14003698" y="4525870"/>
          <a:ext cx="317500" cy="144182"/>
          <a:chOff x="12001500" y="4327373"/>
          <a:chExt cx="262305" cy="151942"/>
        </a:xfrm>
      </xdr:grpSpPr>
      <xdr:sp macro="" textlink="">
        <xdr:nvSpPr>
          <xdr:cNvPr id="125" name="Isosceles Triangle 124">
            <a:extLst>
              <a:ext uri="{FF2B5EF4-FFF2-40B4-BE49-F238E27FC236}">
                <a16:creationId xmlns:a16="http://schemas.microsoft.com/office/drawing/2014/main" id="{5141616C-8803-44D6-A4B6-979856BF913A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9FC6C64D-68C3-4897-AB3C-385CCCBB60EC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D04E0052-B3F2-4432-8E72-BA7DCF818592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8" name="Group 118">
          <a:extLst>
            <a:ext uri="{FF2B5EF4-FFF2-40B4-BE49-F238E27FC236}">
              <a16:creationId xmlns:a16="http://schemas.microsoft.com/office/drawing/2014/main" id="{82D75E2F-8081-403F-9842-766F82B81DAD}"/>
            </a:ext>
          </a:extLst>
        </xdr:cNvPr>
        <xdr:cNvGrpSpPr>
          <a:grpSpLocks/>
        </xdr:cNvGrpSpPr>
      </xdr:nvGrpSpPr>
      <xdr:grpSpPr bwMode="auto">
        <a:xfrm>
          <a:off x="14597423" y="4549402"/>
          <a:ext cx="298450" cy="139700"/>
          <a:chOff x="12446976" y="4345782"/>
          <a:chExt cx="251864" cy="151026"/>
        </a:xfrm>
      </xdr:grpSpPr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B9F744A0-1345-4C72-AA0B-62F86C7C2C0E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B3DFC319-00E8-4C0E-85D5-3038C780A3A3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CF78FBF5-E7A1-4186-9952-096F333B1EC6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17759C-5FE4-4B63-A9A0-10BD5F46B11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1A354FF2-2650-4D31-A9FA-97FE4F838704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4" name="Group 821">
          <a:extLst>
            <a:ext uri="{FF2B5EF4-FFF2-40B4-BE49-F238E27FC236}">
              <a16:creationId xmlns:a16="http://schemas.microsoft.com/office/drawing/2014/main" id="{41A4DFC0-9F07-45B1-98C6-538EDFD53079}"/>
            </a:ext>
          </a:extLst>
        </xdr:cNvPr>
        <xdr:cNvGrpSpPr>
          <a:grpSpLocks/>
        </xdr:cNvGrpSpPr>
      </xdr:nvGrpSpPr>
      <xdr:grpSpPr bwMode="auto">
        <a:xfrm>
          <a:off x="14032273" y="5221381"/>
          <a:ext cx="200025" cy="137833"/>
          <a:chOff x="11451638" y="1557067"/>
          <a:chExt cx="197304" cy="138098"/>
        </a:xfrm>
      </xdr:grpSpPr>
      <xdr:sp macro="" textlink="">
        <xdr:nvSpPr>
          <xdr:cNvPr id="135" name="TextBox 134">
            <a:extLst>
              <a:ext uri="{FF2B5EF4-FFF2-40B4-BE49-F238E27FC236}">
                <a16:creationId xmlns:a16="http://schemas.microsoft.com/office/drawing/2014/main" id="{1607F180-7DCE-4D9C-B86A-FD6A9AAE2F6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D7BCB8C-E55B-4EA6-A2BA-F38073AE461D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7" name="Group 827">
          <a:extLst>
            <a:ext uri="{FF2B5EF4-FFF2-40B4-BE49-F238E27FC236}">
              <a16:creationId xmlns:a16="http://schemas.microsoft.com/office/drawing/2014/main" id="{45F1787C-EAF2-4BF0-A790-2C9225C19A7D}"/>
            </a:ext>
          </a:extLst>
        </xdr:cNvPr>
        <xdr:cNvGrpSpPr>
          <a:grpSpLocks/>
        </xdr:cNvGrpSpPr>
      </xdr:nvGrpSpPr>
      <xdr:grpSpPr bwMode="auto">
        <a:xfrm>
          <a:off x="14645048" y="5211856"/>
          <a:ext cx="241300" cy="137833"/>
          <a:chOff x="11451638" y="1557067"/>
          <a:chExt cx="197304" cy="138098"/>
        </a:xfrm>
      </xdr:grpSpPr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C5448399-549C-45B6-A583-A482A9DA4C7F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19436BA8-A89F-4A28-A113-39A62EC415A1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A941A04-5A47-4143-82BE-F54AAD4676D9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B0BE2BD5-6978-4878-8740-47A892151E42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13</xdr:col>
      <xdr:colOff>207434</xdr:colOff>
      <xdr:row>35</xdr:row>
      <xdr:rowOff>38102</xdr:rowOff>
    </xdr:from>
    <xdr:to>
      <xdr:col>14</xdr:col>
      <xdr:colOff>93134</xdr:colOff>
      <xdr:row>36</xdr:row>
      <xdr:rowOff>23534</xdr:rowOff>
    </xdr:to>
    <xdr:grpSp>
      <xdr:nvGrpSpPr>
        <xdr:cNvPr id="142" name="Group 114">
          <a:extLst>
            <a:ext uri="{FF2B5EF4-FFF2-40B4-BE49-F238E27FC236}">
              <a16:creationId xmlns:a16="http://schemas.microsoft.com/office/drawing/2014/main" id="{B487D425-CD0C-4FC2-BCCA-CAA7546864D4}"/>
            </a:ext>
          </a:extLst>
        </xdr:cNvPr>
        <xdr:cNvGrpSpPr>
          <a:grpSpLocks/>
        </xdr:cNvGrpSpPr>
      </xdr:nvGrpSpPr>
      <xdr:grpSpPr bwMode="auto">
        <a:xfrm>
          <a:off x="5325534" y="5372102"/>
          <a:ext cx="317500" cy="137832"/>
          <a:chOff x="12001500" y="4327373"/>
          <a:chExt cx="262305" cy="151942"/>
        </a:xfrm>
      </xdr:grpSpPr>
      <xdr:sp macro="" textlink="">
        <xdr:nvSpPr>
          <xdr:cNvPr id="143" name="Isosceles Triangle 142">
            <a:extLst>
              <a:ext uri="{FF2B5EF4-FFF2-40B4-BE49-F238E27FC236}">
                <a16:creationId xmlns:a16="http://schemas.microsoft.com/office/drawing/2014/main" id="{CB006AE9-0106-4E3C-A7EC-31FDA52B4C3F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5144D3D9-C69F-4BCD-935A-0341279E4A23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7F244E6B-F830-4C4A-9B4F-9A136A7A1DB7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11</xdr:col>
      <xdr:colOff>7409</xdr:colOff>
      <xdr:row>19</xdr:row>
      <xdr:rowOff>76200</xdr:rowOff>
    </xdr:from>
    <xdr:to>
      <xdr:col>11</xdr:col>
      <xdr:colOff>137105</xdr:colOff>
      <xdr:row>20</xdr:row>
      <xdr:rowOff>45687</xdr:rowOff>
    </xdr:to>
    <xdr:grpSp>
      <xdr:nvGrpSpPr>
        <xdr:cNvPr id="146" name="Group 682">
          <a:extLst>
            <a:ext uri="{FF2B5EF4-FFF2-40B4-BE49-F238E27FC236}">
              <a16:creationId xmlns:a16="http://schemas.microsoft.com/office/drawing/2014/main" id="{FF2F1FB4-5FF2-412F-A3C3-70359C217C8A}"/>
            </a:ext>
          </a:extLst>
        </xdr:cNvPr>
        <xdr:cNvGrpSpPr>
          <a:grpSpLocks/>
        </xdr:cNvGrpSpPr>
      </xdr:nvGrpSpPr>
      <xdr:grpSpPr bwMode="auto">
        <a:xfrm>
          <a:off x="4261909" y="29845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8667AEE7-6E26-4B40-BD8B-721D160C046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0080C935-9032-43FE-A21E-D48A4CD1DE62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57731BAF-2386-4216-81AD-44DA5C2A0CB7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26458</xdr:colOff>
      <xdr:row>30</xdr:row>
      <xdr:rowOff>143933</xdr:rowOff>
    </xdr:from>
    <xdr:to>
      <xdr:col>15</xdr:col>
      <xdr:colOff>294644</xdr:colOff>
      <xdr:row>33</xdr:row>
      <xdr:rowOff>64159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3DCEE005-D307-48EB-9A1E-86F225FE588C}"/>
            </a:ext>
          </a:extLst>
        </xdr:cNvPr>
        <xdr:cNvSpPr txBox="1"/>
      </xdr:nvSpPr>
      <xdr:spPr>
        <a:xfrm>
          <a:off x="4141258" y="4734983"/>
          <a:ext cx="1411186" cy="37742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105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50M</a:t>
          </a:r>
        </a:p>
      </xdr:txBody>
    </xdr:sp>
    <xdr:clientData/>
  </xdr:twoCellAnchor>
  <xdr:twoCellAnchor>
    <xdr:from>
      <xdr:col>10</xdr:col>
      <xdr:colOff>23284</xdr:colOff>
      <xdr:row>14</xdr:row>
      <xdr:rowOff>101599</xdr:rowOff>
    </xdr:from>
    <xdr:to>
      <xdr:col>10</xdr:col>
      <xdr:colOff>276226</xdr:colOff>
      <xdr:row>44</xdr:row>
      <xdr:rowOff>103282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10885861-DCA2-4FA9-AA1D-AC02086F6FC5}"/>
            </a:ext>
          </a:extLst>
        </xdr:cNvPr>
        <xdr:cNvSpPr/>
      </xdr:nvSpPr>
      <xdr:spPr>
        <a:xfrm rot="5400000">
          <a:off x="1210951" y="4428907"/>
          <a:ext cx="4583208" cy="252942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9525</xdr:colOff>
      <xdr:row>35</xdr:row>
      <xdr:rowOff>19050</xdr:rowOff>
    </xdr:from>
    <xdr:to>
      <xdr:col>11</xdr:col>
      <xdr:colOff>139221</xdr:colOff>
      <xdr:row>35</xdr:row>
      <xdr:rowOff>140937</xdr:rowOff>
    </xdr:to>
    <xdr:grpSp>
      <xdr:nvGrpSpPr>
        <xdr:cNvPr id="152" name="Group 682">
          <a:extLst>
            <a:ext uri="{FF2B5EF4-FFF2-40B4-BE49-F238E27FC236}">
              <a16:creationId xmlns:a16="http://schemas.microsoft.com/office/drawing/2014/main" id="{F094197F-6595-438C-9583-8F4CC44FA1CF}"/>
            </a:ext>
          </a:extLst>
        </xdr:cNvPr>
        <xdr:cNvGrpSpPr>
          <a:grpSpLocks/>
        </xdr:cNvGrpSpPr>
      </xdr:nvGrpSpPr>
      <xdr:grpSpPr bwMode="auto">
        <a:xfrm>
          <a:off x="4264025" y="53530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3" name="Oval 152">
            <a:extLst>
              <a:ext uri="{FF2B5EF4-FFF2-40B4-BE49-F238E27FC236}">
                <a16:creationId xmlns:a16="http://schemas.microsoft.com/office/drawing/2014/main" id="{63E7A9A1-259D-49DE-B093-6B314C6B867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EEEF7E3-67D0-4428-B39A-CF16A67F0CC9}"/>
              </a:ext>
            </a:extLst>
          </xdr:cNvPr>
          <xdr:cNvCxnSpPr>
            <a:stCxn id="153" idx="1"/>
            <a:endCxn id="15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BBC0587F-DE49-4E68-B5E0-BEDDC4E69EA7}"/>
              </a:ext>
            </a:extLst>
          </xdr:cNvPr>
          <xdr:cNvCxnSpPr>
            <a:stCxn id="153" idx="3"/>
            <a:endCxn id="15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209550</xdr:colOff>
      <xdr:row>34</xdr:row>
      <xdr:rowOff>19050</xdr:rowOff>
    </xdr:from>
    <xdr:to>
      <xdr:col>13</xdr:col>
      <xdr:colOff>361950</xdr:colOff>
      <xdr:row>35</xdr:row>
      <xdr:rowOff>14008</xdr:rowOff>
    </xdr:to>
    <xdr:grpSp>
      <xdr:nvGrpSpPr>
        <xdr:cNvPr id="156" name="Group 2">
          <a:extLst>
            <a:ext uri="{FF2B5EF4-FFF2-40B4-BE49-F238E27FC236}">
              <a16:creationId xmlns:a16="http://schemas.microsoft.com/office/drawing/2014/main" id="{C82F31A9-9D5D-481F-A1A9-76389544FD16}"/>
            </a:ext>
          </a:extLst>
        </xdr:cNvPr>
        <xdr:cNvGrpSpPr>
          <a:grpSpLocks/>
        </xdr:cNvGrpSpPr>
      </xdr:nvGrpSpPr>
      <xdr:grpSpPr bwMode="auto">
        <a:xfrm>
          <a:off x="5327650" y="5200650"/>
          <a:ext cx="152400" cy="147358"/>
          <a:chOff x="3725636" y="1945820"/>
          <a:chExt cx="153760" cy="144237"/>
        </a:xfrm>
      </xdr:grpSpPr>
      <xdr:sp macro="" textlink="">
        <xdr:nvSpPr>
          <xdr:cNvPr id="157" name="Oval 156">
            <a:extLst>
              <a:ext uri="{FF2B5EF4-FFF2-40B4-BE49-F238E27FC236}">
                <a16:creationId xmlns:a16="http://schemas.microsoft.com/office/drawing/2014/main" id="{45C5C3DD-ACEE-4B43-8E25-68FA87F65D9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8677F9A5-F9E6-4A9F-B501-D1400CA047A9}"/>
              </a:ext>
            </a:extLst>
          </xdr:cNvPr>
          <xdr:cNvCxnSpPr>
            <a:stCxn id="157" idx="1"/>
            <a:endCxn id="15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AD9A41CF-82CA-4CAD-8D90-EC752FF79C33}"/>
              </a:ext>
            </a:extLst>
          </xdr:cNvPr>
          <xdr:cNvCxnSpPr>
            <a:stCxn id="157" idx="3"/>
            <a:endCxn id="15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139221</xdr:colOff>
      <xdr:row>34</xdr:row>
      <xdr:rowOff>92729</xdr:rowOff>
    </xdr:from>
    <xdr:to>
      <xdr:col>13</xdr:col>
      <xdr:colOff>209550</xdr:colOff>
      <xdr:row>35</xdr:row>
      <xdr:rowOff>79994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248C19E5-F7E4-4C97-A2E0-C8743B43F4D0}"/>
            </a:ext>
          </a:extLst>
        </xdr:cNvPr>
        <xdr:cNvCxnSpPr>
          <a:stCxn id="157" idx="2"/>
          <a:endCxn id="153" idx="6"/>
        </xdr:cNvCxnSpPr>
      </xdr:nvCxnSpPr>
      <xdr:spPr>
        <a:xfrm flipH="1">
          <a:off x="3873021" y="5293379"/>
          <a:ext cx="832329" cy="1396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34</xdr:row>
      <xdr:rowOff>66675</xdr:rowOff>
    </xdr:from>
    <xdr:to>
      <xdr:col>14</xdr:col>
      <xdr:colOff>171450</xdr:colOff>
      <xdr:row>34</xdr:row>
      <xdr:rowOff>87924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533C9BEC-AB16-43FE-9F76-96B549C77EF8}"/>
            </a:ext>
          </a:extLst>
        </xdr:cNvPr>
        <xdr:cNvCxnSpPr/>
      </xdr:nvCxnSpPr>
      <xdr:spPr>
        <a:xfrm flipV="1">
          <a:off x="4848225" y="5267325"/>
          <a:ext cx="200025" cy="21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323849</xdr:colOff>
      <xdr:row>37</xdr:row>
      <xdr:rowOff>9524</xdr:rowOff>
    </xdr:from>
    <xdr:to>
      <xdr:col>15</xdr:col>
      <xdr:colOff>123824</xdr:colOff>
      <xdr:row>44</xdr:row>
      <xdr:rowOff>19050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27D4BF07-FAE0-4BE9-8AD5-0233FF3D2E67}"/>
            </a:ext>
          </a:extLst>
        </xdr:cNvPr>
        <xdr:cNvSpPr txBox="1"/>
      </xdr:nvSpPr>
      <xdr:spPr>
        <a:xfrm>
          <a:off x="4438649" y="5676899"/>
          <a:ext cx="942975" cy="108585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1" u="sng" baseline="0">
              <a:solidFill>
                <a:srgbClr val="FF0000"/>
              </a:solidFill>
            </a:rPr>
            <a:t>T1-260/29A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G312-A 100KVA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SE1-3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</xdr:txBody>
    </xdr:sp>
    <xdr:clientData/>
  </xdr:twoCellAnchor>
  <xdr:twoCellAnchor>
    <xdr:from>
      <xdr:col>8</xdr:col>
      <xdr:colOff>219075</xdr:colOff>
      <xdr:row>34</xdr:row>
      <xdr:rowOff>133350</xdr:rowOff>
    </xdr:from>
    <xdr:to>
      <xdr:col>10</xdr:col>
      <xdr:colOff>323850</xdr:colOff>
      <xdr:row>36</xdr:row>
      <xdr:rowOff>142875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E2FAC14B-3269-4599-83AB-211A74DD335F}"/>
            </a:ext>
          </a:extLst>
        </xdr:cNvPr>
        <xdr:cNvSpPr txBox="1"/>
      </xdr:nvSpPr>
      <xdr:spPr>
        <a:xfrm>
          <a:off x="2809875" y="5334000"/>
          <a:ext cx="866775" cy="3143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1" u="sng" baseline="0">
              <a:solidFill>
                <a:schemeClr val="tx1"/>
              </a:solidFill>
            </a:rPr>
            <a:t>T1-260/29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225135</xdr:rowOff>
    </xdr:from>
    <xdr:to>
      <xdr:col>20</xdr:col>
      <xdr:colOff>865909</xdr:colOff>
      <xdr:row>50</xdr:row>
      <xdr:rowOff>51954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18DC4A-3CCB-439F-9451-315A6D4FC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2885"/>
          <a:ext cx="11400559" cy="70181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2C89D5C-9A9F-4F31-B902-824AFC509299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C3B9080-2310-45E0-B116-4F0431A52E13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-1</xdr:colOff>
      <xdr:row>8</xdr:row>
      <xdr:rowOff>-1</xdr:rowOff>
    </xdr:from>
    <xdr:to>
      <xdr:col>26</xdr:col>
      <xdr:colOff>536863</xdr:colOff>
      <xdr:row>57</xdr:row>
      <xdr:rowOff>86590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683D64-6EF5-4944-BA0F-0CEAA19E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49" y="1238249"/>
          <a:ext cx="14081414" cy="80209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unjun.baheransyah/Downloads/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LP%20TEGOWANU/Downloads/KKO%20KKF%20PB%20B2%20105KVA%20AGR%20HANDOYO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5" style="139" customWidth="1"/>
    <col min="4" max="4" width="12.5" style="139" customWidth="1"/>
    <col min="5" max="5" width="8.6640625" style="116" customWidth="1"/>
    <col min="6" max="6" width="12.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" style="117" hidden="1" customWidth="1"/>
    <col min="13" max="16384" width="9.16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1105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32</v>
      </c>
      <c r="E7" s="533" t="s">
        <v>33</v>
      </c>
      <c r="F7" s="533" t="s">
        <v>1106</v>
      </c>
      <c r="G7" s="534" t="s">
        <v>31</v>
      </c>
      <c r="H7" s="530" t="s">
        <v>1013</v>
      </c>
      <c r="I7" s="530" t="s">
        <v>1108</v>
      </c>
      <c r="J7" s="530" t="s">
        <v>997</v>
      </c>
      <c r="K7" s="524" t="s">
        <v>995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209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 ht="16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50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 ht="16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SUMIFS(RAB!$F$14:$F$143,RAB!$C$14:$C$143,C718)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SUMIFS(RAB!$F$14:$F$143,RAB!$C$14:$C$143,C720)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SUMIFS(RAB!$F$14:$F$143,RAB!$C$14:$C$143,C780)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SUMIFS(RAB!$F$14:$F$143,RAB!$C$14:$C$143,C786)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SUMIFS(RAB!$F$14:$F$143,RAB!$C$14:$C$143,C802)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SUMIFS(RAB!$F$14:$F$143,RAB!$C$14:$C$143,C803)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SUMIFS(RAB!$F$14:$F$143,RAB!$C$14:$C$143,C804)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SUMIFS(RAB!$F$14:$F$143,RAB!$C$14:$C$143,C817)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SUMIFS(RAB!$F$14:$F$143,RAB!$C$14:$C$143,C822)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SUMIFS(RAB!$F$14:$F$143,RAB!$C$14:$C$143,C828)</f>
        <v>209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SUMIFS(RAB!$F$14:$F$143,RAB!$C$14:$C$143,C836)</f>
        <v>50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SUMIFS(RAB!$F$14:$F$143,RAB!$C$14:$C$143,C838)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SUMIFS(RAB!$F$14:$F$143,RAB!$C$14:$C$143,C852)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1098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4" t="str">
        <f>RAB!G6</f>
        <v>AGR HANDOYO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SUKOREJO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32</v>
      </c>
      <c r="E11" s="557" t="s">
        <v>33</v>
      </c>
      <c r="F11" s="557" t="s">
        <v>2</v>
      </c>
      <c r="G11" s="558" t="s">
        <v>31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36</v>
      </c>
      <c r="I12" s="549" t="s">
        <v>5</v>
      </c>
      <c r="J12" s="547" t="s">
        <v>37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5" t="s">
        <v>981</v>
      </c>
      <c r="D38" s="545"/>
      <c r="E38" s="545"/>
      <c r="F38" s="545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46" t="s">
        <v>452</v>
      </c>
      <c r="D39" s="546"/>
      <c r="E39" s="546"/>
      <c r="F39" s="546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35" t="s">
        <v>453</v>
      </c>
      <c r="D40" s="535"/>
      <c r="E40" s="535"/>
      <c r="F40" s="535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8" t="e">
        <f ca="1">"Terbilang : ( "&amp;L42&amp;" Rupiah )"</f>
        <v>#NAME?</v>
      </c>
      <c r="C41" s="539"/>
      <c r="D41" s="539"/>
      <c r="E41" s="539"/>
      <c r="F41" s="539"/>
      <c r="G41" s="539"/>
      <c r="H41" s="539"/>
      <c r="I41" s="539"/>
      <c r="J41" s="539"/>
      <c r="K41" s="540"/>
      <c r="L41" s="44"/>
      <c r="R41" s="58"/>
      <c r="S41" s="58"/>
      <c r="T41" s="58"/>
    </row>
    <row r="42" spans="1:20" s="36" customFormat="1">
      <c r="A42" s="30"/>
      <c r="B42" s="541"/>
      <c r="C42" s="542"/>
      <c r="D42" s="542"/>
      <c r="E42" s="542"/>
      <c r="F42" s="542"/>
      <c r="G42" s="542"/>
      <c r="H42" s="542"/>
      <c r="I42" s="542"/>
      <c r="J42" s="542"/>
      <c r="K42" s="543"/>
      <c r="L42" s="62" t="e">
        <f ca="1">PROPER([89]!terbilang(K40))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6"/>
      <c r="I45" s="536"/>
      <c r="J45" s="537"/>
      <c r="K45" s="53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6"/>
      <c r="I46" s="536"/>
      <c r="J46" s="537"/>
      <c r="K46" s="53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6"/>
      <c r="I47" s="536"/>
      <c r="J47" s="537"/>
      <c r="K47" s="53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6"/>
      <c r="I52" s="536"/>
      <c r="J52" s="537"/>
      <c r="K52" s="53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SUMIFS(RAB!$F$14:$F$143,RAB!$C$14:$C$143,'REKAP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SUMIFS(RAB!$F$14:$F$143,RAB!$C$14:$C$143,'REKAP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1" t="s">
        <v>1005</v>
      </c>
      <c r="C4" s="551"/>
      <c r="D4" s="551"/>
      <c r="E4" s="551"/>
      <c r="F4" s="551"/>
      <c r="G4" s="551"/>
      <c r="H4" s="551"/>
      <c r="I4" s="551"/>
      <c r="J4" s="551"/>
      <c r="K4" s="55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44" t="str">
        <f>RAB!G6</f>
        <v>AGR HANDOYO</v>
      </c>
      <c r="H6" s="544"/>
      <c r="I6" s="544"/>
      <c r="J6" s="544"/>
      <c r="K6" s="544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SUKOREJO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52" t="s">
        <v>0</v>
      </c>
      <c r="C11" s="554" t="s">
        <v>1</v>
      </c>
      <c r="D11" s="557" t="s">
        <v>32</v>
      </c>
      <c r="E11" s="557" t="s">
        <v>33</v>
      </c>
      <c r="F11" s="557" t="s">
        <v>2</v>
      </c>
      <c r="G11" s="558" t="s">
        <v>31</v>
      </c>
      <c r="H11" s="557" t="s">
        <v>3</v>
      </c>
      <c r="I11" s="557"/>
      <c r="J11" s="557"/>
      <c r="K11" s="561"/>
      <c r="M11" s="33"/>
      <c r="N11" s="33"/>
      <c r="O11" s="33"/>
      <c r="P11" s="33"/>
      <c r="R11" s="34"/>
      <c r="S11" s="74"/>
      <c r="T11" s="74"/>
    </row>
    <row r="12" spans="1:21" ht="15" customHeight="1">
      <c r="B12" s="553"/>
      <c r="C12" s="555"/>
      <c r="D12" s="547"/>
      <c r="E12" s="547"/>
      <c r="F12" s="547"/>
      <c r="G12" s="559"/>
      <c r="H12" s="549" t="s">
        <v>36</v>
      </c>
      <c r="I12" s="549" t="s">
        <v>5</v>
      </c>
      <c r="J12" s="547" t="s">
        <v>37</v>
      </c>
      <c r="K12" s="54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3"/>
      <c r="C13" s="556"/>
      <c r="D13" s="547"/>
      <c r="E13" s="547"/>
      <c r="F13" s="547"/>
      <c r="G13" s="560"/>
      <c r="H13" s="550"/>
      <c r="I13" s="550"/>
      <c r="J13" s="547"/>
      <c r="K13" s="54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209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2967800</v>
      </c>
      <c r="I21" s="42">
        <f t="shared" ca="1" si="2"/>
        <v>0</v>
      </c>
      <c r="J21" s="42">
        <f t="shared" ca="1" si="3"/>
        <v>0</v>
      </c>
      <c r="K21" s="43">
        <f t="shared" ca="1" si="0"/>
        <v>2967800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50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2725000</v>
      </c>
      <c r="I22" s="42">
        <f t="shared" ca="1" si="2"/>
        <v>0</v>
      </c>
      <c r="J22" s="42">
        <f t="shared" ca="1" si="3"/>
        <v>0</v>
      </c>
      <c r="K22" s="43">
        <f t="shared" ca="1" si="0"/>
        <v>2725000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5" t="s">
        <v>981</v>
      </c>
      <c r="D168" s="545"/>
      <c r="E168" s="545"/>
      <c r="F168" s="545"/>
      <c r="G168" s="77" t="s">
        <v>9</v>
      </c>
      <c r="H168" s="55">
        <f ca="1">SUM(H14:H167)</f>
        <v>82975950</v>
      </c>
      <c r="I168" s="55">
        <f ca="1">SUM(I14:I167)</f>
        <v>0</v>
      </c>
      <c r="J168" s="55">
        <f ca="1">SUM(J14:J167)</f>
        <v>0</v>
      </c>
      <c r="K168" s="55">
        <f ca="1">SUM(K14:K167)</f>
        <v>82975950</v>
      </c>
      <c r="L168" s="44"/>
      <c r="R168" s="99"/>
      <c r="S168" s="99"/>
      <c r="T168" s="99"/>
    </row>
    <row r="169" spans="1:20" s="36" customFormat="1">
      <c r="A169" s="30"/>
      <c r="B169" s="56"/>
      <c r="C169" s="546" t="s">
        <v>452</v>
      </c>
      <c r="D169" s="546"/>
      <c r="E169" s="546"/>
      <c r="F169" s="546"/>
      <c r="G169" s="59" t="s">
        <v>9</v>
      </c>
      <c r="H169" s="60">
        <f ca="1">H168*0.1</f>
        <v>8297595</v>
      </c>
      <c r="I169" s="60">
        <f ca="1">I168*0.1</f>
        <v>0</v>
      </c>
      <c r="J169" s="60">
        <f ca="1">J168*0.1</f>
        <v>0</v>
      </c>
      <c r="K169" s="60">
        <f ca="1">K168*0.1</f>
        <v>8297595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35" t="s">
        <v>453</v>
      </c>
      <c r="D170" s="535"/>
      <c r="E170" s="535"/>
      <c r="F170" s="535"/>
      <c r="G170" s="61" t="s">
        <v>9</v>
      </c>
      <c r="H170" s="78">
        <f ca="1">SUM(H168:H169)</f>
        <v>91273545</v>
      </c>
      <c r="I170" s="78">
        <f ca="1">SUM(I168:I169)</f>
        <v>0</v>
      </c>
      <c r="J170" s="61">
        <f ca="1">SUM(J168:J169)</f>
        <v>0</v>
      </c>
      <c r="K170" s="61">
        <f ca="1">SUM(K168:K169)</f>
        <v>91273545</v>
      </c>
      <c r="L170" s="44"/>
      <c r="R170" s="99"/>
      <c r="S170" s="99"/>
      <c r="T170" s="99"/>
    </row>
    <row r="171" spans="1:20" s="36" customFormat="1">
      <c r="A171" s="30"/>
      <c r="B171" s="538" t="e">
        <f ca="1">"Terbilang : ( "&amp;L172&amp;" Rupiah )"</f>
        <v>#NAME?</v>
      </c>
      <c r="C171" s="539"/>
      <c r="D171" s="539"/>
      <c r="E171" s="539"/>
      <c r="F171" s="539"/>
      <c r="G171" s="539"/>
      <c r="H171" s="539"/>
      <c r="I171" s="539"/>
      <c r="J171" s="539"/>
      <c r="K171" s="540"/>
      <c r="L171" s="44"/>
      <c r="R171" s="58"/>
      <c r="S171" s="58"/>
      <c r="T171" s="58"/>
    </row>
    <row r="172" spans="1:20" s="36" customFormat="1">
      <c r="A172" s="30"/>
      <c r="B172" s="541"/>
      <c r="C172" s="542"/>
      <c r="D172" s="542"/>
      <c r="E172" s="542"/>
      <c r="F172" s="542"/>
      <c r="G172" s="542"/>
      <c r="H172" s="542"/>
      <c r="I172" s="542"/>
      <c r="J172" s="542"/>
      <c r="K172" s="543"/>
      <c r="L172" s="62" t="e">
        <f ca="1">PROPER([89]!terbilang(K170))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6"/>
      <c r="I175" s="536"/>
      <c r="J175" s="537"/>
      <c r="K175" s="53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6"/>
      <c r="I176" s="536"/>
      <c r="J176" s="537"/>
      <c r="K176" s="53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6"/>
      <c r="I177" s="536"/>
      <c r="J177" s="537"/>
      <c r="K177" s="53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6"/>
      <c r="I182" s="536"/>
      <c r="J182" s="537"/>
      <c r="K182" s="53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SUMIFS(RAB!$F$14:$F$143,RAB!$C$14:$C$143,C228)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SUMIFS(RAB!$F$14:$F$143,RAB!$C$14:$C$143,C230)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SUMIFS(RAB!$F$14:$F$143,RAB!$C$14:$C$143,C290)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SUMIFS(RAB!$F$14:$F$143,RAB!$C$14:$C$143,C296)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SUMIFS(RAB!$F$14:$F$143,RAB!$C$14:$C$143,C312)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SUMIFS(RAB!$F$14:$F$143,RAB!$C$14:$C$143,C313)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SUMIFS(RAB!$F$14:$F$143,RAB!$C$14:$C$143,C314)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SUMIFS(RAB!$F$14:$F$143,RAB!$C$14:$C$143,C327)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SUMIFS(RAB!$F$14:$F$143,RAB!$C$14:$C$143,C332)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SUMIFS(RAB!$F$14:$F$143,RAB!$C$14:$C$143,C338)</f>
        <v>209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SUMIFS(RAB!$F$14:$F$143,RAB!$C$14:$C$143,C346)</f>
        <v>50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SUMIFS(RAB!$F$14:$F$143,RAB!$C$14:$C$143,C348)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5" customWidth="1"/>
  </cols>
  <sheetData>
    <row r="1" spans="4:4" ht="89.25" customHeight="1"/>
    <row r="3" spans="4:4" ht="50.25" customHeight="1">
      <c r="D3" s="378"/>
    </row>
    <row r="4" spans="4:4" ht="57" customHeight="1">
      <c r="D4" s="378">
        <v>3</v>
      </c>
    </row>
    <row r="5" spans="4:4" ht="57" customHeight="1">
      <c r="D5" s="37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63" t="s">
        <v>31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13</v>
      </c>
      <c r="C4" s="565" t="s">
        <v>983</v>
      </c>
      <c r="D4" s="565" t="s">
        <v>32</v>
      </c>
      <c r="E4" s="564" t="s">
        <v>33</v>
      </c>
      <c r="F4" s="108" t="s">
        <v>1579</v>
      </c>
      <c r="G4" s="108" t="s">
        <v>1578</v>
      </c>
      <c r="H4" s="562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82" t="s">
        <v>1578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1522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1523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1524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1525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1526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1527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1528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1529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1430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1530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1531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1532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1533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1534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1535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1536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1431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1432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1537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1538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1539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1540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1541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1542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1543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1544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1545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1546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1547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1548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1549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1550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1551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1552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1553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1554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1555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1556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1557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1558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1559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1560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1561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1562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1563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1564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1565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1566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1567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1568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1569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1570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1571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1572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1573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1433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1434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1435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1436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1437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1438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1439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04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04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1440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1441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1442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1443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1444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1445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1446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1447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1448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1449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1450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1451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1452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1453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1454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1455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1456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1457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1458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1459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1460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1461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1462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1463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1464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1465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1466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1467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1468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1469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1470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1471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1472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1473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1474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1475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1476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1477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1478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1479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1480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1481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1482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1483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1484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1485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1486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1487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1488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1490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1489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1574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1575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1576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1491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1492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1493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1494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1495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1496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1497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1498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1577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405">
        <v>2740</v>
      </c>
      <c r="G1433" s="405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406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406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406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406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406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2" sqref="O12"/>
    </sheetView>
  </sheetViews>
  <sheetFormatPr baseColWidth="10" defaultColWidth="9.1640625" defaultRowHeight="15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5" style="191" customWidth="1"/>
    <col min="6" max="6" width="5.5" style="191" customWidth="1"/>
    <col min="7" max="7" width="5.5" style="191" hidden="1" customWidth="1"/>
    <col min="8" max="8" width="5.1640625" style="191" customWidth="1"/>
    <col min="9" max="9" width="34.1640625" style="191" customWidth="1"/>
    <col min="10" max="10" width="3.5" style="191" customWidth="1"/>
    <col min="11" max="11" width="12.6640625" style="191" customWidth="1"/>
    <col min="12" max="12" width="12.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33203125" style="191" customWidth="1"/>
    <col min="17" max="17" width="14.5" style="191" customWidth="1"/>
    <col min="18" max="16384" width="9.1640625" style="191"/>
  </cols>
  <sheetData>
    <row r="2" spans="1:12" s="194" customFormat="1" ht="18.75" customHeight="1">
      <c r="B2" s="570" t="s">
        <v>1428</v>
      </c>
      <c r="C2" s="570"/>
      <c r="D2" s="570"/>
      <c r="E2" s="570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75" t="s">
        <v>1502</v>
      </c>
      <c r="C4" s="576"/>
      <c r="D4" s="576"/>
      <c r="E4" s="577"/>
      <c r="F4" s="360"/>
      <c r="G4" s="360"/>
      <c r="H4" s="361"/>
      <c r="I4" s="602" t="s">
        <v>1503</v>
      </c>
      <c r="J4" s="603"/>
      <c r="K4" s="603"/>
      <c r="L4" s="604"/>
    </row>
    <row r="5" spans="1:12" ht="34.5" customHeight="1">
      <c r="A5" s="193"/>
      <c r="B5" s="363" t="s">
        <v>1350</v>
      </c>
      <c r="C5" s="200" t="s">
        <v>9</v>
      </c>
      <c r="D5" s="571" t="str">
        <f>DATA!D14</f>
        <v>AGR HANDOYO</v>
      </c>
      <c r="E5" s="572"/>
      <c r="F5" s="197"/>
      <c r="G5" s="197"/>
      <c r="I5" s="364" t="s">
        <v>1350</v>
      </c>
      <c r="J5" s="200" t="s">
        <v>9</v>
      </c>
      <c r="K5" s="605" t="str">
        <f>D5</f>
        <v>AGR HANDOYO</v>
      </c>
      <c r="L5" s="606"/>
    </row>
    <row r="6" spans="1:12" ht="31.5" customHeight="1">
      <c r="A6" s="193"/>
      <c r="B6" s="363" t="s">
        <v>1499</v>
      </c>
      <c r="C6" s="200" t="s">
        <v>9</v>
      </c>
      <c r="D6" s="580">
        <f>DATA!D17*1000</f>
        <v>0</v>
      </c>
      <c r="E6" s="581"/>
      <c r="F6" s="197"/>
      <c r="G6" s="197"/>
      <c r="I6" s="364" t="s">
        <v>1500</v>
      </c>
      <c r="J6" s="200" t="s">
        <v>9</v>
      </c>
      <c r="K6" s="607">
        <f>DATA!D20*1000</f>
        <v>105000</v>
      </c>
      <c r="L6" s="608"/>
    </row>
    <row r="7" spans="1:12" ht="30.75" customHeight="1">
      <c r="A7" s="193"/>
      <c r="B7" s="363" t="s">
        <v>1412</v>
      </c>
      <c r="C7" s="200" t="s">
        <v>9</v>
      </c>
      <c r="D7" s="578">
        <f>DATA!D18</f>
        <v>1</v>
      </c>
      <c r="E7" s="579"/>
      <c r="F7" s="362" t="s">
        <v>1427</v>
      </c>
      <c r="I7" s="364" t="s">
        <v>1412</v>
      </c>
      <c r="J7" s="200" t="s">
        <v>9</v>
      </c>
      <c r="K7" s="609">
        <f>DATA!D21</f>
        <v>3</v>
      </c>
      <c r="L7" s="610"/>
    </row>
    <row r="8" spans="1:12" ht="51" customHeight="1">
      <c r="A8" s="193"/>
      <c r="B8" s="363" t="s">
        <v>1413</v>
      </c>
      <c r="C8" s="200" t="s">
        <v>9</v>
      </c>
      <c r="D8" s="578">
        <f>DATA!D19</f>
        <v>220</v>
      </c>
      <c r="E8" s="579"/>
      <c r="F8" s="362" t="s">
        <v>1427</v>
      </c>
      <c r="G8" s="357">
        <v>220</v>
      </c>
      <c r="I8" s="364" t="s">
        <v>1413</v>
      </c>
      <c r="J8" s="200" t="s">
        <v>9</v>
      </c>
      <c r="K8" s="609">
        <f>DATA!D22</f>
        <v>380</v>
      </c>
      <c r="L8" s="610"/>
    </row>
    <row r="9" spans="1:12" ht="30" customHeight="1" thickBot="1">
      <c r="A9" s="193"/>
      <c r="B9" s="369" t="s">
        <v>1511</v>
      </c>
      <c r="C9" s="359" t="s">
        <v>9</v>
      </c>
      <c r="D9" s="573">
        <f>IF(D7=1,D6/(380/3^0.5),(D6/(380*3^0.5)))</f>
        <v>0</v>
      </c>
      <c r="E9" s="574"/>
      <c r="F9" s="196"/>
      <c r="G9" s="358">
        <v>380</v>
      </c>
      <c r="I9" s="370" t="s">
        <v>1511</v>
      </c>
      <c r="J9" s="359" t="s">
        <v>9</v>
      </c>
      <c r="K9" s="613">
        <f>IF(K7=1,K6/(380/3^0.5),(K6/(380*3^0.5)))</f>
        <v>159.53099543397556</v>
      </c>
      <c r="L9" s="614"/>
    </row>
    <row r="10" spans="1:12" ht="24.75" customHeight="1">
      <c r="B10" s="371"/>
      <c r="C10" s="368"/>
      <c r="D10" s="372"/>
      <c r="E10" s="372"/>
      <c r="F10" s="196"/>
      <c r="G10" s="358"/>
      <c r="I10" s="371"/>
      <c r="J10" s="368"/>
      <c r="K10" s="372"/>
      <c r="L10" s="372"/>
    </row>
    <row r="11" spans="1:12" ht="18" thickBot="1">
      <c r="B11" s="365" t="s">
        <v>1512</v>
      </c>
      <c r="I11" s="365" t="s">
        <v>1506</v>
      </c>
    </row>
    <row r="12" spans="1:12" ht="34.5" customHeight="1">
      <c r="A12" s="193"/>
      <c r="B12" s="393" t="s">
        <v>1504</v>
      </c>
      <c r="C12" s="387" t="s">
        <v>9</v>
      </c>
      <c r="D12" s="582"/>
      <c r="E12" s="583"/>
      <c r="F12" s="197"/>
      <c r="G12" s="197"/>
      <c r="I12" s="386" t="s">
        <v>1504</v>
      </c>
      <c r="J12" s="387" t="s">
        <v>9</v>
      </c>
      <c r="K12" s="615" t="s">
        <v>1594</v>
      </c>
      <c r="L12" s="616"/>
    </row>
    <row r="13" spans="1:12" ht="31.5" customHeight="1">
      <c r="A13" s="193"/>
      <c r="B13" s="394" t="s">
        <v>1351</v>
      </c>
      <c r="C13" s="374" t="s">
        <v>9</v>
      </c>
      <c r="D13" s="586"/>
      <c r="E13" s="587"/>
      <c r="F13" s="197"/>
      <c r="G13" s="197"/>
      <c r="I13" s="388" t="s">
        <v>1351</v>
      </c>
      <c r="J13" s="374" t="s">
        <v>9</v>
      </c>
      <c r="K13" s="611" t="s">
        <v>1595</v>
      </c>
      <c r="L13" s="612"/>
    </row>
    <row r="14" spans="1:12" ht="30.75" customHeight="1">
      <c r="A14" s="193"/>
      <c r="B14" s="394" t="s">
        <v>1505</v>
      </c>
      <c r="C14" s="374" t="s">
        <v>9</v>
      </c>
      <c r="D14" s="594"/>
      <c r="E14" s="595"/>
      <c r="F14" s="362" t="s">
        <v>1427</v>
      </c>
      <c r="G14" s="366">
        <v>50</v>
      </c>
      <c r="I14" s="388" t="s">
        <v>1505</v>
      </c>
      <c r="J14" s="374" t="s">
        <v>9</v>
      </c>
      <c r="K14" s="596">
        <v>100</v>
      </c>
      <c r="L14" s="597"/>
    </row>
    <row r="15" spans="1:12" ht="57" customHeight="1">
      <c r="A15" s="193"/>
      <c r="B15" s="394" t="s">
        <v>1412</v>
      </c>
      <c r="C15" s="374" t="s">
        <v>9</v>
      </c>
      <c r="D15" s="380"/>
      <c r="E15" s="389"/>
      <c r="F15" s="362" t="s">
        <v>1427</v>
      </c>
      <c r="G15" s="366">
        <v>100</v>
      </c>
      <c r="I15" s="388" t="s">
        <v>1412</v>
      </c>
      <c r="J15" s="374" t="s">
        <v>9</v>
      </c>
      <c r="K15" s="380">
        <v>3</v>
      </c>
      <c r="L15" s="389"/>
    </row>
    <row r="16" spans="1:12" ht="44.25" customHeight="1">
      <c r="A16" s="193"/>
      <c r="B16" s="394" t="s">
        <v>1515</v>
      </c>
      <c r="C16" s="374"/>
      <c r="D16" s="598"/>
      <c r="E16" s="599"/>
      <c r="F16" s="362"/>
      <c r="G16" s="366">
        <v>160</v>
      </c>
      <c r="I16" s="388" t="s">
        <v>1507</v>
      </c>
      <c r="J16" s="374" t="s">
        <v>9</v>
      </c>
      <c r="K16" s="600">
        <f>K9</f>
        <v>159.53099543397556</v>
      </c>
      <c r="L16" s="601"/>
    </row>
    <row r="17" spans="1:12" ht="34.5" customHeight="1">
      <c r="A17" s="193"/>
      <c r="B17" s="394" t="s">
        <v>1508</v>
      </c>
      <c r="C17" s="374" t="s">
        <v>9</v>
      </c>
      <c r="D17" s="588">
        <f>IF(D15=1,D14/(20/3^0.5),(D14/(20*3^0.5)))</f>
        <v>0</v>
      </c>
      <c r="E17" s="589"/>
      <c r="F17" s="362" t="s">
        <v>1427</v>
      </c>
      <c r="G17" s="367">
        <v>200</v>
      </c>
      <c r="I17" s="388" t="s">
        <v>1508</v>
      </c>
      <c r="J17" s="374" t="s">
        <v>9</v>
      </c>
      <c r="K17" s="592">
        <f>IF(K15=1,K14/(20/3^0.5),(K14/(20*3^0.5)))</f>
        <v>2.8867513459481291</v>
      </c>
      <c r="L17" s="593"/>
    </row>
    <row r="18" spans="1:12" ht="34.5" customHeight="1">
      <c r="A18" s="193"/>
      <c r="B18" s="394" t="s">
        <v>1509</v>
      </c>
      <c r="C18" s="374" t="s">
        <v>9</v>
      </c>
      <c r="D18" s="588">
        <f>IF(D15=1,D14/(380/3^0.5),(D14/(380*3^0.5)))*1000</f>
        <v>0</v>
      </c>
      <c r="E18" s="589"/>
      <c r="F18" s="362" t="s">
        <v>1427</v>
      </c>
      <c r="G18" s="367">
        <v>250</v>
      </c>
      <c r="I18" s="388" t="s">
        <v>1509</v>
      </c>
      <c r="J18" s="374" t="s">
        <v>9</v>
      </c>
      <c r="K18" s="592">
        <f>IF(K15=1,K14/(380/3^0.5),(K14/(380*3^0.5)))*1000</f>
        <v>151.93428136569102</v>
      </c>
      <c r="L18" s="593"/>
    </row>
    <row r="19" spans="1:12" ht="30" customHeight="1">
      <c r="A19" s="193"/>
      <c r="B19" s="395" t="s">
        <v>1501</v>
      </c>
      <c r="C19" s="373" t="s">
        <v>9</v>
      </c>
      <c r="D19" s="588">
        <f>IF(D15=1,D13/(380/3^0.5),(D13/(380*3^0.5)))</f>
        <v>0</v>
      </c>
      <c r="E19" s="589"/>
      <c r="F19" s="196"/>
      <c r="G19" s="358"/>
      <c r="I19" s="390" t="s">
        <v>1501</v>
      </c>
      <c r="J19" s="373" t="s">
        <v>9</v>
      </c>
      <c r="K19" s="592" t="e">
        <f>IF(K15=1,K13/(380/3^0.5),(K13/(380*3^0.5)))</f>
        <v>#VALUE!</v>
      </c>
      <c r="L19" s="593"/>
    </row>
    <row r="20" spans="1:12" ht="30" customHeight="1" thickBot="1">
      <c r="A20" s="193"/>
      <c r="B20" s="396" t="s">
        <v>1510</v>
      </c>
      <c r="C20" s="392" t="s">
        <v>9</v>
      </c>
      <c r="D20" s="584" t="e">
        <f>D16/D18</f>
        <v>#DIV/0!</v>
      </c>
      <c r="E20" s="585"/>
      <c r="F20" s="196"/>
      <c r="G20" s="358"/>
      <c r="I20" s="391" t="s">
        <v>1501</v>
      </c>
      <c r="J20" s="392" t="s">
        <v>9</v>
      </c>
      <c r="K20" s="590">
        <f>K16/K18</f>
        <v>1.05</v>
      </c>
      <c r="L20" s="591"/>
    </row>
    <row r="21" spans="1:12" ht="9.75" customHeight="1">
      <c r="A21" s="193"/>
      <c r="B21" s="381" t="s">
        <v>1510</v>
      </c>
      <c r="C21" s="382" t="s">
        <v>9</v>
      </c>
      <c r="D21" s="569">
        <v>1</v>
      </c>
      <c r="E21" s="569"/>
      <c r="F21" s="383"/>
      <c r="G21" s="384"/>
      <c r="H21" s="385"/>
      <c r="I21" s="381" t="s">
        <v>1501</v>
      </c>
      <c r="J21" s="382" t="s">
        <v>9</v>
      </c>
      <c r="K21" s="569">
        <v>1</v>
      </c>
      <c r="L21" s="569"/>
    </row>
    <row r="22" spans="1:12" ht="6.75" customHeight="1">
      <c r="B22" s="371"/>
      <c r="C22" s="368"/>
      <c r="D22" s="379"/>
      <c r="E22" s="379"/>
      <c r="F22" s="196"/>
      <c r="G22" s="358"/>
      <c r="J22" s="368"/>
      <c r="K22" s="379"/>
      <c r="L22" s="379"/>
    </row>
    <row r="23" spans="1:12" ht="16" thickBot="1"/>
    <row r="24" spans="1:12" ht="200.25" customHeight="1" thickBot="1">
      <c r="B24" s="566"/>
      <c r="C24" s="567"/>
      <c r="D24" s="567"/>
      <c r="E24" s="568"/>
      <c r="I24" s="566"/>
      <c r="J24" s="567"/>
      <c r="K24" s="567"/>
      <c r="L24" s="568"/>
    </row>
    <row r="26" spans="1:12">
      <c r="D26" s="376"/>
    </row>
    <row r="27" spans="1:12">
      <c r="D27" s="37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Normal="100" workbookViewId="0">
      <selection activeCell="D16" sqref="D16"/>
    </sheetView>
  </sheetViews>
  <sheetFormatPr baseColWidth="10" defaultColWidth="9.1640625" defaultRowHeight="15"/>
  <cols>
    <col min="1" max="1" width="1.33203125" style="210" customWidth="1"/>
    <col min="2" max="2" width="25.1640625" style="210" customWidth="1"/>
    <col min="3" max="3" width="3.33203125" style="210" customWidth="1"/>
    <col min="4" max="4" width="26.33203125" style="224" customWidth="1"/>
    <col min="5" max="5" width="6.5" style="210" customWidth="1"/>
    <col min="6" max="6" width="12" style="210" bestFit="1" customWidth="1"/>
    <col min="7" max="8" width="9.1640625" style="210" hidden="1" customWidth="1"/>
    <col min="9" max="9" width="9.1640625" style="210"/>
    <col min="10" max="10" width="3.83203125" style="210" customWidth="1"/>
    <col min="11" max="11" width="2.6640625" style="210" customWidth="1"/>
    <col min="12" max="16384" width="9.1640625" style="210"/>
  </cols>
  <sheetData>
    <row r="1" spans="2:11" ht="12.75" customHeight="1">
      <c r="B1" s="617"/>
      <c r="C1" s="617"/>
      <c r="D1" s="617"/>
    </row>
    <row r="2" spans="2:11" ht="15.75" customHeight="1">
      <c r="B2" s="211" t="s">
        <v>1417</v>
      </c>
      <c r="C2" s="212"/>
      <c r="D2" s="213"/>
    </row>
    <row r="3" spans="2:11" ht="20" customHeight="1">
      <c r="B3" s="214" t="s">
        <v>1320</v>
      </c>
      <c r="C3" s="215" t="s">
        <v>9</v>
      </c>
      <c r="D3" s="216">
        <v>2022</v>
      </c>
    </row>
    <row r="4" spans="2:11" ht="20" customHeight="1">
      <c r="B4" s="214" t="s">
        <v>1001</v>
      </c>
      <c r="C4" s="215" t="s">
        <v>9</v>
      </c>
      <c r="D4" s="217">
        <v>0.12</v>
      </c>
    </row>
    <row r="5" spans="2:11" ht="20" customHeight="1">
      <c r="B5" s="214" t="s">
        <v>1321</v>
      </c>
      <c r="C5" s="215" t="s">
        <v>9</v>
      </c>
      <c r="D5" s="407">
        <v>1084.1250458865841</v>
      </c>
      <c r="F5" s="403" t="s">
        <v>1580</v>
      </c>
      <c r="K5" s="402"/>
    </row>
    <row r="6" spans="2:11" ht="20" customHeight="1">
      <c r="B6" s="214" t="s">
        <v>1322</v>
      </c>
      <c r="C6" s="215" t="s">
        <v>9</v>
      </c>
      <c r="D6" s="219">
        <v>25</v>
      </c>
      <c r="F6" s="403"/>
    </row>
    <row r="7" spans="2:11" ht="20" customHeight="1">
      <c r="B7" s="214" t="s">
        <v>1323</v>
      </c>
      <c r="C7" s="215" t="s">
        <v>9</v>
      </c>
      <c r="D7" s="220">
        <v>2.2499999999999999E-2</v>
      </c>
    </row>
    <row r="8" spans="2:11" ht="20" customHeight="1">
      <c r="B8" s="214" t="s">
        <v>1418</v>
      </c>
      <c r="C8" s="215" t="s">
        <v>9</v>
      </c>
      <c r="D8" s="221">
        <f>D20-D17</f>
        <v>105</v>
      </c>
    </row>
    <row r="9" spans="2:11" ht="20" customHeight="1">
      <c r="B9" s="214" t="s">
        <v>1419</v>
      </c>
      <c r="C9" s="215" t="s">
        <v>9</v>
      </c>
      <c r="D9" s="221">
        <f>(D8*D25)*1000</f>
        <v>98385000</v>
      </c>
    </row>
    <row r="10" spans="2:11" ht="20" customHeight="1">
      <c r="B10" s="214" t="s">
        <v>1420</v>
      </c>
      <c r="C10" s="215" t="s">
        <v>9</v>
      </c>
      <c r="D10" s="221">
        <f ca="1">RAB!K149</f>
        <v>121455010.92359999</v>
      </c>
    </row>
    <row r="11" spans="2:11" ht="20" customHeight="1">
      <c r="B11" s="214" t="s">
        <v>1327</v>
      </c>
      <c r="C11" s="215" t="s">
        <v>9</v>
      </c>
      <c r="D11" s="218">
        <f ca="1">2%*D10</f>
        <v>2429100.2184719997</v>
      </c>
    </row>
    <row r="12" spans="2:11" ht="9" customHeight="1">
      <c r="B12" s="618"/>
      <c r="C12" s="618"/>
      <c r="D12" s="618"/>
    </row>
    <row r="13" spans="2:11" ht="15.75" customHeight="1">
      <c r="B13" s="222"/>
      <c r="C13" s="222"/>
      <c r="D13" s="222"/>
    </row>
    <row r="14" spans="2:11" ht="33.75" customHeight="1">
      <c r="B14" s="347" t="s">
        <v>1350</v>
      </c>
      <c r="C14" s="348" t="s">
        <v>9</v>
      </c>
      <c r="D14" s="353" t="s">
        <v>1591</v>
      </c>
      <c r="E14" s="223" t="s">
        <v>1427</v>
      </c>
    </row>
    <row r="15" spans="2:11" ht="20" customHeight="1">
      <c r="B15" s="349" t="s">
        <v>1421</v>
      </c>
      <c r="C15" s="350" t="s">
        <v>9</v>
      </c>
      <c r="D15" s="354" t="s">
        <v>1593</v>
      </c>
      <c r="E15" s="223" t="s">
        <v>1427</v>
      </c>
    </row>
    <row r="16" spans="2:11" ht="20" customHeight="1">
      <c r="B16" s="349" t="s">
        <v>1422</v>
      </c>
      <c r="C16" s="350" t="s">
        <v>9</v>
      </c>
      <c r="D16" s="354" t="s">
        <v>1425</v>
      </c>
      <c r="E16" s="223" t="s">
        <v>1427</v>
      </c>
    </row>
    <row r="17" spans="2:5" ht="20" customHeight="1">
      <c r="B17" s="349" t="s">
        <v>1423</v>
      </c>
      <c r="C17" s="350" t="s">
        <v>9</v>
      </c>
      <c r="D17" s="355">
        <v>0</v>
      </c>
      <c r="E17" s="223" t="s">
        <v>1427</v>
      </c>
    </row>
    <row r="18" spans="2:5" ht="20" hidden="1" customHeight="1">
      <c r="B18" s="349" t="s">
        <v>1513</v>
      </c>
      <c r="C18" s="350"/>
      <c r="D18" s="355">
        <f>IF((D17&lt;=11),1,3)</f>
        <v>1</v>
      </c>
      <c r="E18" s="223"/>
    </row>
    <row r="19" spans="2:5" ht="20" hidden="1" customHeight="1">
      <c r="B19" s="349" t="s">
        <v>1514</v>
      </c>
      <c r="C19" s="350"/>
      <c r="D19" s="355">
        <f>IF((D17&lt;=11),220,380)</f>
        <v>220</v>
      </c>
      <c r="E19" s="223"/>
    </row>
    <row r="20" spans="2:5" ht="20" customHeight="1">
      <c r="B20" s="349" t="s">
        <v>1424</v>
      </c>
      <c r="C20" s="350" t="s">
        <v>9</v>
      </c>
      <c r="D20" s="355">
        <v>105</v>
      </c>
      <c r="E20" s="223" t="s">
        <v>1427</v>
      </c>
    </row>
    <row r="21" spans="2:5" ht="20" hidden="1" customHeight="1">
      <c r="B21" s="349" t="s">
        <v>1513</v>
      </c>
      <c r="C21" s="350"/>
      <c r="D21" s="355">
        <f>IF((D20&lt;=11),1,3)</f>
        <v>3</v>
      </c>
      <c r="E21" s="223"/>
    </row>
    <row r="22" spans="2:5" ht="20" hidden="1" customHeight="1">
      <c r="B22" s="349" t="s">
        <v>1514</v>
      </c>
      <c r="C22" s="350"/>
      <c r="D22" s="355">
        <f>IF((D20&lt;=11),220,380)</f>
        <v>380</v>
      </c>
      <c r="E22" s="223"/>
    </row>
    <row r="23" spans="2:5" ht="20" customHeight="1">
      <c r="B23" s="349" t="s">
        <v>1324</v>
      </c>
      <c r="C23" s="350" t="s">
        <v>9</v>
      </c>
      <c r="D23" s="354">
        <v>1444.7</v>
      </c>
      <c r="E23" s="223" t="s">
        <v>1427</v>
      </c>
    </row>
    <row r="24" spans="2:5" ht="20" customHeight="1">
      <c r="B24" s="349" t="s">
        <v>1325</v>
      </c>
      <c r="C24" s="350" t="s">
        <v>9</v>
      </c>
      <c r="D24" s="354">
        <v>1444.7</v>
      </c>
      <c r="E24" s="223" t="s">
        <v>1427</v>
      </c>
    </row>
    <row r="25" spans="2:5" ht="20" customHeight="1">
      <c r="B25" s="349" t="s">
        <v>1426</v>
      </c>
      <c r="C25" s="350" t="s">
        <v>9</v>
      </c>
      <c r="D25" s="355">
        <v>937</v>
      </c>
      <c r="E25" s="223" t="s">
        <v>1427</v>
      </c>
    </row>
    <row r="26" spans="2:5" ht="20" customHeight="1">
      <c r="B26" s="351" t="s">
        <v>1326</v>
      </c>
      <c r="C26" s="352" t="s">
        <v>9</v>
      </c>
      <c r="D26" s="356">
        <v>40</v>
      </c>
      <c r="E26" s="223" t="s">
        <v>1427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topLeftCell="F1" zoomScale="85" zoomScaleNormal="85" workbookViewId="0">
      <pane ySplit="6" topLeftCell="A26" activePane="bottomLeft" state="frozen"/>
      <selection activeCell="H1093" sqref="H1093"/>
      <selection pane="bottomLeft" activeCell="K34" sqref="K34"/>
    </sheetView>
  </sheetViews>
  <sheetFormatPr baseColWidth="10" defaultColWidth="9.1640625" defaultRowHeight="15"/>
  <cols>
    <col min="1" max="1" width="5" style="225" customWidth="1"/>
    <col min="2" max="2" width="6.33203125" style="225" customWidth="1"/>
    <col min="3" max="3" width="15.1640625" style="225" customWidth="1"/>
    <col min="4" max="4" width="15" style="225" customWidth="1"/>
    <col min="5" max="5" width="15.1640625" style="225" bestFit="1" customWidth="1"/>
    <col min="6" max="6" width="12.1640625" style="225" bestFit="1" customWidth="1"/>
    <col min="7" max="7" width="10" style="225" bestFit="1" customWidth="1"/>
    <col min="8" max="8" width="15.5" style="225" bestFit="1" customWidth="1"/>
    <col min="9" max="9" width="14.1640625" style="225" bestFit="1" customWidth="1"/>
    <col min="10" max="10" width="13.83203125" style="225" bestFit="1" customWidth="1"/>
    <col min="11" max="11" width="15.5" style="225" customWidth="1"/>
    <col min="12" max="12" width="11.1640625" style="225" bestFit="1" customWidth="1"/>
    <col min="13" max="13" width="13.83203125" style="225" bestFit="1" customWidth="1"/>
    <col min="14" max="14" width="12.83203125" style="225" bestFit="1" customWidth="1"/>
    <col min="15" max="15" width="7" style="225" customWidth="1"/>
    <col min="16" max="17" width="12.83203125" style="225" bestFit="1" customWidth="1"/>
    <col min="18" max="18" width="1.33203125" style="225" hidden="1" customWidth="1"/>
    <col min="19" max="19" width="3" style="227" hidden="1" customWidth="1"/>
    <col min="20" max="16384" width="9.1640625" style="225"/>
  </cols>
  <sheetData>
    <row r="1" spans="1:21">
      <c r="G1" s="226"/>
    </row>
    <row r="2" spans="1:21">
      <c r="G2" s="226"/>
      <c r="K2" s="226"/>
    </row>
    <row r="3" spans="1:21">
      <c r="B3" s="619" t="s">
        <v>1328</v>
      </c>
      <c r="C3" s="619"/>
      <c r="D3" s="619"/>
      <c r="E3" s="619"/>
      <c r="F3" s="228" t="str">
        <f>DATA!D14</f>
        <v>AGR HANDOYO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" customHeight="1">
      <c r="B5" s="620" t="s">
        <v>1320</v>
      </c>
      <c r="C5" s="620" t="s">
        <v>1329</v>
      </c>
      <c r="D5" s="621" t="s">
        <v>1330</v>
      </c>
      <c r="E5" s="621" t="s">
        <v>1331</v>
      </c>
      <c r="F5" s="620" t="s">
        <v>1332</v>
      </c>
      <c r="G5" s="620"/>
      <c r="H5" s="620"/>
      <c r="I5" s="620"/>
      <c r="J5" s="620"/>
      <c r="K5" s="620" t="s">
        <v>1333</v>
      </c>
      <c r="L5" s="620"/>
      <c r="M5" s="230"/>
      <c r="N5" s="624" t="s">
        <v>1334</v>
      </c>
      <c r="O5" s="621" t="s">
        <v>1335</v>
      </c>
      <c r="P5" s="621" t="s">
        <v>1336</v>
      </c>
      <c r="Q5" s="621" t="s">
        <v>1337</v>
      </c>
      <c r="R5" s="231"/>
      <c r="S5" s="232"/>
      <c r="T5" s="622" t="s">
        <v>1338</v>
      </c>
      <c r="U5" s="233"/>
    </row>
    <row r="6" spans="1:21" ht="20" customHeight="1">
      <c r="B6" s="620"/>
      <c r="C6" s="620"/>
      <c r="D6" s="620"/>
      <c r="E6" s="620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25"/>
      <c r="O6" s="620"/>
      <c r="P6" s="620"/>
      <c r="Q6" s="620"/>
      <c r="R6" s="231"/>
      <c r="S6" s="232"/>
      <c r="T6" s="620"/>
      <c r="U6" s="235"/>
    </row>
    <row r="7" spans="1:21" ht="20" customHeight="1">
      <c r="A7" s="236">
        <v>0</v>
      </c>
      <c r="B7" s="237">
        <v>2023</v>
      </c>
      <c r="C7" s="397">
        <f>DATA!D8*DATA!D26*8</f>
        <v>33600</v>
      </c>
      <c r="D7" s="239">
        <f>C7*4/24</f>
        <v>5600</v>
      </c>
      <c r="E7" s="239">
        <f>C7-D7</f>
        <v>28000</v>
      </c>
      <c r="F7" s="240">
        <f ca="1">DATA!D10/1000000</f>
        <v>121.45501092359999</v>
      </c>
      <c r="G7" s="241">
        <f ca="1">DATA!$D$11/1000000</f>
        <v>2.4291002184719996</v>
      </c>
      <c r="H7" s="241">
        <f>C7*DATA!$D$5/1000000</f>
        <v>36.426601541789225</v>
      </c>
      <c r="I7" s="241">
        <f>(C7*DATA!$D$5*DATA!$D$7)/1000000</f>
        <v>0.81959853469025756</v>
      </c>
      <c r="J7" s="239">
        <f ca="1">SUM(F7:I7)</f>
        <v>161.13031121855147</v>
      </c>
      <c r="K7" s="242">
        <f>DATA!D9/1000000</f>
        <v>98.385000000000005</v>
      </c>
      <c r="L7" s="239">
        <f>((D7*DATA!$D$23)/1000000)+((E7*DATA!$D$24)/1000000)</f>
        <v>48.541919999999998</v>
      </c>
      <c r="M7" s="239">
        <f>K7+L7</f>
        <v>146.92692</v>
      </c>
      <c r="N7" s="239">
        <f ca="1">M7-J7</f>
        <v>-14.203391218551474</v>
      </c>
      <c r="O7" s="237">
        <v>1</v>
      </c>
      <c r="P7" s="239">
        <f ca="1">O7*N7</f>
        <v>-14.203391218551474</v>
      </c>
      <c r="Q7" s="239">
        <f ca="1">P7</f>
        <v>-14.203391218551474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" customHeight="1">
      <c r="A8" s="236">
        <f>A7+1</f>
        <v>1</v>
      </c>
      <c r="B8" s="237">
        <f>B7+1</f>
        <v>2024</v>
      </c>
      <c r="C8" s="238">
        <f>DATA!D8*DATA!D26*12</f>
        <v>50400</v>
      </c>
      <c r="D8" s="239">
        <f>C8*4/24</f>
        <v>8400</v>
      </c>
      <c r="E8" s="239">
        <f t="shared" ref="E8:E32" si="0">C8-D8</f>
        <v>42000</v>
      </c>
      <c r="F8" s="237"/>
      <c r="G8" s="241">
        <f ca="1">DATA!$D$11/1000000</f>
        <v>2.4291002184719996</v>
      </c>
      <c r="H8" s="241">
        <f>C8*DATA!$D$5/1000000</f>
        <v>54.639902312683837</v>
      </c>
      <c r="I8" s="241">
        <f>(C8*DATA!$D$5*DATA!$D$7)/1000000</f>
        <v>1.2293978020353862</v>
      </c>
      <c r="J8" s="239">
        <f t="shared" ref="J8:J32" ca="1" si="1">SUM(F8:I8)</f>
        <v>58.298400333191225</v>
      </c>
      <c r="K8" s="244"/>
      <c r="L8" s="239">
        <f>((D8*DATA!$D$23)/1000000)+((E8*DATA!$D$24)/1000000)</f>
        <v>72.812879999999993</v>
      </c>
      <c r="M8" s="239">
        <f t="shared" ref="M8:M32" si="2">K8+L8</f>
        <v>72.812879999999993</v>
      </c>
      <c r="N8" s="239">
        <f ca="1">M8-J8</f>
        <v>14.514479666808768</v>
      </c>
      <c r="O8" s="238">
        <f>1/(1+'[91]Asumsi I'!$C$3)^(KKF!A8)</f>
        <v>0.89285714285714279</v>
      </c>
      <c r="P8" s="239">
        <f ca="1">O8*N8</f>
        <v>12.959356845364971</v>
      </c>
      <c r="Q8" s="239">
        <f ca="1">Q7+P8</f>
        <v>-1.2440343731865031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" customHeight="1">
      <c r="A9" s="236">
        <f t="shared" ref="A9:B24" si="4">A8+1</f>
        <v>2</v>
      </c>
      <c r="B9" s="237">
        <f t="shared" si="4"/>
        <v>2025</v>
      </c>
      <c r="C9" s="245">
        <f>+C8</f>
        <v>50400</v>
      </c>
      <c r="D9" s="239">
        <f t="shared" ref="D9:D32" si="5">C9*4/24</f>
        <v>8400</v>
      </c>
      <c r="E9" s="239">
        <f t="shared" si="0"/>
        <v>42000</v>
      </c>
      <c r="F9" s="237"/>
      <c r="G9" s="241">
        <f ca="1">DATA!$D$11/1000000</f>
        <v>2.4291002184719996</v>
      </c>
      <c r="H9" s="241">
        <f>C9*DATA!$D$5/1000000</f>
        <v>54.639902312683837</v>
      </c>
      <c r="I9" s="241">
        <f>(C9*DATA!$D$5*DATA!$D$7)/1000000</f>
        <v>1.2293978020353862</v>
      </c>
      <c r="J9" s="239">
        <f t="shared" ca="1" si="1"/>
        <v>58.298400333191225</v>
      </c>
      <c r="K9" s="239"/>
      <c r="L9" s="239">
        <f>((D9*DATA!$D$23)/1000000)+((E9*DATA!$D$24)/1000000)</f>
        <v>72.812879999999993</v>
      </c>
      <c r="M9" s="239">
        <f t="shared" si="2"/>
        <v>72.812879999999993</v>
      </c>
      <c r="N9" s="239">
        <f t="shared" ref="N9:N32" ca="1" si="6">M9-J9</f>
        <v>14.514479666808768</v>
      </c>
      <c r="O9" s="245">
        <f>1/(1+'[91]Asumsi I'!$C$3)^(KKF!A9)</f>
        <v>0.79719387755102034</v>
      </c>
      <c r="P9" s="239">
        <f t="shared" ref="P9:P32" ca="1" si="7">O9*N9</f>
        <v>11.570854326218724</v>
      </c>
      <c r="Q9" s="239">
        <f ca="1">Q8+P9</f>
        <v>10.326819953032221</v>
      </c>
      <c r="S9" s="227" t="str">
        <f t="shared" ca="1" si="3"/>
        <v/>
      </c>
      <c r="T9" s="243">
        <f ca="1">IF(Q7&gt;=0,"",IF(Q9&lt;0,"",IF(Q9=0,A9,(A9-(Q9/N9)))))</f>
        <v>1.2885160067675556</v>
      </c>
      <c r="U9" s="227"/>
    </row>
    <row r="10" spans="1:21" ht="20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50400</v>
      </c>
      <c r="D10" s="239">
        <f t="shared" si="5"/>
        <v>8400</v>
      </c>
      <c r="E10" s="239">
        <f t="shared" si="0"/>
        <v>42000</v>
      </c>
      <c r="F10" s="237"/>
      <c r="G10" s="241">
        <f ca="1">DATA!$D$11/1000000</f>
        <v>2.4291002184719996</v>
      </c>
      <c r="H10" s="241">
        <f>C10*DATA!$D$5/1000000</f>
        <v>54.639902312683837</v>
      </c>
      <c r="I10" s="241">
        <f>(C10*DATA!$D$5*DATA!$D$7)/1000000</f>
        <v>1.2293978020353862</v>
      </c>
      <c r="J10" s="239">
        <f t="shared" ca="1" si="1"/>
        <v>58.298400333191225</v>
      </c>
      <c r="K10" s="237"/>
      <c r="L10" s="239">
        <f>((D10*DATA!$D$23)/1000000)+((E10*DATA!$D$24)/1000000)</f>
        <v>72.812879999999993</v>
      </c>
      <c r="M10" s="239">
        <f t="shared" si="2"/>
        <v>72.812879999999993</v>
      </c>
      <c r="N10" s="239">
        <f t="shared" ca="1" si="6"/>
        <v>14.514479666808768</v>
      </c>
      <c r="O10" s="238">
        <f>1/(1+'[91]Asumsi I'!$C$3)^(KKF!A10)</f>
        <v>0.71178024781341087</v>
      </c>
      <c r="P10" s="239">
        <f t="shared" ca="1" si="7"/>
        <v>10.331119934123858</v>
      </c>
      <c r="Q10" s="239">
        <f t="shared" ref="Q10:Q30" ca="1" si="9">Q9+P10</f>
        <v>20.657939887156079</v>
      </c>
      <c r="S10" s="227" t="str">
        <f t="shared" ca="1" si="3"/>
        <v/>
      </c>
      <c r="T10" s="243">
        <f t="shared" ref="T10:T32" ca="1" si="10">IF(Q8&gt;=0,"",IF(Q10&lt;0,"",IF(Q10=0,A10,(A10-(Q10/N10)))))</f>
        <v>1.5767357589541446</v>
      </c>
      <c r="U10" s="227"/>
    </row>
    <row r="11" spans="1:21" ht="20" customHeight="1">
      <c r="A11" s="236">
        <f t="shared" si="4"/>
        <v>4</v>
      </c>
      <c r="B11" s="237">
        <f t="shared" si="4"/>
        <v>2027</v>
      </c>
      <c r="C11" s="238">
        <f>+C10</f>
        <v>50400</v>
      </c>
      <c r="D11" s="239">
        <f t="shared" si="5"/>
        <v>8400</v>
      </c>
      <c r="E11" s="239">
        <f t="shared" si="0"/>
        <v>42000</v>
      </c>
      <c r="F11" s="237"/>
      <c r="G11" s="241">
        <f ca="1">DATA!$D$11/1000000</f>
        <v>2.4291002184719996</v>
      </c>
      <c r="H11" s="241">
        <f>C11*DATA!$D$5/1000000</f>
        <v>54.639902312683837</v>
      </c>
      <c r="I11" s="241">
        <f>(C11*DATA!$D$5*DATA!$D$7)/1000000</f>
        <v>1.2293978020353862</v>
      </c>
      <c r="J11" s="239">
        <f t="shared" ca="1" si="1"/>
        <v>58.298400333191225</v>
      </c>
      <c r="K11" s="237"/>
      <c r="L11" s="239">
        <f>((D11*DATA!$D$23)/1000000)+((E11*DATA!$D$24)/1000000)</f>
        <v>72.812879999999993</v>
      </c>
      <c r="M11" s="239">
        <f t="shared" si="2"/>
        <v>72.812879999999993</v>
      </c>
      <c r="N11" s="239">
        <f t="shared" ca="1" si="6"/>
        <v>14.514479666808768</v>
      </c>
      <c r="O11" s="238">
        <f>1/(1+'[91]Asumsi I'!$C$3)^(KKF!A11)</f>
        <v>0.63551807840483121</v>
      </c>
      <c r="P11" s="239">
        <f t="shared" ca="1" si="7"/>
        <v>9.2242142268963025</v>
      </c>
      <c r="Q11" s="239">
        <f t="shared" ca="1" si="9"/>
        <v>29.882154114052383</v>
      </c>
      <c r="S11" s="227" t="str">
        <f t="shared" ca="1" si="3"/>
        <v/>
      </c>
      <c r="T11" s="243" t="str">
        <f t="shared" ca="1" si="10"/>
        <v/>
      </c>
      <c r="U11" s="227"/>
    </row>
    <row r="12" spans="1:21" ht="20" customHeight="1">
      <c r="A12" s="236">
        <f t="shared" si="4"/>
        <v>5</v>
      </c>
      <c r="B12" s="237">
        <f t="shared" si="4"/>
        <v>2028</v>
      </c>
      <c r="C12" s="238">
        <f t="shared" si="8"/>
        <v>50400</v>
      </c>
      <c r="D12" s="239">
        <f t="shared" si="5"/>
        <v>8400</v>
      </c>
      <c r="E12" s="239">
        <f t="shared" si="0"/>
        <v>42000</v>
      </c>
      <c r="F12" s="237"/>
      <c r="G12" s="241">
        <f ca="1">DATA!$D$11/1000000</f>
        <v>2.4291002184719996</v>
      </c>
      <c r="H12" s="241">
        <f>C12*DATA!$D$5/1000000</f>
        <v>54.639902312683837</v>
      </c>
      <c r="I12" s="241">
        <f>(C12*DATA!$D$5*DATA!$D$7)/1000000</f>
        <v>1.2293978020353862</v>
      </c>
      <c r="J12" s="239">
        <f t="shared" ca="1" si="1"/>
        <v>58.298400333191225</v>
      </c>
      <c r="K12" s="237"/>
      <c r="L12" s="239">
        <f>((D12*DATA!$D$23)/1000000)+((E12*DATA!$D$24)/1000000)</f>
        <v>72.812879999999993</v>
      </c>
      <c r="M12" s="239">
        <f t="shared" si="2"/>
        <v>72.812879999999993</v>
      </c>
      <c r="N12" s="239">
        <f t="shared" ca="1" si="6"/>
        <v>14.514479666808768</v>
      </c>
      <c r="O12" s="238">
        <f>1/(1+'[91]Asumsi I'!$C$3)^(KKF!A12)</f>
        <v>0.56742685571859919</v>
      </c>
      <c r="P12" s="239">
        <f t="shared" ca="1" si="7"/>
        <v>8.23590555972884</v>
      </c>
      <c r="Q12" s="239">
        <f t="shared" ca="1" si="9"/>
        <v>38.118059673781225</v>
      </c>
      <c r="S12" s="227" t="str">
        <f t="shared" ca="1" si="3"/>
        <v/>
      </c>
      <c r="T12" s="243" t="str">
        <f t="shared" ca="1" si="10"/>
        <v/>
      </c>
      <c r="U12" s="227"/>
    </row>
    <row r="13" spans="1:21" ht="20" customHeight="1">
      <c r="A13" s="236">
        <f t="shared" si="4"/>
        <v>6</v>
      </c>
      <c r="B13" s="237">
        <f t="shared" si="4"/>
        <v>2029</v>
      </c>
      <c r="C13" s="238">
        <f t="shared" si="8"/>
        <v>50400</v>
      </c>
      <c r="D13" s="239">
        <f t="shared" si="5"/>
        <v>8400</v>
      </c>
      <c r="E13" s="239">
        <f t="shared" si="0"/>
        <v>42000</v>
      </c>
      <c r="F13" s="237"/>
      <c r="G13" s="241">
        <f ca="1">DATA!$D$11/1000000</f>
        <v>2.4291002184719996</v>
      </c>
      <c r="H13" s="241">
        <f>C13*DATA!$D$5/1000000</f>
        <v>54.639902312683837</v>
      </c>
      <c r="I13" s="241">
        <f>(C13*DATA!$D$5*DATA!$D$7)/1000000</f>
        <v>1.2293978020353862</v>
      </c>
      <c r="J13" s="239">
        <f t="shared" ca="1" si="1"/>
        <v>58.298400333191225</v>
      </c>
      <c r="K13" s="237"/>
      <c r="L13" s="239">
        <f>((D13*DATA!$D$23)/1000000)+((E13*DATA!$D$24)/1000000)</f>
        <v>72.812879999999993</v>
      </c>
      <c r="M13" s="239">
        <f t="shared" si="2"/>
        <v>72.812879999999993</v>
      </c>
      <c r="N13" s="239">
        <f t="shared" ca="1" si="6"/>
        <v>14.514479666808768</v>
      </c>
      <c r="O13" s="238">
        <f>1/(1+'[91]Asumsi I'!$C$3)^(KKF!A13)</f>
        <v>0.50663112117732068</v>
      </c>
      <c r="P13" s="239">
        <f t="shared" ca="1" si="7"/>
        <v>7.3534871069007499</v>
      </c>
      <c r="Q13" s="239">
        <f t="shared" ca="1" si="9"/>
        <v>45.471546780681976</v>
      </c>
      <c r="S13" s="227" t="str">
        <f t="shared" ca="1" si="3"/>
        <v/>
      </c>
      <c r="T13" s="243" t="str">
        <f t="shared" ca="1" si="10"/>
        <v/>
      </c>
      <c r="U13" s="227"/>
    </row>
    <row r="14" spans="1:21" ht="20" customHeight="1">
      <c r="A14" s="236">
        <f t="shared" si="4"/>
        <v>7</v>
      </c>
      <c r="B14" s="237">
        <f t="shared" si="4"/>
        <v>2030</v>
      </c>
      <c r="C14" s="238">
        <f t="shared" si="8"/>
        <v>50400</v>
      </c>
      <c r="D14" s="239">
        <f t="shared" si="5"/>
        <v>8400</v>
      </c>
      <c r="E14" s="239">
        <f t="shared" si="0"/>
        <v>42000</v>
      </c>
      <c r="F14" s="237"/>
      <c r="G14" s="241">
        <f ca="1">DATA!$D$11/1000000</f>
        <v>2.4291002184719996</v>
      </c>
      <c r="H14" s="241">
        <f>C14*DATA!$D$5/1000000</f>
        <v>54.639902312683837</v>
      </c>
      <c r="I14" s="241">
        <f>(C14*DATA!$D$5*DATA!$D$7)/1000000</f>
        <v>1.2293978020353862</v>
      </c>
      <c r="J14" s="239">
        <f t="shared" ca="1" si="1"/>
        <v>58.298400333191225</v>
      </c>
      <c r="K14" s="237"/>
      <c r="L14" s="239">
        <f>((D14*DATA!$D$23)/1000000)+((E14*DATA!$D$24)/1000000)</f>
        <v>72.812879999999993</v>
      </c>
      <c r="M14" s="239">
        <f t="shared" si="2"/>
        <v>72.812879999999993</v>
      </c>
      <c r="N14" s="239">
        <f t="shared" ca="1" si="6"/>
        <v>14.514479666808768</v>
      </c>
      <c r="O14" s="238">
        <f>1/(1+'[91]Asumsi I'!$C$3)^(KKF!A14)</f>
        <v>0.45234921533689343</v>
      </c>
      <c r="P14" s="239">
        <f t="shared" ca="1" si="7"/>
        <v>6.5656134883042405</v>
      </c>
      <c r="Q14" s="239">
        <f t="shared" ca="1" si="9"/>
        <v>52.037160268986213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" customHeight="1">
      <c r="A15" s="236">
        <f t="shared" si="4"/>
        <v>8</v>
      </c>
      <c r="B15" s="237">
        <f t="shared" si="4"/>
        <v>2031</v>
      </c>
      <c r="C15" s="238">
        <f t="shared" si="8"/>
        <v>50400</v>
      </c>
      <c r="D15" s="239">
        <f t="shared" si="5"/>
        <v>8400</v>
      </c>
      <c r="E15" s="239">
        <f t="shared" si="0"/>
        <v>42000</v>
      </c>
      <c r="F15" s="237"/>
      <c r="G15" s="241">
        <f ca="1">DATA!$D$11/1000000</f>
        <v>2.4291002184719996</v>
      </c>
      <c r="H15" s="241">
        <f>C15*DATA!$D$5/1000000</f>
        <v>54.639902312683837</v>
      </c>
      <c r="I15" s="241">
        <f>(C15*DATA!$D$5*DATA!$D$7)/1000000</f>
        <v>1.2293978020353862</v>
      </c>
      <c r="J15" s="239">
        <f t="shared" ca="1" si="1"/>
        <v>58.298400333191225</v>
      </c>
      <c r="K15" s="237"/>
      <c r="L15" s="239">
        <f>((D15*DATA!$D$23)/1000000)+((E15*DATA!$D$24)/1000000)</f>
        <v>72.812879999999993</v>
      </c>
      <c r="M15" s="239">
        <f t="shared" si="2"/>
        <v>72.812879999999993</v>
      </c>
      <c r="N15" s="239">
        <f t="shared" ca="1" si="6"/>
        <v>14.514479666808768</v>
      </c>
      <c r="O15" s="238">
        <f>1/(1+'[91]Asumsi I'!$C$3)^(KKF!A15)</f>
        <v>0.4038832279793691</v>
      </c>
      <c r="P15" s="239">
        <f t="shared" ca="1" si="7"/>
        <v>5.8621549002716424</v>
      </c>
      <c r="Q15" s="239">
        <f t="shared" ca="1" si="9"/>
        <v>57.899315169257854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" customHeight="1">
      <c r="A16" s="236">
        <f t="shared" si="4"/>
        <v>9</v>
      </c>
      <c r="B16" s="237">
        <f t="shared" si="4"/>
        <v>2032</v>
      </c>
      <c r="C16" s="238">
        <f t="shared" si="8"/>
        <v>50400</v>
      </c>
      <c r="D16" s="239">
        <f t="shared" si="5"/>
        <v>8400</v>
      </c>
      <c r="E16" s="239">
        <f t="shared" si="0"/>
        <v>42000</v>
      </c>
      <c r="F16" s="237"/>
      <c r="G16" s="241">
        <f ca="1">DATA!$D$11/1000000</f>
        <v>2.4291002184719996</v>
      </c>
      <c r="H16" s="241">
        <f>C16*DATA!$D$5/1000000</f>
        <v>54.639902312683837</v>
      </c>
      <c r="I16" s="241">
        <f>(C16*DATA!$D$5*DATA!$D$7)/1000000</f>
        <v>1.2293978020353862</v>
      </c>
      <c r="J16" s="239">
        <f t="shared" ca="1" si="1"/>
        <v>58.298400333191225</v>
      </c>
      <c r="K16" s="237"/>
      <c r="L16" s="239">
        <f>((D16*DATA!$D$23)/1000000)+((E16*DATA!$D$24)/1000000)</f>
        <v>72.812879999999993</v>
      </c>
      <c r="M16" s="239">
        <f t="shared" si="2"/>
        <v>72.812879999999993</v>
      </c>
      <c r="N16" s="239">
        <f t="shared" ca="1" si="6"/>
        <v>14.514479666808768</v>
      </c>
      <c r="O16" s="238">
        <f>1/(1+'[91]Asumsi I'!$C$3)^(KKF!A16)</f>
        <v>0.36061002498157957</v>
      </c>
      <c r="P16" s="239">
        <f t="shared" ca="1" si="7"/>
        <v>5.2340668752425383</v>
      </c>
      <c r="Q16" s="239">
        <f t="shared" ca="1" si="9"/>
        <v>63.133382044500394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" customHeight="1">
      <c r="A17" s="236">
        <f t="shared" si="4"/>
        <v>10</v>
      </c>
      <c r="B17" s="237">
        <f t="shared" si="4"/>
        <v>2033</v>
      </c>
      <c r="C17" s="238">
        <f t="shared" si="8"/>
        <v>50400</v>
      </c>
      <c r="D17" s="239">
        <f t="shared" si="5"/>
        <v>8400</v>
      </c>
      <c r="E17" s="239">
        <f t="shared" si="0"/>
        <v>42000</v>
      </c>
      <c r="F17" s="237"/>
      <c r="G17" s="241">
        <f ca="1">DATA!$D$11/1000000</f>
        <v>2.4291002184719996</v>
      </c>
      <c r="H17" s="241">
        <f>C17*DATA!$D$5/1000000</f>
        <v>54.639902312683837</v>
      </c>
      <c r="I17" s="241">
        <f>(C17*DATA!$D$5*DATA!$D$7)/1000000</f>
        <v>1.2293978020353862</v>
      </c>
      <c r="J17" s="239">
        <f t="shared" ca="1" si="1"/>
        <v>58.298400333191225</v>
      </c>
      <c r="K17" s="237"/>
      <c r="L17" s="239">
        <f>((D17*DATA!$D$23)/1000000)+((E17*DATA!$D$24)/1000000)</f>
        <v>72.812879999999993</v>
      </c>
      <c r="M17" s="239">
        <f t="shared" si="2"/>
        <v>72.812879999999993</v>
      </c>
      <c r="N17" s="239">
        <f t="shared" ca="1" si="6"/>
        <v>14.514479666808768</v>
      </c>
      <c r="O17" s="238">
        <f>1/(1+'[91]Asumsi I'!$C$3)^(KKF!A17)</f>
        <v>0.32197323659069599</v>
      </c>
      <c r="P17" s="239">
        <f t="shared" ca="1" si="7"/>
        <v>4.6732739957522655</v>
      </c>
      <c r="Q17" s="239">
        <f t="shared" ca="1" si="9"/>
        <v>67.806656040252662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" customHeight="1">
      <c r="A18" s="236">
        <f t="shared" si="4"/>
        <v>11</v>
      </c>
      <c r="B18" s="237">
        <f t="shared" si="4"/>
        <v>2034</v>
      </c>
      <c r="C18" s="238">
        <f t="shared" si="8"/>
        <v>50400</v>
      </c>
      <c r="D18" s="239">
        <f t="shared" si="5"/>
        <v>8400</v>
      </c>
      <c r="E18" s="239">
        <f t="shared" si="0"/>
        <v>42000</v>
      </c>
      <c r="F18" s="237"/>
      <c r="G18" s="241">
        <f ca="1">DATA!$D$11/1000000</f>
        <v>2.4291002184719996</v>
      </c>
      <c r="H18" s="241">
        <f>C18*DATA!$D$5/1000000</f>
        <v>54.639902312683837</v>
      </c>
      <c r="I18" s="241">
        <f>(C18*DATA!$D$5*DATA!$D$7)/1000000</f>
        <v>1.2293978020353862</v>
      </c>
      <c r="J18" s="239">
        <f t="shared" ca="1" si="1"/>
        <v>58.298400333191225</v>
      </c>
      <c r="K18" s="237"/>
      <c r="L18" s="239">
        <f>((D18*DATA!$D$23)/1000000)+((E18*DATA!$D$24)/1000000)</f>
        <v>72.812879999999993</v>
      </c>
      <c r="M18" s="239">
        <f t="shared" si="2"/>
        <v>72.812879999999993</v>
      </c>
      <c r="N18" s="239">
        <f t="shared" ca="1" si="6"/>
        <v>14.514479666808768</v>
      </c>
      <c r="O18" s="238">
        <f>1/(1+'[91]Asumsi I'!$C$3)^(KKF!A18)</f>
        <v>0.28747610409883567</v>
      </c>
      <c r="P18" s="239">
        <f t="shared" ca="1" si="7"/>
        <v>4.1725660676359508</v>
      </c>
      <c r="Q18" s="239">
        <f t="shared" ca="1" si="9"/>
        <v>71.979222107888617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" customHeight="1">
      <c r="A19" s="236">
        <f t="shared" si="4"/>
        <v>12</v>
      </c>
      <c r="B19" s="237">
        <f t="shared" si="4"/>
        <v>2035</v>
      </c>
      <c r="C19" s="238">
        <f t="shared" si="8"/>
        <v>50400</v>
      </c>
      <c r="D19" s="239">
        <f t="shared" si="5"/>
        <v>8400</v>
      </c>
      <c r="E19" s="239">
        <f t="shared" si="0"/>
        <v>42000</v>
      </c>
      <c r="F19" s="237"/>
      <c r="G19" s="241">
        <f ca="1">DATA!$D$11/1000000</f>
        <v>2.4291002184719996</v>
      </c>
      <c r="H19" s="241">
        <f>C19*DATA!$D$5/1000000</f>
        <v>54.639902312683837</v>
      </c>
      <c r="I19" s="241">
        <f>(C19*DATA!$D$5*DATA!$D$7)/1000000</f>
        <v>1.2293978020353862</v>
      </c>
      <c r="J19" s="239">
        <f t="shared" ca="1" si="1"/>
        <v>58.298400333191225</v>
      </c>
      <c r="K19" s="237"/>
      <c r="L19" s="239">
        <f>((D19*DATA!$D$23)/1000000)+((E19*DATA!$D$24)/1000000)</f>
        <v>72.812879999999993</v>
      </c>
      <c r="M19" s="239">
        <f t="shared" si="2"/>
        <v>72.812879999999993</v>
      </c>
      <c r="N19" s="239">
        <f t="shared" ca="1" si="6"/>
        <v>14.514479666808768</v>
      </c>
      <c r="O19" s="238">
        <f>1/(1+'[91]Asumsi I'!$C$3)^(KKF!A19)</f>
        <v>0.25667509294538904</v>
      </c>
      <c r="P19" s="239">
        <f t="shared" ca="1" si="7"/>
        <v>3.7255054175320996</v>
      </c>
      <c r="Q19" s="239">
        <f t="shared" ca="1" si="9"/>
        <v>75.704727525420722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" customHeight="1">
      <c r="A20" s="236">
        <f t="shared" si="4"/>
        <v>13</v>
      </c>
      <c r="B20" s="237">
        <f t="shared" si="4"/>
        <v>2036</v>
      </c>
      <c r="C20" s="238">
        <f t="shared" si="8"/>
        <v>50400</v>
      </c>
      <c r="D20" s="239">
        <f t="shared" si="5"/>
        <v>8400</v>
      </c>
      <c r="E20" s="239">
        <f t="shared" si="0"/>
        <v>42000</v>
      </c>
      <c r="F20" s="237"/>
      <c r="G20" s="241">
        <f ca="1">DATA!$D$11/1000000</f>
        <v>2.4291002184719996</v>
      </c>
      <c r="H20" s="241">
        <f>C20*DATA!$D$5/1000000</f>
        <v>54.639902312683837</v>
      </c>
      <c r="I20" s="241">
        <f>(C20*DATA!$D$5*DATA!$D$7)/1000000</f>
        <v>1.2293978020353862</v>
      </c>
      <c r="J20" s="239">
        <f t="shared" ca="1" si="1"/>
        <v>58.298400333191225</v>
      </c>
      <c r="K20" s="237"/>
      <c r="L20" s="239">
        <f>((D20*DATA!$D$23)/1000000)+((E20*DATA!$D$24)/1000000)</f>
        <v>72.812879999999993</v>
      </c>
      <c r="M20" s="239">
        <f t="shared" si="2"/>
        <v>72.812879999999993</v>
      </c>
      <c r="N20" s="239">
        <f t="shared" ca="1" si="6"/>
        <v>14.514479666808768</v>
      </c>
      <c r="O20" s="238">
        <f>1/(1+'[91]Asumsi I'!$C$3)^(KKF!A20)</f>
        <v>0.22917419012981158</v>
      </c>
      <c r="P20" s="239">
        <f t="shared" ca="1" si="7"/>
        <v>3.3263441227965167</v>
      </c>
      <c r="Q20" s="239">
        <f t="shared" ca="1" si="9"/>
        <v>79.031071648217235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" customHeight="1">
      <c r="A21" s="236">
        <f t="shared" si="4"/>
        <v>14</v>
      </c>
      <c r="B21" s="237">
        <f t="shared" si="4"/>
        <v>2037</v>
      </c>
      <c r="C21" s="238">
        <f t="shared" si="8"/>
        <v>50400</v>
      </c>
      <c r="D21" s="239">
        <f t="shared" si="5"/>
        <v>8400</v>
      </c>
      <c r="E21" s="239">
        <f t="shared" si="0"/>
        <v>42000</v>
      </c>
      <c r="F21" s="237"/>
      <c r="G21" s="241">
        <f ca="1">DATA!$D$11/1000000</f>
        <v>2.4291002184719996</v>
      </c>
      <c r="H21" s="241">
        <f>C21*DATA!$D$5/1000000</f>
        <v>54.639902312683837</v>
      </c>
      <c r="I21" s="241">
        <f>(C21*DATA!$D$5*DATA!$D$7)/1000000</f>
        <v>1.2293978020353862</v>
      </c>
      <c r="J21" s="239">
        <f t="shared" ca="1" si="1"/>
        <v>58.298400333191225</v>
      </c>
      <c r="K21" s="237"/>
      <c r="L21" s="239">
        <f>((D21*DATA!$D$23)/1000000)+((E21*DATA!$D$24)/1000000)</f>
        <v>72.812879999999993</v>
      </c>
      <c r="M21" s="239">
        <f t="shared" si="2"/>
        <v>72.812879999999993</v>
      </c>
      <c r="N21" s="239">
        <f t="shared" ca="1" si="6"/>
        <v>14.514479666808768</v>
      </c>
      <c r="O21" s="238">
        <f>1/(1+'[91]Asumsi I'!$C$3)^(KKF!A21)</f>
        <v>0.20461981261590317</v>
      </c>
      <c r="P21" s="239">
        <f t="shared" ca="1" si="7"/>
        <v>2.9699501096397469</v>
      </c>
      <c r="Q21" s="239">
        <f t="shared" ca="1" si="9"/>
        <v>82.001021757856989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" customHeight="1">
      <c r="A22" s="236">
        <f t="shared" si="4"/>
        <v>15</v>
      </c>
      <c r="B22" s="237">
        <f t="shared" si="4"/>
        <v>2038</v>
      </c>
      <c r="C22" s="238">
        <f t="shared" si="8"/>
        <v>50400</v>
      </c>
      <c r="D22" s="239">
        <f t="shared" si="5"/>
        <v>8400</v>
      </c>
      <c r="E22" s="239">
        <f t="shared" si="0"/>
        <v>42000</v>
      </c>
      <c r="F22" s="237"/>
      <c r="G22" s="241">
        <f ca="1">DATA!$D$11/1000000</f>
        <v>2.4291002184719996</v>
      </c>
      <c r="H22" s="241">
        <f>C22*DATA!$D$5/1000000</f>
        <v>54.639902312683837</v>
      </c>
      <c r="I22" s="241">
        <f>(C22*DATA!$D$5*DATA!$D$7)/1000000</f>
        <v>1.2293978020353862</v>
      </c>
      <c r="J22" s="239">
        <f t="shared" ca="1" si="1"/>
        <v>58.298400333191225</v>
      </c>
      <c r="K22" s="237"/>
      <c r="L22" s="239">
        <f>((D22*DATA!$D$23)/1000000)+((E22*DATA!$D$24)/1000000)</f>
        <v>72.812879999999993</v>
      </c>
      <c r="M22" s="239">
        <f t="shared" si="2"/>
        <v>72.812879999999993</v>
      </c>
      <c r="N22" s="239">
        <f t="shared" ca="1" si="6"/>
        <v>14.514479666808768</v>
      </c>
      <c r="O22" s="238">
        <f>1/(1+'[91]Asumsi I'!$C$3)^(KKF!A22)</f>
        <v>0.18269626126419927</v>
      </c>
      <c r="P22" s="239">
        <f t="shared" ca="1" si="7"/>
        <v>2.6517411693212027</v>
      </c>
      <c r="Q22" s="239">
        <f t="shared" ca="1" si="9"/>
        <v>84.652762927178188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" customHeight="1">
      <c r="A23" s="236">
        <f t="shared" si="4"/>
        <v>16</v>
      </c>
      <c r="B23" s="237">
        <f t="shared" si="4"/>
        <v>2039</v>
      </c>
      <c r="C23" s="238">
        <f t="shared" si="8"/>
        <v>50400</v>
      </c>
      <c r="D23" s="239">
        <f t="shared" si="5"/>
        <v>8400</v>
      </c>
      <c r="E23" s="239">
        <f t="shared" si="0"/>
        <v>42000</v>
      </c>
      <c r="F23" s="237"/>
      <c r="G23" s="241">
        <f ca="1">DATA!$D$11/1000000</f>
        <v>2.4291002184719996</v>
      </c>
      <c r="H23" s="241">
        <f>C23*DATA!$D$5/1000000</f>
        <v>54.639902312683837</v>
      </c>
      <c r="I23" s="241">
        <f>(C23*DATA!$D$5*DATA!$D$7)/1000000</f>
        <v>1.2293978020353862</v>
      </c>
      <c r="J23" s="239">
        <f t="shared" ca="1" si="1"/>
        <v>58.298400333191225</v>
      </c>
      <c r="K23" s="237"/>
      <c r="L23" s="239">
        <f>((D23*DATA!$D$23)/1000000)+((E23*DATA!$D$24)/1000000)</f>
        <v>72.812879999999993</v>
      </c>
      <c r="M23" s="239">
        <f t="shared" si="2"/>
        <v>72.812879999999993</v>
      </c>
      <c r="N23" s="239">
        <f t="shared" ca="1" si="6"/>
        <v>14.514479666808768</v>
      </c>
      <c r="O23" s="238">
        <f>1/(1+'[91]Asumsi I'!$C$3)^(KKF!A23)</f>
        <v>0.16312166184303503</v>
      </c>
      <c r="P23" s="239">
        <f t="shared" ca="1" si="7"/>
        <v>2.3676260440367876</v>
      </c>
      <c r="Q23" s="239">
        <f t="shared" ca="1" si="9"/>
        <v>87.02038897121497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" customHeight="1">
      <c r="A24" s="236">
        <f t="shared" si="4"/>
        <v>17</v>
      </c>
      <c r="B24" s="237">
        <f t="shared" si="4"/>
        <v>2040</v>
      </c>
      <c r="C24" s="238">
        <f t="shared" si="8"/>
        <v>50400</v>
      </c>
      <c r="D24" s="239">
        <f t="shared" si="5"/>
        <v>8400</v>
      </c>
      <c r="E24" s="239">
        <f t="shared" si="0"/>
        <v>42000</v>
      </c>
      <c r="F24" s="237"/>
      <c r="G24" s="241">
        <f ca="1">DATA!$D$11/1000000</f>
        <v>2.4291002184719996</v>
      </c>
      <c r="H24" s="241">
        <f>C24*DATA!$D$5/1000000</f>
        <v>54.639902312683837</v>
      </c>
      <c r="I24" s="241">
        <f>(C24*DATA!$D$5*DATA!$D$7)/1000000</f>
        <v>1.2293978020353862</v>
      </c>
      <c r="J24" s="239">
        <f t="shared" ca="1" si="1"/>
        <v>58.298400333191225</v>
      </c>
      <c r="K24" s="237"/>
      <c r="L24" s="239">
        <f>((D24*DATA!$D$23)/1000000)+((E24*DATA!$D$24)/1000000)</f>
        <v>72.812879999999993</v>
      </c>
      <c r="M24" s="239">
        <f t="shared" si="2"/>
        <v>72.812879999999993</v>
      </c>
      <c r="N24" s="239">
        <f t="shared" ca="1" si="6"/>
        <v>14.514479666808768</v>
      </c>
      <c r="O24" s="238">
        <f>1/(1+'[91]Asumsi I'!$C$3)^(KKF!A24)</f>
        <v>0.14564434093128129</v>
      </c>
      <c r="P24" s="239">
        <f t="shared" ca="1" si="7"/>
        <v>2.1139518250328462</v>
      </c>
      <c r="Q24" s="239">
        <f t="shared" ca="1" si="9"/>
        <v>89.134340796247812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50400</v>
      </c>
      <c r="D25" s="239">
        <f t="shared" si="5"/>
        <v>8400</v>
      </c>
      <c r="E25" s="239">
        <f t="shared" si="0"/>
        <v>42000</v>
      </c>
      <c r="F25" s="237"/>
      <c r="G25" s="241">
        <f ca="1">DATA!$D$11/1000000</f>
        <v>2.4291002184719996</v>
      </c>
      <c r="H25" s="241">
        <f>C25*DATA!$D$5/1000000</f>
        <v>54.639902312683837</v>
      </c>
      <c r="I25" s="241">
        <f>(C25*DATA!$D$5*DATA!$D$7)/1000000</f>
        <v>1.2293978020353862</v>
      </c>
      <c r="J25" s="239">
        <f t="shared" ca="1" si="1"/>
        <v>58.298400333191225</v>
      </c>
      <c r="K25" s="237"/>
      <c r="L25" s="239">
        <f>((D25*DATA!$D$23)/1000000)+((E25*DATA!$D$24)/1000000)</f>
        <v>72.812879999999993</v>
      </c>
      <c r="M25" s="239">
        <f t="shared" si="2"/>
        <v>72.812879999999993</v>
      </c>
      <c r="N25" s="239">
        <f t="shared" ca="1" si="6"/>
        <v>14.514479666808768</v>
      </c>
      <c r="O25" s="238">
        <f>1/(1+'[91]Asumsi I'!$C$3)^(KKF!A25)</f>
        <v>0.13003959011721541</v>
      </c>
      <c r="P25" s="239">
        <f t="shared" ca="1" si="7"/>
        <v>1.8874569866364694</v>
      </c>
      <c r="Q25" s="239">
        <f t="shared" ca="1" si="9"/>
        <v>91.021797782884278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" customHeight="1">
      <c r="A26" s="236">
        <f t="shared" si="11"/>
        <v>19</v>
      </c>
      <c r="B26" s="237">
        <f t="shared" si="11"/>
        <v>2042</v>
      </c>
      <c r="C26" s="238">
        <f t="shared" si="8"/>
        <v>50400</v>
      </c>
      <c r="D26" s="239">
        <f t="shared" si="5"/>
        <v>8400</v>
      </c>
      <c r="E26" s="239">
        <f t="shared" si="0"/>
        <v>42000</v>
      </c>
      <c r="F26" s="237"/>
      <c r="G26" s="241">
        <f ca="1">DATA!$D$11/1000000</f>
        <v>2.4291002184719996</v>
      </c>
      <c r="H26" s="241">
        <f>C26*DATA!$D$5/1000000</f>
        <v>54.639902312683837</v>
      </c>
      <c r="I26" s="241">
        <f>(C26*DATA!$D$5*DATA!$D$7)/1000000</f>
        <v>1.2293978020353862</v>
      </c>
      <c r="J26" s="239">
        <f t="shared" ca="1" si="1"/>
        <v>58.298400333191225</v>
      </c>
      <c r="K26" s="237"/>
      <c r="L26" s="239">
        <f>((D26*DATA!$D$23)/1000000)+((E26*DATA!$D$24)/1000000)</f>
        <v>72.812879999999993</v>
      </c>
      <c r="M26" s="239">
        <f t="shared" si="2"/>
        <v>72.812879999999993</v>
      </c>
      <c r="N26" s="239">
        <f t="shared" ca="1" si="6"/>
        <v>14.514479666808768</v>
      </c>
      <c r="O26" s="238">
        <f>1/(1+'[91]Asumsi I'!$C$3)^(KKF!A26)</f>
        <v>0.1161067768903709</v>
      </c>
      <c r="P26" s="239">
        <f t="shared" ca="1" si="7"/>
        <v>1.6852294523539906</v>
      </c>
      <c r="Q26" s="239">
        <f t="shared" ca="1" si="9"/>
        <v>92.707027235238272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" customHeight="1">
      <c r="A27" s="236">
        <f t="shared" si="11"/>
        <v>20</v>
      </c>
      <c r="B27" s="237">
        <f t="shared" si="11"/>
        <v>2043</v>
      </c>
      <c r="C27" s="238">
        <f t="shared" si="8"/>
        <v>50400</v>
      </c>
      <c r="D27" s="239">
        <f t="shared" si="5"/>
        <v>8400</v>
      </c>
      <c r="E27" s="239">
        <f t="shared" si="0"/>
        <v>42000</v>
      </c>
      <c r="F27" s="237"/>
      <c r="G27" s="241">
        <f ca="1">DATA!$D$11/1000000</f>
        <v>2.4291002184719996</v>
      </c>
      <c r="H27" s="241">
        <f>C27*DATA!$D$5/1000000</f>
        <v>54.639902312683837</v>
      </c>
      <c r="I27" s="241">
        <f>(C27*DATA!$D$5*DATA!$D$7)/1000000</f>
        <v>1.2293978020353862</v>
      </c>
      <c r="J27" s="239">
        <f t="shared" ca="1" si="1"/>
        <v>58.298400333191225</v>
      </c>
      <c r="K27" s="237"/>
      <c r="L27" s="239">
        <f>((D27*DATA!$D$23)/1000000)+((E27*DATA!$D$24)/1000000)</f>
        <v>72.812879999999993</v>
      </c>
      <c r="M27" s="239">
        <f t="shared" si="2"/>
        <v>72.812879999999993</v>
      </c>
      <c r="N27" s="239">
        <f t="shared" ca="1" si="6"/>
        <v>14.514479666808768</v>
      </c>
      <c r="O27" s="238">
        <f>1/(1+'[91]Asumsi I'!$C$3)^(KKF!A27)</f>
        <v>0.1036667650806883</v>
      </c>
      <c r="P27" s="239">
        <f t="shared" ca="1" si="7"/>
        <v>1.5046691538874915</v>
      </c>
      <c r="Q27" s="239">
        <f t="shared" ca="1" si="9"/>
        <v>94.211696389125763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" customHeight="1">
      <c r="A28" s="236">
        <f t="shared" si="11"/>
        <v>21</v>
      </c>
      <c r="B28" s="237">
        <f t="shared" si="11"/>
        <v>2044</v>
      </c>
      <c r="C28" s="238">
        <f t="shared" si="8"/>
        <v>50400</v>
      </c>
      <c r="D28" s="239">
        <f t="shared" si="5"/>
        <v>8400</v>
      </c>
      <c r="E28" s="239">
        <f t="shared" si="0"/>
        <v>42000</v>
      </c>
      <c r="F28" s="237"/>
      <c r="G28" s="241">
        <f ca="1">DATA!$D$11/1000000</f>
        <v>2.4291002184719996</v>
      </c>
      <c r="H28" s="241">
        <f>C28*DATA!$D$5/1000000</f>
        <v>54.639902312683837</v>
      </c>
      <c r="I28" s="241">
        <f>(C28*DATA!$D$5*DATA!$D$7)/1000000</f>
        <v>1.2293978020353862</v>
      </c>
      <c r="J28" s="239">
        <f t="shared" ca="1" si="1"/>
        <v>58.298400333191225</v>
      </c>
      <c r="K28" s="237"/>
      <c r="L28" s="239">
        <f>((D28*DATA!$D$23)/1000000)+((E28*DATA!$D$24)/1000000)</f>
        <v>72.812879999999993</v>
      </c>
      <c r="M28" s="239">
        <f t="shared" si="2"/>
        <v>72.812879999999993</v>
      </c>
      <c r="N28" s="239">
        <f t="shared" ca="1" si="6"/>
        <v>14.514479666808768</v>
      </c>
      <c r="O28" s="238">
        <f>1/(1+'[91]Asumsi I'!$C$3)^(KKF!A28)</f>
        <v>9.2559611679185971E-2</v>
      </c>
      <c r="P28" s="239">
        <f t="shared" ca="1" si="7"/>
        <v>1.3434546016852602</v>
      </c>
      <c r="Q28" s="239">
        <f t="shared" ca="1" si="9"/>
        <v>95.555150990811029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" customHeight="1">
      <c r="A29" s="236">
        <f t="shared" si="11"/>
        <v>22</v>
      </c>
      <c r="B29" s="237">
        <f t="shared" si="11"/>
        <v>2045</v>
      </c>
      <c r="C29" s="238">
        <f t="shared" si="8"/>
        <v>50400</v>
      </c>
      <c r="D29" s="239">
        <f t="shared" si="5"/>
        <v>8400</v>
      </c>
      <c r="E29" s="239">
        <f t="shared" si="0"/>
        <v>42000</v>
      </c>
      <c r="F29" s="237"/>
      <c r="G29" s="241">
        <f ca="1">DATA!$D$11/1000000</f>
        <v>2.4291002184719996</v>
      </c>
      <c r="H29" s="241">
        <f>C29*DATA!$D$5/1000000</f>
        <v>54.639902312683837</v>
      </c>
      <c r="I29" s="241">
        <f>(C29*DATA!$D$5*DATA!$D$7)/1000000</f>
        <v>1.2293978020353862</v>
      </c>
      <c r="J29" s="239">
        <f t="shared" ca="1" si="1"/>
        <v>58.298400333191225</v>
      </c>
      <c r="K29" s="237"/>
      <c r="L29" s="239">
        <f>((D29*DATA!$D$23)/1000000)+((E29*DATA!$D$24)/1000000)</f>
        <v>72.812879999999993</v>
      </c>
      <c r="M29" s="239">
        <f t="shared" si="2"/>
        <v>72.812879999999993</v>
      </c>
      <c r="N29" s="239">
        <f t="shared" ca="1" si="6"/>
        <v>14.514479666808768</v>
      </c>
      <c r="O29" s="238">
        <f>1/(1+'[91]Asumsi I'!$C$3)^(KKF!A29)</f>
        <v>8.2642510427844609E-2</v>
      </c>
      <c r="P29" s="239">
        <f t="shared" ca="1" si="7"/>
        <v>1.1995130372189822</v>
      </c>
      <c r="Q29" s="239">
        <f t="shared" ca="1" si="9"/>
        <v>96.754664028030007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" customHeight="1">
      <c r="A30" s="236">
        <f t="shared" si="11"/>
        <v>23</v>
      </c>
      <c r="B30" s="237">
        <f t="shared" si="11"/>
        <v>2046</v>
      </c>
      <c r="C30" s="238">
        <f t="shared" si="8"/>
        <v>50400</v>
      </c>
      <c r="D30" s="239">
        <f t="shared" si="5"/>
        <v>8400</v>
      </c>
      <c r="E30" s="239">
        <f t="shared" si="0"/>
        <v>42000</v>
      </c>
      <c r="F30" s="237"/>
      <c r="G30" s="241">
        <f ca="1">DATA!$D$11/1000000</f>
        <v>2.4291002184719996</v>
      </c>
      <c r="H30" s="241">
        <f>C30*DATA!$D$5/1000000</f>
        <v>54.639902312683837</v>
      </c>
      <c r="I30" s="241">
        <f>(C30*DATA!$D$5*DATA!$D$7)/1000000</f>
        <v>1.2293978020353862</v>
      </c>
      <c r="J30" s="239">
        <f t="shared" ca="1" si="1"/>
        <v>58.298400333191225</v>
      </c>
      <c r="K30" s="237"/>
      <c r="L30" s="239">
        <f>((D30*DATA!$D$23)/1000000)+((E30*DATA!$D$24)/1000000)</f>
        <v>72.812879999999993</v>
      </c>
      <c r="M30" s="239">
        <f t="shared" si="2"/>
        <v>72.812879999999993</v>
      </c>
      <c r="N30" s="239">
        <f t="shared" ca="1" si="6"/>
        <v>14.514479666808768</v>
      </c>
      <c r="O30" s="238">
        <f>1/(1+'[91]Asumsi I'!$C$3)^(KKF!A30)</f>
        <v>7.3787955739146982E-2</v>
      </c>
      <c r="P30" s="239">
        <f t="shared" ca="1" si="7"/>
        <v>1.0709937832312342</v>
      </c>
      <c r="Q30" s="239">
        <f t="shared" ca="1" si="9"/>
        <v>97.825657811261237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" customHeight="1">
      <c r="A31" s="236">
        <f t="shared" si="11"/>
        <v>24</v>
      </c>
      <c r="B31" s="237">
        <f t="shared" si="11"/>
        <v>2047</v>
      </c>
      <c r="C31" s="238">
        <f t="shared" si="8"/>
        <v>50400</v>
      </c>
      <c r="D31" s="239">
        <f t="shared" si="5"/>
        <v>8400</v>
      </c>
      <c r="E31" s="239">
        <f t="shared" si="0"/>
        <v>42000</v>
      </c>
      <c r="F31" s="237"/>
      <c r="G31" s="241">
        <f ca="1">DATA!$D$11/1000000</f>
        <v>2.4291002184719996</v>
      </c>
      <c r="H31" s="241">
        <f>C31*DATA!$D$5/1000000</f>
        <v>54.639902312683837</v>
      </c>
      <c r="I31" s="241">
        <f>(C31*DATA!$D$5*DATA!$D$7)/1000000</f>
        <v>1.2293978020353862</v>
      </c>
      <c r="J31" s="239">
        <f t="shared" ca="1" si="1"/>
        <v>58.298400333191225</v>
      </c>
      <c r="K31" s="237"/>
      <c r="L31" s="239">
        <f>((D31*DATA!$D$23)/1000000)+((E31*DATA!$D$24)/1000000)</f>
        <v>72.812879999999993</v>
      </c>
      <c r="M31" s="239">
        <f t="shared" si="2"/>
        <v>72.812879999999993</v>
      </c>
      <c r="N31" s="239">
        <f t="shared" ca="1" si="6"/>
        <v>14.514479666808768</v>
      </c>
      <c r="O31" s="238">
        <f>1/(1+'[91]Asumsi I'!$C$3)^(KKF!A31)</f>
        <v>6.5882103338524081E-2</v>
      </c>
      <c r="P31" s="239">
        <f t="shared" ca="1" si="7"/>
        <v>0.95624444931360186</v>
      </c>
      <c r="Q31" s="239">
        <f ca="1">Q30+P31</f>
        <v>98.781902260574839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" customHeight="1">
      <c r="A32" s="236">
        <f t="shared" si="11"/>
        <v>25</v>
      </c>
      <c r="B32" s="237">
        <f>B30+1</f>
        <v>2047</v>
      </c>
      <c r="C32" s="238">
        <f t="shared" si="8"/>
        <v>50400</v>
      </c>
      <c r="D32" s="239">
        <f t="shared" si="5"/>
        <v>8400</v>
      </c>
      <c r="E32" s="239">
        <f t="shared" si="0"/>
        <v>42000</v>
      </c>
      <c r="F32" s="237"/>
      <c r="G32" s="241">
        <f ca="1">DATA!$D$11/1000000</f>
        <v>2.4291002184719996</v>
      </c>
      <c r="H32" s="241">
        <f>C32*DATA!$D$5/1000000</f>
        <v>54.639902312683837</v>
      </c>
      <c r="I32" s="241">
        <f>(C32*DATA!$D$5*DATA!$D$7)/1000000</f>
        <v>1.2293978020353862</v>
      </c>
      <c r="J32" s="239">
        <f t="shared" ca="1" si="1"/>
        <v>58.298400333191225</v>
      </c>
      <c r="K32" s="237"/>
      <c r="L32" s="239">
        <f>((D32*DATA!$D$23)/1000000)+((E32*DATA!$D$24)/1000000)</f>
        <v>72.812879999999993</v>
      </c>
      <c r="M32" s="239">
        <f t="shared" si="2"/>
        <v>72.812879999999993</v>
      </c>
      <c r="N32" s="239">
        <f t="shared" ca="1" si="6"/>
        <v>14.514479666808768</v>
      </c>
      <c r="O32" s="238">
        <f>1/(1+'[91]Asumsi I'!$C$3)^(KKF!A32)</f>
        <v>5.8823306552253637E-2</v>
      </c>
      <c r="P32" s="239">
        <f t="shared" ca="1" si="7"/>
        <v>0.85378968688714441</v>
      </c>
      <c r="Q32" s="239">
        <f ca="1">Q31+P32</f>
        <v>99.635691947461979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" customHeight="1">
      <c r="B33" s="246"/>
      <c r="C33" s="246"/>
      <c r="D33" s="246"/>
      <c r="E33" s="246"/>
      <c r="F33" s="623" t="s">
        <v>1345</v>
      </c>
      <c r="G33" s="623"/>
      <c r="H33" s="623"/>
      <c r="I33" s="247"/>
      <c r="J33" s="248">
        <f ca="1">SUM(J7:J32)</f>
        <v>1618.5903195483324</v>
      </c>
      <c r="K33" s="623" t="s">
        <v>1346</v>
      </c>
      <c r="L33" s="623"/>
      <c r="M33" s="248">
        <f>SUM(M7:M32)</f>
        <v>1967.2489199999991</v>
      </c>
      <c r="N33" s="246"/>
      <c r="O33" s="246"/>
      <c r="P33" s="249"/>
      <c r="Q33" s="249"/>
      <c r="S33" s="227">
        <f ca="1">COUNTIF(S7:S32,"a")</f>
        <v>2</v>
      </c>
    </row>
    <row r="34" spans="2:22" ht="20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11.101349474278361</v>
      </c>
      <c r="V34" s="254"/>
    </row>
    <row r="35" spans="2:22" ht="20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>
        <f ca="1">AVERAGE(T7:T32)</f>
        <v>1.43262588286085</v>
      </c>
    </row>
    <row r="36" spans="2:22" ht="20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1.2154088012517954</v>
      </c>
    </row>
    <row r="37" spans="2:22" ht="20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88.960439238805307</v>
      </c>
    </row>
    <row r="38" spans="2:22" ht="20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1.0219023833121903</v>
      </c>
    </row>
    <row r="39" spans="2:22" ht="20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4"/>
  <sheetViews>
    <sheetView showGridLines="0" zoomScale="70" zoomScaleNormal="70" zoomScaleSheetLayoutView="70" workbookViewId="0">
      <pane ySplit="13" topLeftCell="A149" activePane="bottomLeft" state="frozen"/>
      <selection activeCell="H1093" sqref="H1093"/>
      <selection pane="bottomLeft" activeCell="I161" sqref="I161:K161"/>
    </sheetView>
  </sheetViews>
  <sheetFormatPr baseColWidth="10" defaultColWidth="9.1640625" defaultRowHeight="14"/>
  <cols>
    <col min="1" max="1" width="8.33203125" style="259" customWidth="1"/>
    <col min="2" max="2" width="5.1640625" style="260" customWidth="1"/>
    <col min="3" max="3" width="45.6640625" style="341" customWidth="1"/>
    <col min="4" max="4" width="13.6640625" style="341" customWidth="1"/>
    <col min="5" max="5" width="12.5" style="263" customWidth="1"/>
    <col min="6" max="6" width="7.6640625" style="263" customWidth="1"/>
    <col min="7" max="7" width="12.6640625" style="263" customWidth="1"/>
    <col min="8" max="8" width="18.1640625" style="264" customWidth="1"/>
    <col min="9" max="9" width="16.6640625" style="264" customWidth="1"/>
    <col min="10" max="11" width="16.6640625" style="265" customWidth="1"/>
    <col min="12" max="12" width="3.6640625" style="265" customWidth="1"/>
    <col min="13" max="13" width="14" style="265" customWidth="1"/>
    <col min="14" max="14" width="15" style="265" customWidth="1"/>
    <col min="15" max="15" width="9.1640625" style="266" customWidth="1"/>
    <col min="16" max="16" width="12.6640625" style="267" customWidth="1"/>
    <col min="17" max="17" width="12.6640625" style="266" customWidth="1"/>
    <col min="18" max="18" width="2.5" style="266" customWidth="1"/>
    <col min="19" max="22" width="10.6640625" style="266" customWidth="1"/>
    <col min="23" max="24" width="9.1640625" style="266" customWidth="1"/>
    <col min="25" max="16384" width="9.16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26" t="s">
        <v>1007</v>
      </c>
      <c r="P3" s="626"/>
      <c r="Q3" s="269"/>
      <c r="T3" s="267"/>
      <c r="U3" s="268" t="s">
        <v>1012</v>
      </c>
      <c r="V3" s="267"/>
    </row>
    <row r="4" spans="1:22" ht="15.75" customHeight="1">
      <c r="B4" s="627" t="s">
        <v>994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>
      <c r="C6" s="270"/>
      <c r="D6" s="262"/>
      <c r="E6" s="271" t="s">
        <v>1008</v>
      </c>
      <c r="F6" s="272" t="s">
        <v>9</v>
      </c>
      <c r="G6" s="544" t="s">
        <v>1591</v>
      </c>
      <c r="H6" s="544"/>
      <c r="I6" s="544"/>
      <c r="J6" s="544"/>
      <c r="K6" s="544"/>
      <c r="T6" s="267"/>
      <c r="U6" s="268"/>
      <c r="V6" s="267"/>
    </row>
    <row r="7" spans="1:22" ht="15">
      <c r="C7" s="270"/>
      <c r="D7" s="262"/>
      <c r="E7" s="271" t="s">
        <v>1009</v>
      </c>
      <c r="F7" s="272" t="s">
        <v>9</v>
      </c>
      <c r="G7" s="106" t="s">
        <v>1592</v>
      </c>
      <c r="H7" s="27"/>
      <c r="I7" s="27"/>
      <c r="J7" s="107"/>
      <c r="K7" s="430"/>
      <c r="T7" s="267"/>
      <c r="U7" s="268"/>
      <c r="V7" s="267"/>
    </row>
    <row r="8" spans="1:22" ht="15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1521</v>
      </c>
      <c r="J9" s="273"/>
      <c r="T9" s="267"/>
      <c r="U9" s="268"/>
      <c r="V9" s="267"/>
    </row>
    <row r="10" spans="1:22" ht="15" thickBot="1">
      <c r="C10" s="262"/>
      <c r="D10" s="262"/>
      <c r="T10" s="267"/>
      <c r="U10" s="267"/>
      <c r="V10" s="267"/>
    </row>
    <row r="11" spans="1:22" ht="21" customHeight="1">
      <c r="B11" s="629" t="s">
        <v>0</v>
      </c>
      <c r="C11" s="631" t="s">
        <v>1</v>
      </c>
      <c r="D11" s="634" t="s">
        <v>32</v>
      </c>
      <c r="E11" s="634" t="s">
        <v>33</v>
      </c>
      <c r="F11" s="634" t="s">
        <v>2</v>
      </c>
      <c r="G11" s="636" t="s">
        <v>31</v>
      </c>
      <c r="H11" s="634" t="s">
        <v>3</v>
      </c>
      <c r="I11" s="634"/>
      <c r="J11" s="634"/>
      <c r="K11" s="641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0"/>
      <c r="C12" s="632"/>
      <c r="D12" s="635"/>
      <c r="E12" s="635"/>
      <c r="F12" s="635"/>
      <c r="G12" s="637"/>
      <c r="H12" s="639" t="s">
        <v>36</v>
      </c>
      <c r="I12" s="639" t="s">
        <v>5</v>
      </c>
      <c r="J12" s="635" t="s">
        <v>37</v>
      </c>
      <c r="K12" s="642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0"/>
      <c r="C13" s="633"/>
      <c r="D13" s="635"/>
      <c r="E13" s="635"/>
      <c r="F13" s="635"/>
      <c r="G13" s="638"/>
      <c r="H13" s="640"/>
      <c r="I13" s="640"/>
      <c r="J13" s="635"/>
      <c r="K13" s="642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 ht="15">
      <c r="A15" s="259" t="e">
        <f>IF(AND(C15=0,#REF!=0,#REF!=0),"BLANKS",1)</f>
        <v>#REF!</v>
      </c>
      <c r="B15" s="410" t="s">
        <v>470</v>
      </c>
      <c r="C15" s="411" t="s">
        <v>1581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9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 ht="16">
      <c r="A16" s="259" t="e">
        <f>IF(AND(C16=0,#REF!=0,#REF!=0),"BLANKS",1)</f>
        <v>#REF!</v>
      </c>
      <c r="B16" s="410">
        <v>1</v>
      </c>
      <c r="C16" s="109" t="s">
        <v>94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6074400</v>
      </c>
      <c r="H16" s="284">
        <f t="shared" ca="1" si="0"/>
        <v>0</v>
      </c>
      <c r="I16" s="284">
        <f t="shared" ca="1" si="1"/>
        <v>6074400</v>
      </c>
      <c r="J16" s="284">
        <f t="shared" ca="1" si="2"/>
        <v>0</v>
      </c>
      <c r="K16" s="285">
        <f t="shared" ca="1" si="3"/>
        <v>6074400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15">
      <c r="A17" s="259" t="e">
        <f>IF(AND(C17=0,#REF!=0,#REF!=0),"BLANKS",1)</f>
        <v>#REF!</v>
      </c>
      <c r="B17" s="294">
        <v>2</v>
      </c>
      <c r="C17" s="413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293">
        <v>1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ref="H17:H97" ca="1" si="4">IF(OR(D17="MDU",D17="MDU-KD"),(IF($O$3="RAB NON MDU","PLN KD",G17*F17)),0)</f>
        <v>0</v>
      </c>
      <c r="I17" s="284">
        <f t="shared" ref="I17:I97" ca="1" si="5">IF(D17="HDW",G17*F17,0)</f>
        <v>0</v>
      </c>
      <c r="J17" s="284">
        <f t="shared" ref="J17:J97" ca="1" si="6">IF(D17="JASA",G17*F17,0)</f>
        <v>10066.666666666668</v>
      </c>
      <c r="K17" s="285">
        <f t="shared" ca="1" si="3"/>
        <v>10066.666666666668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15">
      <c r="A18" s="259" t="e">
        <f>IF(AND(C18=0,#REF!=0,#REF!=0),"BLANKS",1)</f>
        <v>#REF!</v>
      </c>
      <c r="B18" s="412" t="s">
        <v>495</v>
      </c>
      <c r="C18" s="280" t="s">
        <v>1582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293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 ht="15">
      <c r="A19" s="259"/>
      <c r="B19" s="294"/>
      <c r="C19" s="413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293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93" ca="1" si="7">IF(OR(D19="MDU",D19="MDU-KD"),(IF($O$3="RAB NON MDU","PLN KD",G19*F19)),0)</f>
        <v>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 ht="16">
      <c r="A20" s="259" t="e">
        <f>IF(AND(C20=0,#REF!=0,#REF!=0),"BLANKS",1)</f>
        <v>#REF!</v>
      </c>
      <c r="B20" s="416" t="s">
        <v>1006</v>
      </c>
      <c r="C20" s="417" t="s">
        <v>1583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398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16">
      <c r="A21" s="259" t="e">
        <f>IF(AND(C21=0,C22=0,#REF!=0),"BLANKS",1)</f>
        <v>#REF!</v>
      </c>
      <c r="B21" s="416">
        <v>1</v>
      </c>
      <c r="C21" s="109" t="s">
        <v>1118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398">
        <v>1</v>
      </c>
      <c r="G21" s="283">
        <f ca="1">IF(ISERROR(OFFSET('HARGA SATUAN'!$I$6,MATCH(RAB!C21,'HARGA SATUAN'!$C$7:$C$1492,0),0)),0,OFFSET('HARGA SATUAN'!$I$6,MATCH(RAB!C21,'HARGA SATUAN'!$C$7:$C$1492,0),0))</f>
        <v>56838600</v>
      </c>
      <c r="H21" s="284">
        <f t="shared" ca="1" si="7"/>
        <v>56838600</v>
      </c>
      <c r="I21" s="284">
        <f t="shared" ca="1" si="8"/>
        <v>0</v>
      </c>
      <c r="J21" s="284">
        <f t="shared" ca="1" si="9"/>
        <v>0</v>
      </c>
      <c r="K21" s="285">
        <f t="shared" ca="1" si="10"/>
        <v>56838600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16">
      <c r="A22" s="259" t="e">
        <f>IF(AND(C22=0,#REF!=0,#REF!=0),"BLANKS",1)</f>
        <v>#REF!</v>
      </c>
      <c r="B22" s="418">
        <v>2</v>
      </c>
      <c r="C22" s="409" t="s">
        <v>1516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429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 ht="16">
      <c r="A23" s="259"/>
      <c r="B23" s="416"/>
      <c r="C23" s="409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398">
        <v>9</v>
      </c>
      <c r="G23" s="283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127800</v>
      </c>
      <c r="I23" s="284">
        <f t="shared" ca="1" si="8"/>
        <v>0</v>
      </c>
      <c r="J23" s="284">
        <f t="shared" ca="1" si="9"/>
        <v>0</v>
      </c>
      <c r="K23" s="285">
        <f t="shared" ca="1" si="10"/>
        <v>127800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16">
      <c r="A24" s="259">
        <f t="shared" ref="A24:A26" si="11">IF(AND(C24=0,C25=0,C26=0),"BLANKS",1)</f>
        <v>1</v>
      </c>
      <c r="B24" s="416"/>
      <c r="C24" s="409" t="s">
        <v>1584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398">
        <v>3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 ht="16">
      <c r="A25" s="259">
        <f t="shared" si="11"/>
        <v>1</v>
      </c>
      <c r="B25" s="416">
        <v>3</v>
      </c>
      <c r="C25" s="109" t="s">
        <v>549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398">
        <v>3</v>
      </c>
      <c r="G25" s="283">
        <f ca="1">IF(ISERROR(OFFSET('HARGA SATUAN'!$I$6,MATCH(RAB!C25,'HARGA SATUAN'!$C$7:$C$1492,0),0)),0,OFFSET('HARGA SATUAN'!$I$6,MATCH(RAB!C25,'HARGA SATUAN'!$C$7:$C$1492,0),0))</f>
        <v>725900</v>
      </c>
      <c r="H25" s="284">
        <f t="shared" ca="1" si="7"/>
        <v>2177700</v>
      </c>
      <c r="I25" s="284">
        <f t="shared" ca="1" si="8"/>
        <v>0</v>
      </c>
      <c r="J25" s="284">
        <f t="shared" ca="1" si="9"/>
        <v>0</v>
      </c>
      <c r="K25" s="285">
        <f t="shared" ca="1" si="10"/>
        <v>2177700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 ht="16">
      <c r="A26" s="259">
        <f t="shared" si="11"/>
        <v>1</v>
      </c>
      <c r="B26" s="416">
        <v>4</v>
      </c>
      <c r="C26" s="417" t="s">
        <v>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398">
        <v>3</v>
      </c>
      <c r="G26" s="283">
        <f ca="1">IF(ISERROR(OFFSET('HARGA SATUAN'!$I$6,MATCH(RAB!C26,'HARGA SATUAN'!$C$7:$C$1492,0),0)),0,OFFSET('HARGA SATUAN'!$I$6,MATCH(RAB!C26,'HARGA SATUAN'!$C$7:$C$1492,0),0))</f>
        <v>848250</v>
      </c>
      <c r="H26" s="284">
        <f t="shared" ca="1" si="7"/>
        <v>2544750</v>
      </c>
      <c r="I26" s="284">
        <f t="shared" ca="1" si="8"/>
        <v>0</v>
      </c>
      <c r="J26" s="284">
        <f t="shared" ca="1" si="9"/>
        <v>0</v>
      </c>
      <c r="K26" s="285">
        <f t="shared" ca="1" si="10"/>
        <v>2544750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 ht="16">
      <c r="A27" s="259" t="e">
        <f>IF(AND(C27=0,C28=0,#REF!=0),"BLANKS",1)</f>
        <v>#REF!</v>
      </c>
      <c r="B27" s="416">
        <v>5</v>
      </c>
      <c r="C27" s="417" t="s">
        <v>45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398">
        <v>3</v>
      </c>
      <c r="G27" s="283">
        <f ca="1">IF(ISERROR(OFFSET('HARGA SATUAN'!$I$6,MATCH(RAB!C27,'HARGA SATUAN'!$C$7:$C$1492,0),0)),0,OFFSET('HARGA SATUAN'!$I$6,MATCH(RAB!C27,'HARGA SATUAN'!$C$7:$C$1492,0),0))</f>
        <v>18000</v>
      </c>
      <c r="H27" s="284">
        <f t="shared" ca="1" si="7"/>
        <v>0</v>
      </c>
      <c r="I27" s="284">
        <f t="shared" ca="1" si="8"/>
        <v>54000</v>
      </c>
      <c r="J27" s="284">
        <f t="shared" ca="1" si="9"/>
        <v>0</v>
      </c>
      <c r="K27" s="285">
        <f t="shared" ca="1" si="10"/>
        <v>54000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16">
      <c r="A28" s="259" t="e">
        <f>IF(AND(C28=0,#REF!=0,#REF!=0),"BLANKS",1)</f>
        <v>#REF!</v>
      </c>
      <c r="B28" s="416">
        <v>6</v>
      </c>
      <c r="C28" s="417" t="s">
        <v>571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398">
        <v>13</v>
      </c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7"/>
        <v>0</v>
      </c>
      <c r="I28" s="284">
        <f t="shared" ca="1" si="8"/>
        <v>0</v>
      </c>
      <c r="J28" s="284">
        <f t="shared" ca="1" si="9"/>
        <v>0</v>
      </c>
      <c r="K28" s="285">
        <f t="shared" ca="1" si="10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 ht="16">
      <c r="A29" s="259">
        <f t="shared" ref="A29:A31" si="12">IF(AND(C29=0,C30=0,C31=0),"BLANKS",1)</f>
        <v>1</v>
      </c>
      <c r="B29" s="416">
        <v>7</v>
      </c>
      <c r="C29" s="417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398">
        <v>22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7"/>
        <v>0</v>
      </c>
      <c r="I29" s="284">
        <f t="shared" ca="1" si="8"/>
        <v>174636</v>
      </c>
      <c r="J29" s="284">
        <f t="shared" ca="1" si="9"/>
        <v>0</v>
      </c>
      <c r="K29" s="285">
        <f t="shared" ca="1" si="10"/>
        <v>174636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16">
      <c r="A30" s="259">
        <f t="shared" si="12"/>
        <v>1</v>
      </c>
      <c r="B30" s="416">
        <v>8</v>
      </c>
      <c r="C30" s="417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398">
        <v>1</v>
      </c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7"/>
        <v>0</v>
      </c>
      <c r="I30" s="284">
        <f t="shared" ca="1" si="8"/>
        <v>404600</v>
      </c>
      <c r="J30" s="284">
        <f t="shared" ca="1" si="9"/>
        <v>0</v>
      </c>
      <c r="K30" s="285">
        <f t="shared" ca="1" si="10"/>
        <v>404600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 ht="16">
      <c r="A31" s="259">
        <f t="shared" si="12"/>
        <v>1</v>
      </c>
      <c r="B31" s="416">
        <v>9</v>
      </c>
      <c r="C31" s="417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398">
        <v>3</v>
      </c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7"/>
        <v>0</v>
      </c>
      <c r="I31" s="284">
        <f t="shared" ca="1" si="8"/>
        <v>47700</v>
      </c>
      <c r="J31" s="284">
        <f t="shared" ca="1" si="9"/>
        <v>0</v>
      </c>
      <c r="K31" s="285">
        <f t="shared" ca="1" si="10"/>
        <v>47700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 ht="16">
      <c r="A32" s="259" t="e">
        <f>IF(AND(C32=0,C33=0,#REF!=0),"BLANKS",1)</f>
        <v>#REF!</v>
      </c>
      <c r="B32" s="416">
        <v>10</v>
      </c>
      <c r="C32" s="417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398">
        <v>5</v>
      </c>
      <c r="G32" s="283">
        <f ca="1">IF(ISERROR(OFFSET('HARGA SATUAN'!$I$6,MATCH(RAB!C32,'HARGA SATUAN'!$C$7:$C$1492,0),0)),0,OFFSET('HARGA SATUAN'!$I$6,MATCH(RAB!C32,'HARGA SATUAN'!$C$7:$C$1492,0),0))</f>
        <v>283100</v>
      </c>
      <c r="H32" s="284">
        <f t="shared" ca="1" si="7"/>
        <v>0</v>
      </c>
      <c r="I32" s="284">
        <f t="shared" ca="1" si="8"/>
        <v>1415500</v>
      </c>
      <c r="J32" s="284">
        <f t="shared" ca="1" si="9"/>
        <v>0</v>
      </c>
      <c r="K32" s="285">
        <f t="shared" ca="1" si="10"/>
        <v>1415500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16">
      <c r="A33" s="259" t="e">
        <f>IF(AND(C33=0,#REF!=0,#REF!=0),"BLANKS",1)</f>
        <v>#REF!</v>
      </c>
      <c r="B33" s="416">
        <v>11</v>
      </c>
      <c r="C33" s="417" t="s">
        <v>584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398">
        <v>4</v>
      </c>
      <c r="G33" s="283">
        <f ca="1">IF(ISERROR(OFFSET('HARGA SATUAN'!$I$6,MATCH(RAB!C33,'HARGA SATUAN'!$C$7:$C$1492,0),0)),0,OFFSET('HARGA SATUAN'!$I$6,MATCH(RAB!C33,'HARGA SATUAN'!$C$7:$C$1492,0),0))</f>
        <v>380500</v>
      </c>
      <c r="H33" s="284">
        <f t="shared" ca="1" si="7"/>
        <v>0</v>
      </c>
      <c r="I33" s="284">
        <f t="shared" ca="1" si="8"/>
        <v>1522000</v>
      </c>
      <c r="J33" s="284">
        <f t="shared" ca="1" si="9"/>
        <v>0</v>
      </c>
      <c r="K33" s="285">
        <f t="shared" ca="1" si="10"/>
        <v>1522000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16">
      <c r="A34" s="259"/>
      <c r="B34" s="416">
        <v>12</v>
      </c>
      <c r="C34" s="417" t="s">
        <v>198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398">
        <v>3</v>
      </c>
      <c r="G34" s="283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 ht="16">
      <c r="A35" s="259">
        <f>IF(AND(C35=0,C40=0,C41=0),"BLANKS",1)</f>
        <v>1</v>
      </c>
      <c r="B35" s="416">
        <v>13</v>
      </c>
      <c r="C35" s="417" t="s">
        <v>237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398">
        <v>1</v>
      </c>
      <c r="G35" s="283">
        <f ca="1">IF(ISERROR(OFFSET('HARGA SATUAN'!$I$6,MATCH(RAB!C35,'HARGA SATUAN'!$C$7:$C$1492,0),0)),0,OFFSET('HARGA SATUAN'!$I$6,MATCH(RAB!C35,'HARGA SATUAN'!$C$7:$C$1492,0),0))</f>
        <v>57690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57690</v>
      </c>
      <c r="J35" s="284">
        <f t="shared" ref="J35:J36" ca="1" si="15">IF(D35="JASA",G35*F35,0)</f>
        <v>0</v>
      </c>
      <c r="K35" s="285">
        <f t="shared" ref="K35:K36" ca="1" si="16">SUM(H35:J35)</f>
        <v>57690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 ht="16">
      <c r="A36" s="259" t="e">
        <f>IF(AND(C36=0,#REF!=0,#REF!=0),"BLANKS",1)</f>
        <v>#REF!</v>
      </c>
      <c r="B36" s="416">
        <v>14</v>
      </c>
      <c r="C36" s="417" t="s">
        <v>224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398">
        <v>2</v>
      </c>
      <c r="G36" s="283">
        <f ca="1">IF(ISERROR(OFFSET('HARGA SATUAN'!$I$6,MATCH(RAB!C36,'HARGA SATUAN'!$C$7:$C$1492,0),0)),0,OFFSET('HARGA SATUAN'!$I$6,MATCH(RAB!C36,'HARGA SATUAN'!$C$7:$C$1492,0),0))</f>
        <v>67500</v>
      </c>
      <c r="H36" s="284">
        <f t="shared" ca="1" si="13"/>
        <v>0</v>
      </c>
      <c r="I36" s="284">
        <f t="shared" ca="1" si="14"/>
        <v>135000</v>
      </c>
      <c r="J36" s="284">
        <f t="shared" ca="1" si="15"/>
        <v>0</v>
      </c>
      <c r="K36" s="285">
        <f t="shared" ca="1" si="16"/>
        <v>135000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 ht="16">
      <c r="A37" s="259">
        <f t="shared" ref="A37:A39" si="17">IF(AND(C37=0,C38=0,C39=0),"BLANKS",1)</f>
        <v>1</v>
      </c>
      <c r="B37" s="416">
        <v>15</v>
      </c>
      <c r="C37" s="417" t="s">
        <v>257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398">
        <v>2</v>
      </c>
      <c r="G37" s="283">
        <f ca="1">IF(ISERROR(OFFSET('HARGA SATUAN'!$I$6,MATCH(RAB!C37,'HARGA SATUAN'!$C$7:$C$1492,0),0)),0,OFFSET('HARGA SATUAN'!$I$6,MATCH(RAB!C37,'HARGA SATUAN'!$C$7:$C$1492,0),0))</f>
        <v>129000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258000</v>
      </c>
      <c r="J37" s="284">
        <f t="shared" ref="J37:J50" ca="1" si="20">IF(D37="JASA",G37*F37,0)</f>
        <v>0</v>
      </c>
      <c r="K37" s="285">
        <f t="shared" ref="K37:K50" ca="1" si="21">SUM(H37:J37)</f>
        <v>258000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 ht="16">
      <c r="A38" s="259">
        <f t="shared" si="17"/>
        <v>1</v>
      </c>
      <c r="B38" s="416">
        <v>16</v>
      </c>
      <c r="C38" s="417" t="s">
        <v>598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398">
        <v>4</v>
      </c>
      <c r="G38" s="283">
        <f ca="1">IF(ISERROR(OFFSET('HARGA SATUAN'!$I$6,MATCH(RAB!C38,'HARGA SATUAN'!$C$7:$C$1492,0),0)),0,OFFSET('HARGA SATUAN'!$I$6,MATCH(RAB!C38,'HARGA SATUAN'!$C$7:$C$1492,0),0))</f>
        <v>250000</v>
      </c>
      <c r="H38" s="284">
        <f t="shared" ca="1" si="18"/>
        <v>0</v>
      </c>
      <c r="I38" s="284">
        <f t="shared" ca="1" si="19"/>
        <v>1000000</v>
      </c>
      <c r="J38" s="284">
        <f t="shared" ca="1" si="20"/>
        <v>0</v>
      </c>
      <c r="K38" s="285">
        <f t="shared" ca="1" si="21"/>
        <v>1000000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 ht="16">
      <c r="A39" s="259">
        <f t="shared" si="17"/>
        <v>1</v>
      </c>
      <c r="B39" s="416">
        <v>17</v>
      </c>
      <c r="C39" s="417" t="s">
        <v>775</v>
      </c>
      <c r="D39" s="281" t="str">
        <f ca="1">IF(ISERROR(OFFSET('HARGA SATUAN'!$D$6,MATCH(RAB!C39,'HARGA SATUAN'!$C$7:$C$1492,0),0)),"",OFFSET('HARGA SATUAN'!$D$6,MATCH(RAB!C39,'HARGA SATUAN'!$C$7:$C$1492,0),0))</f>
        <v>JASA</v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398">
        <v>1</v>
      </c>
      <c r="G39" s="283">
        <f ca="1">IF(ISERROR(OFFSET('HARGA SATUAN'!$I$6,MATCH(RAB!C39,'HARGA SATUAN'!$C$7:$C$1492,0),0)),0,OFFSET('HARGA SATUAN'!$I$6,MATCH(RAB!C39,'HARGA SATUAN'!$C$7:$C$1492,0),0))</f>
        <v>2953300</v>
      </c>
      <c r="H39" s="284">
        <f t="shared" ca="1" si="18"/>
        <v>0</v>
      </c>
      <c r="I39" s="284">
        <f t="shared" ca="1" si="19"/>
        <v>0</v>
      </c>
      <c r="J39" s="284">
        <f t="shared" ca="1" si="20"/>
        <v>2953300</v>
      </c>
      <c r="K39" s="285">
        <f t="shared" ca="1" si="21"/>
        <v>2953300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15">
      <c r="A40" s="259">
        <f>IF(AND(C40=0,C41=0,C59=0),"BLANKS",1)</f>
        <v>1</v>
      </c>
      <c r="B40" s="416"/>
      <c r="C40" s="417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293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18"/>
        <v>0</v>
      </c>
      <c r="I40" s="284">
        <f t="shared" ca="1" si="19"/>
        <v>0</v>
      </c>
      <c r="J40" s="284">
        <f t="shared" ca="1" si="20"/>
        <v>0</v>
      </c>
      <c r="K40" s="285">
        <f t="shared" ca="1" si="21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5">
      <c r="A41" s="259" t="e">
        <f>IF(AND(C41=0,C59=0,#REF!=0),"BLANKS",1)</f>
        <v>#REF!</v>
      </c>
      <c r="B41" s="416">
        <v>1</v>
      </c>
      <c r="C41" s="419" t="s">
        <v>1382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426">
        <v>3</v>
      </c>
      <c r="G41" s="283">
        <f ca="1">IF(ISERROR(OFFSET('HARGA SATUAN'!$I$6,MATCH(RAB!C41,'HARGA SATUAN'!$C$7:$C$1492,0),0)),0,OFFSET('HARGA SATUAN'!$I$6,MATCH(RAB!C41,'HARGA SATUAN'!$C$7:$C$1492,0),0))</f>
        <v>85000</v>
      </c>
      <c r="H41" s="284">
        <f t="shared" ca="1" si="18"/>
        <v>0</v>
      </c>
      <c r="I41" s="284">
        <f t="shared" ca="1" si="19"/>
        <v>255000</v>
      </c>
      <c r="J41" s="284">
        <f t="shared" ca="1" si="20"/>
        <v>0</v>
      </c>
      <c r="K41" s="285">
        <f t="shared" ca="1" si="21"/>
        <v>255000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 ht="15">
      <c r="A42" s="259"/>
      <c r="B42" s="416">
        <v>2</v>
      </c>
      <c r="C42" s="419" t="s">
        <v>1383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Set</v>
      </c>
      <c r="F42" s="426">
        <v>3</v>
      </c>
      <c r="G42" s="283">
        <f ca="1">IF(ISERROR(OFFSET('HARGA SATUAN'!$I$6,MATCH(RAB!C42,'HARGA SATUAN'!$C$7:$C$1492,0),0)),0,OFFSET('HARGA SATUAN'!$I$6,MATCH(RAB!C42,'HARGA SATUAN'!$C$7:$C$1492,0),0))</f>
        <v>15000</v>
      </c>
      <c r="H42" s="284">
        <f t="shared" ca="1" si="18"/>
        <v>0</v>
      </c>
      <c r="I42" s="284">
        <f t="shared" ca="1" si="19"/>
        <v>0</v>
      </c>
      <c r="J42" s="284">
        <f t="shared" ca="1" si="20"/>
        <v>45000</v>
      </c>
      <c r="K42" s="285">
        <f t="shared" ca="1" si="21"/>
        <v>45000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 ht="15">
      <c r="A43" s="259">
        <f t="shared" ref="A43:A45" si="22">IF(AND(C43=0,C44=0,C45=0),"BLANKS",1)</f>
        <v>1</v>
      </c>
      <c r="B43" s="416">
        <v>3</v>
      </c>
      <c r="C43" s="419" t="s">
        <v>1392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426">
        <v>3</v>
      </c>
      <c r="G43" s="283">
        <f ca="1">IF(ISERROR(OFFSET('HARGA SATUAN'!$I$6,MATCH(RAB!C43,'HARGA SATUAN'!$C$7:$C$1492,0),0)),0,OFFSET('HARGA SATUAN'!$I$6,MATCH(RAB!C43,'HARGA SATUAN'!$C$7:$C$1492,0),0))</f>
        <v>105000</v>
      </c>
      <c r="H43" s="284">
        <f t="shared" ca="1" si="18"/>
        <v>0</v>
      </c>
      <c r="I43" s="284">
        <f t="shared" ca="1" si="19"/>
        <v>315000</v>
      </c>
      <c r="J43" s="284">
        <f t="shared" ca="1" si="20"/>
        <v>0</v>
      </c>
      <c r="K43" s="285">
        <f t="shared" ca="1" si="21"/>
        <v>315000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5">
      <c r="A44" s="259">
        <f t="shared" si="22"/>
        <v>1</v>
      </c>
      <c r="B44" s="416">
        <v>4</v>
      </c>
      <c r="C44" s="419" t="s">
        <v>1393</v>
      </c>
      <c r="D44" s="281" t="str">
        <f ca="1">IF(ISERROR(OFFSET('HARGA SATUAN'!$D$6,MATCH(RAB!C44,'HARGA SATUAN'!$C$7:$C$1492,0),0)),"",OFFSET('HARGA SATUAN'!$D$6,MATCH(RAB!C44,'HARGA SATUAN'!$C$7:$C$1492,0),0))</f>
        <v>JASA</v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426">
        <v>3</v>
      </c>
      <c r="G44" s="283">
        <f ca="1">IF(ISERROR(OFFSET('HARGA SATUAN'!$I$6,MATCH(RAB!C44,'HARGA SATUAN'!$C$7:$C$1492,0),0)),0,OFFSET('HARGA SATUAN'!$I$6,MATCH(RAB!C44,'HARGA SATUAN'!$C$7:$C$1492,0),0))</f>
        <v>15000</v>
      </c>
      <c r="H44" s="284">
        <f t="shared" ca="1" si="18"/>
        <v>0</v>
      </c>
      <c r="I44" s="284">
        <f t="shared" ca="1" si="19"/>
        <v>0</v>
      </c>
      <c r="J44" s="284">
        <f t="shared" ca="1" si="20"/>
        <v>45000</v>
      </c>
      <c r="K44" s="285">
        <f t="shared" ca="1" si="21"/>
        <v>45000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 ht="15">
      <c r="A45" s="259">
        <f t="shared" si="22"/>
        <v>1</v>
      </c>
      <c r="B45" s="416">
        <v>5</v>
      </c>
      <c r="C45" s="419" t="s">
        <v>1394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426">
        <v>3</v>
      </c>
      <c r="G45" s="283">
        <f ca="1">IF(ISERROR(OFFSET('HARGA SATUAN'!$I$6,MATCH(RAB!C45,'HARGA SATUAN'!$C$7:$C$1492,0),0)),0,OFFSET('HARGA SATUAN'!$I$6,MATCH(RAB!C45,'HARGA SATUAN'!$C$7:$C$1492,0),0))</f>
        <v>180000</v>
      </c>
      <c r="H45" s="284">
        <f t="shared" ca="1" si="18"/>
        <v>0</v>
      </c>
      <c r="I45" s="284">
        <f t="shared" ca="1" si="19"/>
        <v>540000</v>
      </c>
      <c r="J45" s="284">
        <f t="shared" ca="1" si="20"/>
        <v>0</v>
      </c>
      <c r="K45" s="285">
        <f t="shared" ca="1" si="21"/>
        <v>540000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 ht="15">
      <c r="A46" s="259" t="e">
        <f>IF(AND(C46=0,C47=0,#REF!=0),"BLANKS",1)</f>
        <v>#REF!</v>
      </c>
      <c r="B46" s="416">
        <v>6</v>
      </c>
      <c r="C46" s="419" t="s">
        <v>1395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Set</v>
      </c>
      <c r="F46" s="426">
        <v>3</v>
      </c>
      <c r="G46" s="283">
        <f ca="1">IF(ISERROR(OFFSET('HARGA SATUAN'!$I$6,MATCH(RAB!C46,'HARGA SATUAN'!$C$7:$C$1492,0),0)),0,OFFSET('HARGA SATUAN'!$I$6,MATCH(RAB!C46,'HARGA SATUAN'!$C$7:$C$1492,0),0))</f>
        <v>15000</v>
      </c>
      <c r="H46" s="284">
        <f t="shared" ca="1" si="18"/>
        <v>0</v>
      </c>
      <c r="I46" s="284">
        <f t="shared" ca="1" si="19"/>
        <v>0</v>
      </c>
      <c r="J46" s="284">
        <f t="shared" ca="1" si="20"/>
        <v>45000</v>
      </c>
      <c r="K46" s="285">
        <f t="shared" ca="1" si="21"/>
        <v>45000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 ht="15">
      <c r="A47" s="259" t="e">
        <f>IF(AND(C47=0,#REF!=0,C59=0),"BLANKS",1)</f>
        <v>#REF!</v>
      </c>
      <c r="B47" s="416"/>
      <c r="C47" s="419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426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8"/>
        <v>0</v>
      </c>
      <c r="I47" s="284">
        <f t="shared" ca="1" si="19"/>
        <v>0</v>
      </c>
      <c r="J47" s="284">
        <f t="shared" ca="1" si="20"/>
        <v>0</v>
      </c>
      <c r="K47" s="285">
        <f t="shared" ca="1" si="21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 ht="16">
      <c r="A48" s="259" t="e">
        <f>IF(AND(C48=0,C49=0,#REF!=0),"BLANKS",1)</f>
        <v>#REF!</v>
      </c>
      <c r="B48" s="416" t="s">
        <v>1006</v>
      </c>
      <c r="C48" s="417" t="s">
        <v>1519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28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8"/>
        <v>0</v>
      </c>
      <c r="I48" s="284">
        <f t="shared" ca="1" si="19"/>
        <v>0</v>
      </c>
      <c r="J48" s="284">
        <f t="shared" ca="1" si="20"/>
        <v>0</v>
      </c>
      <c r="K48" s="285">
        <f t="shared" ca="1" si="21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 ht="15">
      <c r="A49" s="259" t="e">
        <f>IF(AND(C49=0,#REF!=0,#REF!=0),"BLANKS",1)</f>
        <v>#REF!</v>
      </c>
      <c r="B49" s="424">
        <v>1</v>
      </c>
      <c r="C49" s="425" t="s">
        <v>588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428">
        <v>1</v>
      </c>
      <c r="G49" s="283">
        <f ca="1">IF(ISERROR(OFFSET('HARGA SATUAN'!$I$6,MATCH(RAB!C49,'HARGA SATUAN'!$C$7:$C$1492,0),0)),0,OFFSET('HARGA SATUAN'!$I$6,MATCH(RAB!C49,'HARGA SATUAN'!$C$7:$C$1492,0),0))</f>
        <v>120900</v>
      </c>
      <c r="H49" s="284">
        <f t="shared" ca="1" si="18"/>
        <v>0</v>
      </c>
      <c r="I49" s="284">
        <f t="shared" ca="1" si="19"/>
        <v>120900</v>
      </c>
      <c r="J49" s="284">
        <f t="shared" ca="1" si="20"/>
        <v>0</v>
      </c>
      <c r="K49" s="285">
        <f t="shared" ca="1" si="21"/>
        <v>120900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15">
      <c r="A50" s="259" t="b">
        <f ca="1">F50=G51</f>
        <v>0</v>
      </c>
      <c r="B50" s="418">
        <v>2</v>
      </c>
      <c r="C50" s="423" t="s">
        <v>251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428">
        <v>1</v>
      </c>
      <c r="G50" s="283">
        <f ca="1">IF(ISERROR(OFFSET('HARGA SATUAN'!$I$6,MATCH(RAB!C50,'HARGA SATUAN'!$C$7:$C$1492,0),0)),0,OFFSET('HARGA SATUAN'!$I$6,MATCH(RAB!C50,'HARGA SATUAN'!$C$7:$C$1492,0),0))</f>
        <v>135800</v>
      </c>
      <c r="H50" s="284">
        <f t="shared" ca="1" si="18"/>
        <v>0</v>
      </c>
      <c r="I50" s="284">
        <f t="shared" ca="1" si="19"/>
        <v>135800</v>
      </c>
      <c r="J50" s="284">
        <f t="shared" ca="1" si="20"/>
        <v>0</v>
      </c>
      <c r="K50" s="285">
        <f t="shared" ca="1" si="21"/>
        <v>135800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 ht="16">
      <c r="A51" s="259">
        <f t="shared" ref="A51:A53" si="23">IF(AND(C51=0,C52=0,C53=0),"BLANKS",1)</f>
        <v>1</v>
      </c>
      <c r="B51" s="418">
        <v>3</v>
      </c>
      <c r="C51" s="421" t="s">
        <v>204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398">
        <v>1</v>
      </c>
      <c r="G51" s="283">
        <f ca="1">IF(ISERROR(OFFSET('HARGA SATUAN'!$I$6,MATCH(RAB!C51,'HARGA SATUAN'!$C$7:$C$1492,0),0)),0,OFFSET('HARGA SATUAN'!$I$6,MATCH(RAB!C51,'HARGA SATUAN'!$C$7:$C$1492,0),0))</f>
        <v>4500</v>
      </c>
      <c r="H51" s="284">
        <f t="shared" ca="1" si="7"/>
        <v>0</v>
      </c>
      <c r="I51" s="284">
        <f t="shared" ca="1" si="8"/>
        <v>4500</v>
      </c>
      <c r="J51" s="284">
        <f t="shared" ca="1" si="9"/>
        <v>0</v>
      </c>
      <c r="K51" s="285">
        <f t="shared" ca="1" si="10"/>
        <v>4500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 ht="16">
      <c r="A52" s="259">
        <f t="shared" si="23"/>
        <v>1</v>
      </c>
      <c r="B52" s="416">
        <v>4</v>
      </c>
      <c r="C52" s="417" t="s">
        <v>759</v>
      </c>
      <c r="D52" s="281" t="str">
        <f ca="1">IF(ISERROR(OFFSET('HARGA SATUAN'!$D$6,MATCH(RAB!C52,'HARGA SATUAN'!$C$7:$C$1492,0),0)),"",OFFSET('HARGA SATUAN'!$D$6,MATCH(RAB!C52,'HARGA SATUAN'!$C$7:$C$1492,0),0))</f>
        <v>JASA</v>
      </c>
      <c r="E52" s="282" t="str">
        <f ca="1">IF(B52="+","Unit",IF(ISERROR(OFFSET('HARGA SATUAN'!$E$6,MATCH(RAB!C52,'HARGA SATUAN'!$C$7:$C$1492,0),0)),"",OFFSET('HARGA SATUAN'!$E$6,MATCH(RAB!C52,'HARGA SATUAN'!$C$7:$C$1492,0),0)))</f>
        <v>Unit</v>
      </c>
      <c r="F52" s="428">
        <v>1</v>
      </c>
      <c r="G52" s="283">
        <f ca="1">IF(ISERROR(OFFSET('HARGA SATUAN'!$I$6,MATCH(RAB!C52,'HARGA SATUAN'!$C$7:$C$1492,0),0)),0,OFFSET('HARGA SATUAN'!$I$6,MATCH(RAB!C52,'HARGA SATUAN'!$C$7:$C$1492,0),0))</f>
        <v>55500</v>
      </c>
      <c r="H52" s="284">
        <f t="shared" ca="1" si="7"/>
        <v>0</v>
      </c>
      <c r="I52" s="284">
        <f t="shared" ca="1" si="8"/>
        <v>0</v>
      </c>
      <c r="J52" s="284">
        <f t="shared" ca="1" si="9"/>
        <v>55500</v>
      </c>
      <c r="K52" s="285">
        <f t="shared" ca="1" si="10"/>
        <v>55500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15">
      <c r="A53" s="259">
        <f t="shared" si="23"/>
        <v>1</v>
      </c>
      <c r="B53" s="416"/>
      <c r="C53" s="419"/>
      <c r="D53" s="281" t="str">
        <f ca="1">IF(ISERROR(OFFSET('HARGA SATUAN'!$D$6,MATCH(RAB!C53,'HARGA SATUAN'!$C$7:$C$1492,0),0)),"",OFFSET('HARGA SATUAN'!$D$6,MATCH(RAB!C53,'HARGA SATUAN'!$C$7:$C$1492,0),0))</f>
        <v/>
      </c>
      <c r="E53" s="282" t="str">
        <f ca="1">IF(B53="+","Unit",IF(ISERROR(OFFSET('HARGA SATUAN'!$E$6,MATCH(RAB!C53,'HARGA SATUAN'!$C$7:$C$1492,0),0)),"",OFFSET('HARGA SATUAN'!$E$6,MATCH(RAB!C53,'HARGA SATUAN'!$C$7:$C$1492,0),0)))</f>
        <v/>
      </c>
      <c r="F53" s="426"/>
      <c r="G53" s="283">
        <f ca="1">IF(ISERROR(OFFSET('HARGA SATUAN'!$I$6,MATCH(RAB!C53,'HARGA SATUAN'!$C$7:$C$1492,0),0)),0,OFFSET('HARGA SATUAN'!$I$6,MATCH(RAB!C53,'HARGA SATUAN'!$C$7:$C$1492,0),0))</f>
        <v>0</v>
      </c>
      <c r="H53" s="284">
        <f t="shared" ca="1" si="7"/>
        <v>0</v>
      </c>
      <c r="I53" s="284">
        <f t="shared" ca="1" si="8"/>
        <v>0</v>
      </c>
      <c r="J53" s="284">
        <f t="shared" ca="1" si="9"/>
        <v>0</v>
      </c>
      <c r="K53" s="285">
        <f t="shared" ca="1" si="10"/>
        <v>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 ht="16">
      <c r="A54" s="259" t="e">
        <f>IF(AND(C54=0,C55=0,#REF!=0),"BLANKS",1)</f>
        <v>#REF!</v>
      </c>
      <c r="B54" s="416" t="s">
        <v>1006</v>
      </c>
      <c r="C54" s="417" t="s">
        <v>1520</v>
      </c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>Unit</v>
      </c>
      <c r="F54" s="398">
        <v>1</v>
      </c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7"/>
        <v>0</v>
      </c>
      <c r="I54" s="284">
        <f t="shared" ca="1" si="8"/>
        <v>0</v>
      </c>
      <c r="J54" s="284">
        <f t="shared" ca="1" si="9"/>
        <v>0</v>
      </c>
      <c r="K54" s="285">
        <f t="shared" ca="1" si="10"/>
        <v>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 ht="16">
      <c r="A55" s="259" t="e">
        <f>IF(AND(C55=0,#REF!=0,#REF!=0),"BLANKS",1)</f>
        <v>#REF!</v>
      </c>
      <c r="B55" s="416">
        <v>1</v>
      </c>
      <c r="C55" s="417" t="s">
        <v>18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398">
        <v>1</v>
      </c>
      <c r="G55" s="283">
        <f ca="1">IF(ISERROR(OFFSET('HARGA SATUAN'!$I$6,MATCH(RAB!C55,'HARGA SATUAN'!$C$7:$C$1492,0),0)),0,OFFSET('HARGA SATUAN'!$I$6,MATCH(RAB!C55,'HARGA SATUAN'!$C$7:$C$1492,0),0))</f>
        <v>26500</v>
      </c>
      <c r="H55" s="284">
        <f t="shared" ca="1" si="7"/>
        <v>0</v>
      </c>
      <c r="I55" s="284">
        <f t="shared" ca="1" si="8"/>
        <v>26500</v>
      </c>
      <c r="J55" s="284">
        <f t="shared" ca="1" si="9"/>
        <v>0</v>
      </c>
      <c r="K55" s="285">
        <f t="shared" ca="1" si="10"/>
        <v>26500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 ht="16">
      <c r="A56" s="259"/>
      <c r="B56" s="416">
        <v>2</v>
      </c>
      <c r="C56" s="417" t="s">
        <v>193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398">
        <v>1</v>
      </c>
      <c r="G56" s="283">
        <f ca="1">IF(ISERROR(OFFSET('HARGA SATUAN'!$I$6,MATCH(RAB!C56,'HARGA SATUAN'!$C$7:$C$1492,0),0)),0,OFFSET('HARGA SATUAN'!$I$6,MATCH(RAB!C56,'HARGA SATUAN'!$C$7:$C$1492,0),0))</f>
        <v>12500</v>
      </c>
      <c r="H56" s="284">
        <f t="shared" ca="1" si="7"/>
        <v>0</v>
      </c>
      <c r="I56" s="284">
        <f t="shared" ca="1" si="8"/>
        <v>12500</v>
      </c>
      <c r="J56" s="284">
        <f t="shared" ca="1" si="9"/>
        <v>0</v>
      </c>
      <c r="K56" s="285">
        <f t="shared" ca="1" si="10"/>
        <v>12500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16">
      <c r="A57" s="259">
        <f t="shared" ref="A57:A59" si="24">IF(AND(C57=0,C58=0,C59=0),"BLANKS",1)</f>
        <v>1</v>
      </c>
      <c r="B57" s="416">
        <v>3</v>
      </c>
      <c r="C57" s="417" t="s">
        <v>196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Mtr</v>
      </c>
      <c r="F57" s="398">
        <v>12</v>
      </c>
      <c r="G57" s="283">
        <f ca="1">IF(ISERROR(OFFSET('HARGA SATUAN'!$I$6,MATCH(RAB!C57,'HARGA SATUAN'!$C$7:$C$1492,0),0)),0,OFFSET('HARGA SATUAN'!$I$6,MATCH(RAB!C57,'HARGA SATUAN'!$C$7:$C$1492,0),0))</f>
        <v>39204</v>
      </c>
      <c r="H57" s="284">
        <f t="shared" ca="1" si="7"/>
        <v>0</v>
      </c>
      <c r="I57" s="284">
        <f t="shared" ca="1" si="8"/>
        <v>470448</v>
      </c>
      <c r="J57" s="284">
        <f t="shared" ca="1" si="9"/>
        <v>0</v>
      </c>
      <c r="K57" s="285">
        <f t="shared" ca="1" si="10"/>
        <v>470448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 ht="16">
      <c r="A58" s="259">
        <f t="shared" si="24"/>
        <v>1</v>
      </c>
      <c r="B58" s="416">
        <v>4</v>
      </c>
      <c r="C58" s="417" t="s">
        <v>277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398">
        <v>2</v>
      </c>
      <c r="G58" s="283">
        <f ca="1">IF(ISERROR(OFFSET('HARGA SATUAN'!$I$6,MATCH(RAB!C58,'HARGA SATUAN'!$C$7:$C$1492,0),0)),0,OFFSET('HARGA SATUAN'!$I$6,MATCH(RAB!C58,'HARGA SATUAN'!$C$7:$C$1492,0),0))</f>
        <v>40000</v>
      </c>
      <c r="H58" s="284">
        <f t="shared" ca="1" si="7"/>
        <v>0</v>
      </c>
      <c r="I58" s="284">
        <f t="shared" ca="1" si="8"/>
        <v>80000</v>
      </c>
      <c r="J58" s="284">
        <f t="shared" ca="1" si="9"/>
        <v>0</v>
      </c>
      <c r="K58" s="285">
        <f t="shared" ca="1" si="10"/>
        <v>80000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 ht="16">
      <c r="A59" s="259">
        <f t="shared" si="24"/>
        <v>1</v>
      </c>
      <c r="B59" s="416">
        <v>5</v>
      </c>
      <c r="C59" s="417" t="s">
        <v>16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398">
        <v>1</v>
      </c>
      <c r="G59" s="283">
        <f ca="1">IF(ISERROR(OFFSET('HARGA SATUAN'!$I$6,MATCH(RAB!C59,'HARGA SATUAN'!$C$7:$C$1492,0),0)),0,OFFSET('HARGA SATUAN'!$I$6,MATCH(RAB!C59,'HARGA SATUAN'!$C$7:$C$1492,0),0))</f>
        <v>2500</v>
      </c>
      <c r="H59" s="284">
        <f t="shared" ca="1" si="7"/>
        <v>0</v>
      </c>
      <c r="I59" s="284">
        <f t="shared" ca="1" si="8"/>
        <v>2500</v>
      </c>
      <c r="J59" s="284">
        <f t="shared" ca="1" si="9"/>
        <v>0</v>
      </c>
      <c r="K59" s="285">
        <f t="shared" ca="1" si="10"/>
        <v>2500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 ht="16">
      <c r="A60" s="259" t="e">
        <f>IF(AND(C60=0,C61=0,#REF!=0),"BLANKS",1)</f>
        <v>#REF!</v>
      </c>
      <c r="B60" s="416">
        <v>6</v>
      </c>
      <c r="C60" s="417" t="s">
        <v>751</v>
      </c>
      <c r="D60" s="281" t="str">
        <f ca="1">IF(ISERROR(OFFSET('HARGA SATUAN'!$D$6,MATCH(RAB!C60,'HARGA SATUAN'!$C$7:$C$1492,0),0)),"",OFFSET('HARGA SATUAN'!$D$6,MATCH(RAB!C60,'HARGA SATUAN'!$C$7:$C$1492,0),0))</f>
        <v>JASA</v>
      </c>
      <c r="E60" s="282" t="str">
        <f ca="1">IF(B60="+","Unit",IF(ISERROR(OFFSET('HARGA SATUAN'!$E$6,MATCH(RAB!C60,'HARGA SATUAN'!$C$7:$C$1492,0),0)),"",OFFSET('HARGA SATUAN'!$E$6,MATCH(RAB!C60,'HARGA SATUAN'!$C$7:$C$1492,0),0)))</f>
        <v>Unit</v>
      </c>
      <c r="F60" s="398">
        <v>1</v>
      </c>
      <c r="G60" s="283">
        <f ca="1">IF(ISERROR(OFFSET('HARGA SATUAN'!$I$6,MATCH(RAB!C60,'HARGA SATUAN'!$C$7:$C$1492,0),0)),0,OFFSET('HARGA SATUAN'!$I$6,MATCH(RAB!C60,'HARGA SATUAN'!$C$7:$C$1492,0),0))</f>
        <v>36600</v>
      </c>
      <c r="H60" s="284">
        <f t="shared" ca="1" si="7"/>
        <v>0</v>
      </c>
      <c r="I60" s="284">
        <f t="shared" ca="1" si="8"/>
        <v>0</v>
      </c>
      <c r="J60" s="284">
        <f t="shared" ca="1" si="9"/>
        <v>36600</v>
      </c>
      <c r="K60" s="285">
        <f t="shared" ca="1" si="10"/>
        <v>36600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 ht="15">
      <c r="A61" s="259" t="e">
        <f>IF(AND(C61=0,#REF!=0,#REF!=0),"BLANKS",1)</f>
        <v>#REF!</v>
      </c>
      <c r="B61" s="420"/>
      <c r="C61" s="419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427"/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7"/>
        <v>0</v>
      </c>
      <c r="I61" s="284">
        <f t="shared" ca="1" si="8"/>
        <v>0</v>
      </c>
      <c r="J61" s="284">
        <f t="shared" ca="1" si="9"/>
        <v>0</v>
      </c>
      <c r="K61" s="285">
        <f t="shared" ca="1" si="10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 ht="16">
      <c r="A62" s="259">
        <f t="shared" ref="A62:A64" si="25">IF(AND(C62=0,C63=0,C64=0),"BLANKS",1)</f>
        <v>1</v>
      </c>
      <c r="B62" s="416" t="s">
        <v>1006</v>
      </c>
      <c r="C62" s="417" t="s">
        <v>1415</v>
      </c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398">
        <v>1</v>
      </c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ca="1" si="7"/>
        <v>0</v>
      </c>
      <c r="I62" s="284">
        <f t="shared" ca="1" si="8"/>
        <v>0</v>
      </c>
      <c r="J62" s="284">
        <f t="shared" ca="1" si="9"/>
        <v>0</v>
      </c>
      <c r="K62" s="285">
        <f t="shared" ca="1" si="1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 ht="16">
      <c r="A63" s="259">
        <f t="shared" si="25"/>
        <v>1</v>
      </c>
      <c r="B63" s="416">
        <v>1</v>
      </c>
      <c r="C63" s="417" t="s">
        <v>20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398">
        <v>1</v>
      </c>
      <c r="G63" s="283">
        <f ca="1">IF(ISERROR(OFFSET('HARGA SATUAN'!$I$6,MATCH(RAB!C63,'HARGA SATUAN'!$C$7:$C$1492,0),0)),0,OFFSET('HARGA SATUAN'!$I$6,MATCH(RAB!C63,'HARGA SATUAN'!$C$7:$C$1492,0),0))</f>
        <v>47459</v>
      </c>
      <c r="H63" s="284">
        <f t="shared" ca="1" si="7"/>
        <v>0</v>
      </c>
      <c r="I63" s="284">
        <f t="shared" ca="1" si="8"/>
        <v>47459</v>
      </c>
      <c r="J63" s="284">
        <f t="shared" ca="1" si="9"/>
        <v>0</v>
      </c>
      <c r="K63" s="285">
        <f t="shared" ca="1" si="10"/>
        <v>47459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16">
      <c r="A64" s="259">
        <f t="shared" si="25"/>
        <v>1</v>
      </c>
      <c r="B64" s="416">
        <v>2</v>
      </c>
      <c r="C64" s="417" t="s">
        <v>22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398">
        <v>1</v>
      </c>
      <c r="G64" s="283">
        <f ca="1">IF(ISERROR(OFFSET('HARGA SATUAN'!$I$6,MATCH(RAB!C64,'HARGA SATUAN'!$C$7:$C$1492,0),0)),0,OFFSET('HARGA SATUAN'!$I$6,MATCH(RAB!C64,'HARGA SATUAN'!$C$7:$C$1492,0),0))</f>
        <v>30000</v>
      </c>
      <c r="H64" s="284">
        <f t="shared" ca="1" si="7"/>
        <v>0</v>
      </c>
      <c r="I64" s="284">
        <f t="shared" ca="1" si="8"/>
        <v>30000</v>
      </c>
      <c r="J64" s="284">
        <f t="shared" ca="1" si="9"/>
        <v>0</v>
      </c>
      <c r="K64" s="285">
        <f t="shared" ca="1" si="10"/>
        <v>30000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16">
      <c r="A65" s="259" t="e">
        <f>IF(AND(C65=0,C66=0,#REF!=0),"BLANKS",1)</f>
        <v>#REF!</v>
      </c>
      <c r="B65" s="416">
        <v>3</v>
      </c>
      <c r="C65" s="417" t="s">
        <v>23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398">
        <v>1</v>
      </c>
      <c r="G65" s="283">
        <f ca="1">IF(ISERROR(OFFSET('HARGA SATUAN'!$I$6,MATCH(RAB!C65,'HARGA SATUAN'!$C$7:$C$1492,0),0)),0,OFFSET('HARGA SATUAN'!$I$6,MATCH(RAB!C65,'HARGA SATUAN'!$C$7:$C$1492,0),0))</f>
        <v>9500</v>
      </c>
      <c r="H65" s="284">
        <f t="shared" ca="1" si="7"/>
        <v>0</v>
      </c>
      <c r="I65" s="284">
        <f t="shared" ca="1" si="8"/>
        <v>9500</v>
      </c>
      <c r="J65" s="284">
        <f t="shared" ca="1" si="9"/>
        <v>0</v>
      </c>
      <c r="K65" s="285">
        <f t="shared" ca="1" si="10"/>
        <v>9500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16">
      <c r="A66" s="259" t="e">
        <f>IF(AND(C66=0,#REF!=0,#REF!=0),"BLANKS",1)</f>
        <v>#REF!</v>
      </c>
      <c r="B66" s="416">
        <v>4</v>
      </c>
      <c r="C66" s="417" t="s">
        <v>729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398">
        <v>1</v>
      </c>
      <c r="G66" s="283">
        <f ca="1">IF(ISERROR(OFFSET('HARGA SATUAN'!$I$6,MATCH(RAB!C66,'HARGA SATUAN'!$C$7:$C$1492,0),0)),0,OFFSET('HARGA SATUAN'!$I$6,MATCH(RAB!C66,'HARGA SATUAN'!$C$7:$C$1492,0),0))</f>
        <v>21200</v>
      </c>
      <c r="H66" s="284">
        <f t="shared" ca="1" si="7"/>
        <v>0</v>
      </c>
      <c r="I66" s="284">
        <f t="shared" ca="1" si="8"/>
        <v>0</v>
      </c>
      <c r="J66" s="284">
        <f t="shared" ca="1" si="9"/>
        <v>21200</v>
      </c>
      <c r="K66" s="285">
        <f t="shared" ca="1" si="10"/>
        <v>21200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15">
      <c r="A67" s="259"/>
      <c r="B67" s="420"/>
      <c r="C67" s="419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427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7"/>
        <v>0</v>
      </c>
      <c r="I67" s="284">
        <f t="shared" ca="1" si="8"/>
        <v>0</v>
      </c>
      <c r="J67" s="284">
        <f t="shared" ca="1" si="9"/>
        <v>0</v>
      </c>
      <c r="K67" s="285">
        <f t="shared" ca="1" si="10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16">
      <c r="A68" s="259">
        <f>IF(AND(C68=0,C69=0,C91=0),"BLANKS",1)</f>
        <v>1</v>
      </c>
      <c r="B68" s="416" t="s">
        <v>1006</v>
      </c>
      <c r="C68" s="417" t="s">
        <v>1414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398">
        <v>1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16">
      <c r="A69" s="259">
        <f>IF(AND(C69=0,C91=0,C92=0),"BLANKS",1)</f>
        <v>1</v>
      </c>
      <c r="B69" s="416">
        <v>1</v>
      </c>
      <c r="C69" s="417" t="s">
        <v>20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398">
        <v>1</v>
      </c>
      <c r="G69" s="283">
        <f ca="1">IF(ISERROR(OFFSET('HARGA SATUAN'!$I$6,MATCH(RAB!C69,'HARGA SATUAN'!$C$7:$C$1492,0),0)),0,OFFSET('HARGA SATUAN'!$I$6,MATCH(RAB!C69,'HARGA SATUAN'!$C$7:$C$1492,0),0))</f>
        <v>47459</v>
      </c>
      <c r="H69" s="284">
        <f t="shared" ca="1" si="7"/>
        <v>0</v>
      </c>
      <c r="I69" s="284">
        <f t="shared" ca="1" si="8"/>
        <v>47459</v>
      </c>
      <c r="J69" s="284">
        <f t="shared" ca="1" si="9"/>
        <v>0</v>
      </c>
      <c r="K69" s="285">
        <f t="shared" ca="1" si="10"/>
        <v>47459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 ht="16">
      <c r="A70" s="259" t="s">
        <v>1416</v>
      </c>
      <c r="B70" s="416">
        <v>2</v>
      </c>
      <c r="C70" s="417" t="s">
        <v>22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Mtr</v>
      </c>
      <c r="F70" s="398">
        <v>0.8</v>
      </c>
      <c r="G70" s="283">
        <f ca="1">IF(ISERROR(OFFSET('HARGA SATUAN'!$I$6,MATCH(RAB!C70,'HARGA SATUAN'!$C$7:$C$1492,0),0)),0,OFFSET('HARGA SATUAN'!$I$6,MATCH(RAB!C70,'HARGA SATUAN'!$C$7:$C$1492,0),0))</f>
        <v>30000</v>
      </c>
      <c r="H70" s="284">
        <f t="shared" ca="1" si="7"/>
        <v>0</v>
      </c>
      <c r="I70" s="284">
        <f t="shared" ca="1" si="8"/>
        <v>24000</v>
      </c>
      <c r="J70" s="284">
        <f t="shared" ca="1" si="9"/>
        <v>0</v>
      </c>
      <c r="K70" s="285">
        <f t="shared" ca="1" si="10"/>
        <v>24000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 ht="16">
      <c r="A71" s="259" t="e">
        <f>IF(AND(C71=0,#REF!=0,#REF!=0),"BLANKS",1)</f>
        <v>#REF!</v>
      </c>
      <c r="B71" s="416">
        <v>3</v>
      </c>
      <c r="C71" s="417" t="s">
        <v>23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Bh</v>
      </c>
      <c r="F71" s="398">
        <v>1</v>
      </c>
      <c r="G71" s="283">
        <f ca="1">IF(ISERROR(OFFSET('HARGA SATUAN'!$I$6,MATCH(RAB!C71,'HARGA SATUAN'!$C$7:$C$1492,0),0)),0,OFFSET('HARGA SATUAN'!$I$6,MATCH(RAB!C71,'HARGA SATUAN'!$C$7:$C$1492,0),0))</f>
        <v>9500</v>
      </c>
      <c r="H71" s="284">
        <f t="shared" ca="1" si="7"/>
        <v>0</v>
      </c>
      <c r="I71" s="284">
        <f t="shared" ca="1" si="8"/>
        <v>9500</v>
      </c>
      <c r="J71" s="284">
        <f t="shared" ca="1" si="9"/>
        <v>0</v>
      </c>
      <c r="K71" s="285">
        <f t="shared" ca="1" si="10"/>
        <v>9500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16">
      <c r="A72" s="259" t="s">
        <v>1416</v>
      </c>
      <c r="B72" s="416">
        <v>4</v>
      </c>
      <c r="C72" s="417" t="s">
        <v>728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398">
        <v>1</v>
      </c>
      <c r="G72" s="283">
        <f ca="1">IF(ISERROR(OFFSET('HARGA SATUAN'!$I$6,MATCH(RAB!C72,'HARGA SATUAN'!$C$7:$C$1492,0),0)),0,OFFSET('HARGA SATUAN'!$I$6,MATCH(RAB!C72,'HARGA SATUAN'!$C$7:$C$1492,0),0))</f>
        <v>16200</v>
      </c>
      <c r="H72" s="284">
        <f t="shared" ca="1" si="7"/>
        <v>0</v>
      </c>
      <c r="I72" s="284">
        <f t="shared" ca="1" si="8"/>
        <v>0</v>
      </c>
      <c r="J72" s="284">
        <f t="shared" ca="1" si="9"/>
        <v>16200</v>
      </c>
      <c r="K72" s="285">
        <f t="shared" ca="1" si="10"/>
        <v>16200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 ht="15">
      <c r="A73" s="259" t="e">
        <f>IF(AND(C73=0,#REF!=0,#REF!=0),"BLANKS",1)</f>
        <v>#REF!</v>
      </c>
      <c r="B73" s="416"/>
      <c r="C73" s="417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398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 ht="15">
      <c r="A74" s="259"/>
      <c r="B74" s="418" t="s">
        <v>1006</v>
      </c>
      <c r="C74" s="423" t="s">
        <v>1517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398">
        <v>2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 ht="16">
      <c r="A75" s="259" t="e">
        <f>IF(AND(C75=0,C76=0,#REF!=0),"BLANKS",1)</f>
        <v>#REF!</v>
      </c>
      <c r="B75" s="418">
        <v>1</v>
      </c>
      <c r="C75" s="421" t="s">
        <v>19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398">
        <v>2</v>
      </c>
      <c r="G75" s="283">
        <f ca="1">IF(ISERROR(OFFSET('HARGA SATUAN'!$I$6,MATCH(RAB!C75,'HARGA SATUAN'!$C$7:$C$1492,0),0)),0,OFFSET('HARGA SATUAN'!$I$6,MATCH(RAB!C75,'HARGA SATUAN'!$C$7:$C$1492,0),0))</f>
        <v>185200</v>
      </c>
      <c r="H75" s="284">
        <f t="shared" ca="1" si="7"/>
        <v>0</v>
      </c>
      <c r="I75" s="284">
        <f t="shared" ca="1" si="8"/>
        <v>370400</v>
      </c>
      <c r="J75" s="284">
        <f t="shared" ca="1" si="9"/>
        <v>0</v>
      </c>
      <c r="K75" s="285">
        <f t="shared" ca="1" si="10"/>
        <v>370400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16">
      <c r="A76" s="259" t="e">
        <f>IF(AND(C76=0,#REF!=0,#REF!=0),"BLANKS",1)</f>
        <v>#REF!</v>
      </c>
      <c r="B76" s="416">
        <v>2</v>
      </c>
      <c r="C76" s="417" t="s">
        <v>20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398">
        <v>2</v>
      </c>
      <c r="G76" s="283">
        <f ca="1">IF(ISERROR(OFFSET('HARGA SATUAN'!$I$6,MATCH(RAB!C76,'HARGA SATUAN'!$C$7:$C$1492,0),0)),0,OFFSET('HARGA SATUAN'!$I$6,MATCH(RAB!C76,'HARGA SATUAN'!$C$7:$C$1492,0),0))</f>
        <v>47459</v>
      </c>
      <c r="H76" s="284">
        <f t="shared" ca="1" si="7"/>
        <v>0</v>
      </c>
      <c r="I76" s="284">
        <f t="shared" ca="1" si="8"/>
        <v>94918</v>
      </c>
      <c r="J76" s="284">
        <f t="shared" ca="1" si="9"/>
        <v>0</v>
      </c>
      <c r="K76" s="285">
        <f t="shared" ca="1" si="10"/>
        <v>94918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 ht="16">
      <c r="A77" s="259" t="s">
        <v>1416</v>
      </c>
      <c r="B77" s="416">
        <v>3</v>
      </c>
      <c r="C77" s="417" t="s">
        <v>21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398">
        <v>2</v>
      </c>
      <c r="G77" s="283">
        <f ca="1">IF(ISERROR(OFFSET('HARGA SATUAN'!$I$6,MATCH(RAB!C77,'HARGA SATUAN'!$C$7:$C$1492,0),0)),0,OFFSET('HARGA SATUAN'!$I$6,MATCH(RAB!C77,'HARGA SATUAN'!$C$7:$C$1492,0),0))</f>
        <v>4880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9760</v>
      </c>
      <c r="J77" s="284">
        <f t="shared" ref="J77:J83" ca="1" si="28">IF(D77="JASA",G77*F77,0)</f>
        <v>0</v>
      </c>
      <c r="K77" s="285">
        <f t="shared" ref="K77:K83" ca="1" si="29">SUM(H77:J77)</f>
        <v>9760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 ht="16">
      <c r="A78" s="259" t="e">
        <f>IF(AND(C78=0,#REF!=0,#REF!=0),"BLANKS",1)</f>
        <v>#REF!</v>
      </c>
      <c r="B78" s="416">
        <v>4</v>
      </c>
      <c r="C78" s="417" t="s">
        <v>22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Mtr</v>
      </c>
      <c r="F78" s="398">
        <v>20</v>
      </c>
      <c r="G78" s="283">
        <f ca="1">IF(ISERROR(OFFSET('HARGA SATUAN'!$I$6,MATCH(RAB!C78,'HARGA SATUAN'!$C$7:$C$1492,0),0)),0,OFFSET('HARGA SATUAN'!$I$6,MATCH(RAB!C78,'HARGA SATUAN'!$C$7:$C$1492,0),0))</f>
        <v>30000</v>
      </c>
      <c r="H78" s="284">
        <f t="shared" ca="1" si="26"/>
        <v>0</v>
      </c>
      <c r="I78" s="284">
        <f t="shared" ca="1" si="27"/>
        <v>600000</v>
      </c>
      <c r="J78" s="284">
        <f t="shared" ca="1" si="28"/>
        <v>0</v>
      </c>
      <c r="K78" s="285">
        <f t="shared" ca="1" si="29"/>
        <v>600000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 ht="16">
      <c r="A79" s="259" t="s">
        <v>1416</v>
      </c>
      <c r="B79" s="416">
        <v>5</v>
      </c>
      <c r="C79" s="417" t="s">
        <v>23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Bh</v>
      </c>
      <c r="F79" s="398">
        <v>4</v>
      </c>
      <c r="G79" s="283">
        <f ca="1">IF(ISERROR(OFFSET('HARGA SATUAN'!$I$6,MATCH(RAB!C79,'HARGA SATUAN'!$C$7:$C$1492,0),0)),0,OFFSET('HARGA SATUAN'!$I$6,MATCH(RAB!C79,'HARGA SATUAN'!$C$7:$C$1492,0),0))</f>
        <v>9500</v>
      </c>
      <c r="H79" s="284">
        <f t="shared" ca="1" si="26"/>
        <v>0</v>
      </c>
      <c r="I79" s="284">
        <f t="shared" ca="1" si="27"/>
        <v>38000</v>
      </c>
      <c r="J79" s="284">
        <f t="shared" ca="1" si="28"/>
        <v>0</v>
      </c>
      <c r="K79" s="285">
        <f t="shared" ca="1" si="29"/>
        <v>38000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 ht="16">
      <c r="A80" s="259" t="e">
        <f>IF(AND(C80=0,#REF!=0,#REF!=0),"BLANKS",1)</f>
        <v>#REF!</v>
      </c>
      <c r="B80" s="416">
        <v>6</v>
      </c>
      <c r="C80" s="417" t="s">
        <v>24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398">
        <v>11</v>
      </c>
      <c r="G80" s="283">
        <f ca="1">IF(ISERROR(OFFSET('HARGA SATUAN'!$I$6,MATCH(RAB!C80,'HARGA SATUAN'!$C$7:$C$1492,0),0)),0,OFFSET('HARGA SATUAN'!$I$6,MATCH(RAB!C80,'HARGA SATUAN'!$C$7:$C$1492,0),0))</f>
        <v>6100</v>
      </c>
      <c r="H80" s="284">
        <f t="shared" ca="1" si="26"/>
        <v>0</v>
      </c>
      <c r="I80" s="284">
        <f t="shared" ca="1" si="27"/>
        <v>67100</v>
      </c>
      <c r="J80" s="284">
        <f t="shared" ca="1" si="28"/>
        <v>0</v>
      </c>
      <c r="K80" s="285">
        <f t="shared" ca="1" si="29"/>
        <v>67100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 ht="16">
      <c r="A81" s="259"/>
      <c r="B81" s="416">
        <v>7</v>
      </c>
      <c r="C81" s="417" t="s">
        <v>25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398">
        <v>12</v>
      </c>
      <c r="G81" s="283">
        <f ca="1">IF(ISERROR(OFFSET('HARGA SATUAN'!$I$6,MATCH(RAB!C81,'HARGA SATUAN'!$C$7:$C$1492,0),0)),0,OFFSET('HARGA SATUAN'!$I$6,MATCH(RAB!C81,'HARGA SATUAN'!$C$7:$C$1492,0),0))</f>
        <v>2300</v>
      </c>
      <c r="H81" s="284">
        <f t="shared" ca="1" si="26"/>
        <v>0</v>
      </c>
      <c r="I81" s="284">
        <f t="shared" ca="1" si="27"/>
        <v>27600</v>
      </c>
      <c r="J81" s="284">
        <f t="shared" ca="1" si="28"/>
        <v>0</v>
      </c>
      <c r="K81" s="285">
        <f t="shared" ca="1" si="29"/>
        <v>27600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 ht="16">
      <c r="A82" s="259" t="e">
        <f>IF(AND(C82=0,C83=0,#REF!=0),"BLANKS",1)</f>
        <v>#REF!</v>
      </c>
      <c r="B82" s="416">
        <v>8</v>
      </c>
      <c r="C82" s="417" t="s">
        <v>1518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Mtr</v>
      </c>
      <c r="F82" s="398">
        <v>9.6</v>
      </c>
      <c r="G82" s="283">
        <f ca="1">IF(ISERROR(OFFSET('HARGA SATUAN'!$I$6,MATCH(RAB!C82,'HARGA SATUAN'!$C$7:$C$1492,0),0)),0,OFFSET('HARGA SATUAN'!$I$6,MATCH(RAB!C82,'HARGA SATUAN'!$C$7:$C$1492,0),0))</f>
        <v>23310</v>
      </c>
      <c r="H82" s="284">
        <f t="shared" ca="1" si="26"/>
        <v>0</v>
      </c>
      <c r="I82" s="284">
        <f t="shared" ca="1" si="27"/>
        <v>223776</v>
      </c>
      <c r="J82" s="284">
        <f t="shared" ca="1" si="28"/>
        <v>0</v>
      </c>
      <c r="K82" s="285">
        <f t="shared" ca="1" si="29"/>
        <v>223776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 ht="16">
      <c r="A83" s="259" t="e">
        <f>IF(AND(C83=0,#REF!=0,#REF!=0),"BLANKS",1)</f>
        <v>#REF!</v>
      </c>
      <c r="B83" s="416">
        <v>9</v>
      </c>
      <c r="C83" s="417" t="s">
        <v>727</v>
      </c>
      <c r="D83" s="281" t="str">
        <f ca="1">IF(ISERROR(OFFSET('HARGA SATUAN'!$D$6,MATCH(RAB!C83,'HARGA SATUAN'!$C$7:$C$1492,0),0)),"",OFFSET('HARGA SATUAN'!$D$6,MATCH(RAB!C83,'HARGA SATUAN'!$C$7:$C$1492,0),0))</f>
        <v>JASA</v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398">
        <v>2</v>
      </c>
      <c r="G83" s="283">
        <f ca="1">IF(ISERROR(OFFSET('HARGA SATUAN'!$I$6,MATCH(RAB!C83,'HARGA SATUAN'!$C$7:$C$1492,0),0)),0,OFFSET('HARGA SATUAN'!$I$6,MATCH(RAB!C83,'HARGA SATUAN'!$C$7:$C$1492,0),0))</f>
        <v>65400</v>
      </c>
      <c r="H83" s="284">
        <f t="shared" ca="1" si="26"/>
        <v>0</v>
      </c>
      <c r="I83" s="284">
        <f t="shared" ca="1" si="27"/>
        <v>0</v>
      </c>
      <c r="J83" s="284">
        <f t="shared" ca="1" si="28"/>
        <v>130800</v>
      </c>
      <c r="K83" s="285">
        <f t="shared" ca="1" si="29"/>
        <v>130800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 ht="15">
      <c r="A84" s="259"/>
      <c r="B84" s="416"/>
      <c r="C84" s="417"/>
      <c r="D84" s="281"/>
      <c r="E84" s="282"/>
      <c r="F84" s="398"/>
      <c r="G84" s="283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 ht="16">
      <c r="A85" s="259" t="e">
        <f>IF(AND(C85=0,#REF!=0,#REF!=0),"BLANKS",1)</f>
        <v>#REF!</v>
      </c>
      <c r="B85" s="416" t="s">
        <v>1006</v>
      </c>
      <c r="C85" s="417" t="s">
        <v>1585</v>
      </c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428">
        <v>2</v>
      </c>
      <c r="G85" s="283">
        <f ca="1">IF(ISERROR(OFFSET('HARGA SATUAN'!$I$6,MATCH(RAB!C85,'HARGA SATUAN'!$C$7:$C$1492,0),0)),0,OFFSET('HARGA SATUAN'!$I$6,MATCH(RAB!C85,'HARGA SATUAN'!$C$7:$C$1492,0),0))</f>
        <v>0</v>
      </c>
      <c r="H85" s="284">
        <f t="shared" ref="H85:H90" ca="1" si="30">IF(OR(D85="MDU",D85="MDU-KD"),(IF($O$3="RAB NON MDU","PLN KD",G85*F85)),0)</f>
        <v>0</v>
      </c>
      <c r="I85" s="284">
        <f t="shared" ref="I85:I90" ca="1" si="31">IF(D85="HDW",G85*F85,0)</f>
        <v>0</v>
      </c>
      <c r="J85" s="284">
        <f t="shared" ref="J85:J90" ca="1" si="32">IF(D85="JASA",G85*F85,0)</f>
        <v>0</v>
      </c>
      <c r="K85" s="285">
        <f t="shared" ref="K85:K90" ca="1" si="33">SUM(H85:J85)</f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32">
      <c r="A86" s="259" t="s">
        <v>1416</v>
      </c>
      <c r="B86" s="416">
        <v>1</v>
      </c>
      <c r="C86" s="417" t="s">
        <v>1586</v>
      </c>
      <c r="D86" s="281" t="str">
        <f ca="1">IF(ISERROR(OFFSET('HARGA SATUAN'!$D$6,MATCH(RAB!C86,'HARGA SATUAN'!$C$7:$C$1492,0),0)),"",OFFSET('HARGA SATUAN'!$D$6,MATCH(RAB!C86,'HARGA SATUAN'!$C$7:$C$1492,0),0))</f>
        <v/>
      </c>
      <c r="E86" s="282" t="str">
        <f ca="1">IF(B86="+","Unit",IF(ISERROR(OFFSET('HARGA SATUAN'!$E$6,MATCH(RAB!C86,'HARGA SATUAN'!$C$7:$C$1492,0),0)),"",OFFSET('HARGA SATUAN'!$E$6,MATCH(RAB!C86,'HARGA SATUAN'!$C$7:$C$1492,0),0)))</f>
        <v/>
      </c>
      <c r="F86" s="428">
        <v>6</v>
      </c>
      <c r="G86" s="408">
        <f ca="1">IF(ISERROR(OFFSET('HARGA SATUAN'!$I$6,MATCH(RAB!C86,'HARGA SATUAN'!$C$7:$C$1492,0),0)),0,OFFSET('HARGA SATUAN'!$I$6,MATCH(RAB!C86,'HARGA SATUAN'!$C$7:$C$1492,0),0))</f>
        <v>0</v>
      </c>
      <c r="H86" s="284">
        <f t="shared" ca="1" si="30"/>
        <v>0</v>
      </c>
      <c r="I86" s="284">
        <f t="shared" ca="1" si="31"/>
        <v>0</v>
      </c>
      <c r="J86" s="284">
        <f t="shared" ca="1" si="32"/>
        <v>0</v>
      </c>
      <c r="K86" s="285">
        <f t="shared" ca="1" si="33"/>
        <v>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 ht="16">
      <c r="A87" s="259" t="e">
        <f>IF(AND(C87=0,#REF!=0,#REF!=0),"BLANKS",1)</f>
        <v>#REF!</v>
      </c>
      <c r="B87" s="416">
        <v>2</v>
      </c>
      <c r="C87" s="417" t="s">
        <v>142</v>
      </c>
      <c r="D87" s="281" t="str">
        <f ca="1">IF(ISERROR(OFFSET('HARGA SATUAN'!$D$6,MATCH(RAB!C87,'HARGA SATUAN'!$C$7:$C$1492,0),0)),"",OFFSET('HARGA SATUAN'!$D$6,MATCH(RAB!C87,'HARGA SATUAN'!$C$7:$C$1492,0),0))</f>
        <v>HDW</v>
      </c>
      <c r="E87" s="282" t="str">
        <f ca="1">IF(B87="+","Unit",IF(ISERROR(OFFSET('HARGA SATUAN'!$E$6,MATCH(RAB!C87,'HARGA SATUAN'!$C$7:$C$1492,0),0)),"",OFFSET('HARGA SATUAN'!$E$6,MATCH(RAB!C87,'HARGA SATUAN'!$C$7:$C$1492,0),0)))</f>
        <v>Mtr</v>
      </c>
      <c r="F87" s="428">
        <v>2</v>
      </c>
      <c r="G87" s="283">
        <f ca="1">IF(ISERROR(OFFSET('HARGA SATUAN'!$I$6,MATCH(RAB!C87,'HARGA SATUAN'!$C$7:$C$1492,0),0)),0,OFFSET('HARGA SATUAN'!$I$6,MATCH(RAB!C87,'HARGA SATUAN'!$C$7:$C$1492,0),0))</f>
        <v>7789</v>
      </c>
      <c r="H87" s="284">
        <f t="shared" ca="1" si="30"/>
        <v>0</v>
      </c>
      <c r="I87" s="284">
        <f t="shared" ca="1" si="31"/>
        <v>15578</v>
      </c>
      <c r="J87" s="284">
        <f t="shared" ca="1" si="32"/>
        <v>0</v>
      </c>
      <c r="K87" s="285">
        <f t="shared" ca="1" si="33"/>
        <v>15578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 ht="16">
      <c r="A88" s="259"/>
      <c r="B88" s="416">
        <v>3</v>
      </c>
      <c r="C88" s="417" t="s">
        <v>147</v>
      </c>
      <c r="D88" s="281" t="str">
        <f ca="1">IF(ISERROR(OFFSET('HARGA SATUAN'!$D$6,MATCH(RAB!C88,'HARGA SATUAN'!$C$7:$C$1492,0),0)),"",OFFSET('HARGA SATUAN'!$D$6,MATCH(RAB!C88,'HARGA SATUAN'!$C$7:$C$1492,0),0))</f>
        <v>HDW</v>
      </c>
      <c r="E88" s="282" t="str">
        <f ca="1">IF(B88="+","Unit",IF(ISERROR(OFFSET('HARGA SATUAN'!$E$6,MATCH(RAB!C88,'HARGA SATUAN'!$C$7:$C$1492,0),0)),"",OFFSET('HARGA SATUAN'!$E$6,MATCH(RAB!C88,'HARGA SATUAN'!$C$7:$C$1492,0),0)))</f>
        <v>Bh</v>
      </c>
      <c r="F88" s="428">
        <v>4</v>
      </c>
      <c r="G88" s="283">
        <f ca="1">IF(ISERROR(OFFSET('HARGA SATUAN'!$I$6,MATCH(RAB!C88,'HARGA SATUAN'!$C$7:$C$1492,0),0)),0,OFFSET('HARGA SATUAN'!$I$6,MATCH(RAB!C88,'HARGA SATUAN'!$C$7:$C$1492,0),0))</f>
        <v>40000</v>
      </c>
      <c r="H88" s="284">
        <f t="shared" ca="1" si="30"/>
        <v>0</v>
      </c>
      <c r="I88" s="284">
        <f t="shared" ca="1" si="31"/>
        <v>160000</v>
      </c>
      <c r="J88" s="284">
        <f t="shared" ca="1" si="32"/>
        <v>0</v>
      </c>
      <c r="K88" s="285">
        <f t="shared" ca="1" si="33"/>
        <v>160000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 ht="16">
      <c r="A89" s="259" t="e">
        <f>IF(AND(C89=0,C90=0,#REF!=0),"BLANKS",1)</f>
        <v>#REF!</v>
      </c>
      <c r="B89" s="416">
        <v>4</v>
      </c>
      <c r="C89" s="417" t="s">
        <v>18</v>
      </c>
      <c r="D89" s="281" t="str">
        <f ca="1">IF(ISERROR(OFFSET('HARGA SATUAN'!$D$6,MATCH(RAB!C89,'HARGA SATUAN'!$C$7:$C$1492,0),0)),"",OFFSET('HARGA SATUAN'!$D$6,MATCH(RAB!C89,'HARGA SATUAN'!$C$7:$C$1492,0),0))</f>
        <v>HDW</v>
      </c>
      <c r="E89" s="282" t="str">
        <f ca="1">IF(B89="+","Unit",IF(ISERROR(OFFSET('HARGA SATUAN'!$E$6,MATCH(RAB!C89,'HARGA SATUAN'!$C$7:$C$1492,0),0)),"",OFFSET('HARGA SATUAN'!$E$6,MATCH(RAB!C89,'HARGA SATUAN'!$C$7:$C$1492,0),0)))</f>
        <v>Bh</v>
      </c>
      <c r="F89" s="428">
        <v>2</v>
      </c>
      <c r="G89" s="283">
        <f ca="1">IF(ISERROR(OFFSET('HARGA SATUAN'!$I$6,MATCH(RAB!C89,'HARGA SATUAN'!$C$7:$C$1492,0),0)),0,OFFSET('HARGA SATUAN'!$I$6,MATCH(RAB!C89,'HARGA SATUAN'!$C$7:$C$1492,0),0))</f>
        <v>26500</v>
      </c>
      <c r="H89" s="284">
        <f t="shared" ca="1" si="30"/>
        <v>0</v>
      </c>
      <c r="I89" s="284">
        <f t="shared" ca="1" si="31"/>
        <v>53000</v>
      </c>
      <c r="J89" s="284">
        <f t="shared" ca="1" si="32"/>
        <v>0</v>
      </c>
      <c r="K89" s="285">
        <f t="shared" ca="1" si="33"/>
        <v>53000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16">
      <c r="A90" s="259" t="e">
        <f>IF(AND(C90=0,#REF!=0,#REF!=0),"BLANKS",1)</f>
        <v>#REF!</v>
      </c>
      <c r="B90" s="416">
        <v>5</v>
      </c>
      <c r="C90" s="417" t="s">
        <v>153</v>
      </c>
      <c r="D90" s="281" t="str">
        <f ca="1">IF(ISERROR(OFFSET('HARGA SATUAN'!$D$6,MATCH(RAB!C90,'HARGA SATUAN'!$C$7:$C$1492,0),0)),"",OFFSET('HARGA SATUAN'!$D$6,MATCH(RAB!C90,'HARGA SATUAN'!$C$7:$C$1492,0),0))</f>
        <v>HDW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428">
        <v>8</v>
      </c>
      <c r="G90" s="283">
        <f ca="1">IF(ISERROR(OFFSET('HARGA SATUAN'!$I$6,MATCH(RAB!C90,'HARGA SATUAN'!$C$7:$C$1492,0),0)),0,OFFSET('HARGA SATUAN'!$I$6,MATCH(RAB!C90,'HARGA SATUAN'!$C$7:$C$1492,0),0))</f>
        <v>7938</v>
      </c>
      <c r="H90" s="284">
        <f t="shared" ca="1" si="30"/>
        <v>0</v>
      </c>
      <c r="I90" s="284">
        <f t="shared" ca="1" si="31"/>
        <v>63504</v>
      </c>
      <c r="J90" s="284">
        <f t="shared" ca="1" si="32"/>
        <v>0</v>
      </c>
      <c r="K90" s="285">
        <f t="shared" ca="1" si="33"/>
        <v>63504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 ht="16">
      <c r="A91" s="259" t="b">
        <f ca="1">F91=G92</f>
        <v>0</v>
      </c>
      <c r="B91" s="416">
        <v>6</v>
      </c>
      <c r="C91" s="417" t="s">
        <v>163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Bh</v>
      </c>
      <c r="F91" s="428">
        <v>8</v>
      </c>
      <c r="G91" s="283">
        <f ca="1">IF(ISERROR(OFFSET('HARGA SATUAN'!$I$6,MATCH(RAB!C91,'HARGA SATUAN'!$C$7:$C$1492,0),0)),0,OFFSET('HARGA SATUAN'!$I$6,MATCH(RAB!C91,'HARGA SATUAN'!$C$7:$C$1492,0),0))</f>
        <v>45000</v>
      </c>
      <c r="H91" s="284">
        <f t="shared" ca="1" si="7"/>
        <v>0</v>
      </c>
      <c r="I91" s="284">
        <f t="shared" ca="1" si="8"/>
        <v>360000</v>
      </c>
      <c r="J91" s="284">
        <f t="shared" ca="1" si="9"/>
        <v>0</v>
      </c>
      <c r="K91" s="285">
        <f t="shared" ca="1" si="10"/>
        <v>360000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 ht="16">
      <c r="A92" s="259" t="e">
        <f>IF(AND(C92=0,C93=0,#REF!=0),"BLANKS",1)</f>
        <v>#REF!</v>
      </c>
      <c r="B92" s="416">
        <v>7</v>
      </c>
      <c r="C92" s="417" t="s">
        <v>169</v>
      </c>
      <c r="D92" s="281" t="str">
        <f ca="1">IF(ISERROR(OFFSET('HARGA SATUAN'!$D$6,MATCH(RAB!C92,'HARGA SATUAN'!$C$7:$C$1492,0),0)),"",OFFSET('HARGA SATUAN'!$D$6,MATCH(RAB!C92,'HARGA SATUAN'!$C$7:$C$1492,0),0))</f>
        <v>HDW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428">
        <v>2</v>
      </c>
      <c r="G92" s="283">
        <f ca="1">IF(ISERROR(OFFSET('HARGA SATUAN'!$I$6,MATCH(RAB!C92,'HARGA SATUAN'!$C$7:$C$1492,0),0)),0,OFFSET('HARGA SATUAN'!$I$6,MATCH(RAB!C92,'HARGA SATUAN'!$C$7:$C$1492,0),0))</f>
        <v>15500</v>
      </c>
      <c r="H92" s="284">
        <f t="shared" ca="1" si="7"/>
        <v>0</v>
      </c>
      <c r="I92" s="284">
        <f t="shared" ca="1" si="8"/>
        <v>31000</v>
      </c>
      <c r="J92" s="284">
        <f t="shared" ca="1" si="9"/>
        <v>0</v>
      </c>
      <c r="K92" s="285">
        <f t="shared" ca="1" si="10"/>
        <v>31000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 ht="16">
      <c r="A93" s="259" t="e">
        <f>IF(AND(C93=0,#REF!=0,#REF!=0),"BLANKS",1)</f>
        <v>#REF!</v>
      </c>
      <c r="B93" s="416">
        <v>8</v>
      </c>
      <c r="C93" s="417" t="s">
        <v>584</v>
      </c>
      <c r="D93" s="281" t="str">
        <f ca="1">IF(ISERROR(OFFSET('HARGA SATUAN'!$D$6,MATCH(RAB!C93,'HARGA SATUAN'!$C$7:$C$1492,0),0)),"",OFFSET('HARGA SATUAN'!$D$6,MATCH(RAB!C93,'HARGA SATUAN'!$C$7:$C$1492,0),0))</f>
        <v>HDW</v>
      </c>
      <c r="E93" s="282" t="str">
        <f ca="1">IF(B93="+","Unit",IF(ISERROR(OFFSET('HARGA SATUAN'!$E$6,MATCH(RAB!C93,'HARGA SATUAN'!$C$7:$C$1492,0),0)),"",OFFSET('HARGA SATUAN'!$E$6,MATCH(RAB!C93,'HARGA SATUAN'!$C$7:$C$1492,0),0)))</f>
        <v>Bh</v>
      </c>
      <c r="F93" s="428">
        <v>4</v>
      </c>
      <c r="G93" s="283">
        <f ca="1">IF(ISERROR(OFFSET('HARGA SATUAN'!$I$6,MATCH(RAB!C93,'HARGA SATUAN'!$C$7:$C$1492,0),0)),0,OFFSET('HARGA SATUAN'!$I$6,MATCH(RAB!C93,'HARGA SATUAN'!$C$7:$C$1492,0),0))</f>
        <v>380500</v>
      </c>
      <c r="H93" s="284">
        <f t="shared" ca="1" si="7"/>
        <v>0</v>
      </c>
      <c r="I93" s="284">
        <f t="shared" ca="1" si="8"/>
        <v>1522000</v>
      </c>
      <c r="J93" s="284">
        <f t="shared" ca="1" si="9"/>
        <v>0</v>
      </c>
      <c r="K93" s="285">
        <f t="shared" ca="1" si="10"/>
        <v>1522000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 ht="16">
      <c r="A94" s="259">
        <f t="shared" ref="A94" si="34">IF(AND(C94=0,C95=0,C96=0),"BLANKS",1)</f>
        <v>1</v>
      </c>
      <c r="B94" s="416">
        <v>9</v>
      </c>
      <c r="C94" s="417" t="s">
        <v>207</v>
      </c>
      <c r="D94" s="281" t="str">
        <f ca="1">IF(ISERROR(OFFSET('HARGA SATUAN'!$D$6,MATCH(RAB!C94,'HARGA SATUAN'!$C$7:$C$1492,0),0)),"",OFFSET('HARGA SATUAN'!$D$6,MATCH(RAB!C94,'HARGA SATUAN'!$C$7:$C$1492,0),0))</f>
        <v>HDW</v>
      </c>
      <c r="E94" s="282" t="str">
        <f ca="1">IF(B94="+","Unit",IF(ISERROR(OFFSET('HARGA SATUAN'!$E$6,MATCH(RAB!C94,'HARGA SATUAN'!$C$7:$C$1492,0),0)),"",OFFSET('HARGA SATUAN'!$E$6,MATCH(RAB!C94,'HARGA SATUAN'!$C$7:$C$1492,0),0)))</f>
        <v>Bh</v>
      </c>
      <c r="F94" s="428">
        <v>8</v>
      </c>
      <c r="G94" s="283">
        <f ca="1">IF(ISERROR(OFFSET('HARGA SATUAN'!$I$6,MATCH(RAB!C94,'HARGA SATUAN'!$C$7:$C$1492,0),0)),0,OFFSET('HARGA SATUAN'!$I$6,MATCH(RAB!C94,'HARGA SATUAN'!$C$7:$C$1492,0),0))</f>
        <v>11400</v>
      </c>
      <c r="H94" s="284">
        <f t="shared" ref="H94:H96" ca="1" si="35">IF(OR(D94="MDU",D94="MDU-KD"),(IF($O$3="RAB NON MDU","PLN KD",G94*F94)),0)</f>
        <v>0</v>
      </c>
      <c r="I94" s="284">
        <f t="shared" ref="I94:I96" ca="1" si="36">IF(D94="HDW",G94*F94,0)</f>
        <v>91200</v>
      </c>
      <c r="J94" s="284">
        <f t="shared" ref="J94:J96" ca="1" si="37">IF(D94="JASA",G94*F94,0)</f>
        <v>0</v>
      </c>
      <c r="K94" s="285">
        <f t="shared" ref="K94:K96" ca="1" si="38">SUM(H94:J94)</f>
        <v>91200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 ht="16">
      <c r="A95" s="259" t="e">
        <f>IF(AND(C95=0,C96=0,#REF!=0),"BLANKS",1)</f>
        <v>#REF!</v>
      </c>
      <c r="B95" s="416">
        <v>10</v>
      </c>
      <c r="C95" s="417" t="s">
        <v>208</v>
      </c>
      <c r="D95" s="281" t="str">
        <f ca="1">IF(ISERROR(OFFSET('HARGA SATUAN'!$D$6,MATCH(RAB!C95,'HARGA SATUAN'!$C$7:$C$1492,0),0)),"",OFFSET('HARGA SATUAN'!$D$6,MATCH(RAB!C95,'HARGA SATUAN'!$C$7:$C$1492,0),0))</f>
        <v>HDW</v>
      </c>
      <c r="E95" s="282" t="str">
        <f ca="1">IF(B95="+","Unit",IF(ISERROR(OFFSET('HARGA SATUAN'!$E$6,MATCH(RAB!C95,'HARGA SATUAN'!$C$7:$C$1492,0),0)),"",OFFSET('HARGA SATUAN'!$E$6,MATCH(RAB!C95,'HARGA SATUAN'!$C$7:$C$1492,0),0)))</f>
        <v>Bh</v>
      </c>
      <c r="F95" s="428">
        <v>4</v>
      </c>
      <c r="G95" s="283">
        <f ca="1">IF(ISERROR(OFFSET('HARGA SATUAN'!$I$6,MATCH(RAB!C95,'HARGA SATUAN'!$C$7:$C$1492,0),0)),0,OFFSET('HARGA SATUAN'!$I$6,MATCH(RAB!C95,'HARGA SATUAN'!$C$7:$C$1492,0),0))</f>
        <v>29600</v>
      </c>
      <c r="H95" s="284">
        <f t="shared" ca="1" si="35"/>
        <v>0</v>
      </c>
      <c r="I95" s="284">
        <f t="shared" ca="1" si="36"/>
        <v>118400</v>
      </c>
      <c r="J95" s="284">
        <f t="shared" ca="1" si="37"/>
        <v>0</v>
      </c>
      <c r="K95" s="285">
        <f t="shared" ca="1" si="38"/>
        <v>118400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 ht="16">
      <c r="A96" s="259" t="e">
        <f>IF(AND(C96=0,#REF!=0,#REF!=0),"BLANKS",1)</f>
        <v>#REF!</v>
      </c>
      <c r="B96" s="416">
        <v>11</v>
      </c>
      <c r="C96" s="417" t="s">
        <v>213</v>
      </c>
      <c r="D96" s="281" t="str">
        <f ca="1">IF(ISERROR(OFFSET('HARGA SATUAN'!$D$6,MATCH(RAB!C96,'HARGA SATUAN'!$C$7:$C$1492,0),0)),"",OFFSET('HARGA SATUAN'!$D$6,MATCH(RAB!C96,'HARGA SATUAN'!$C$7:$C$1492,0),0))</f>
        <v>HDW</v>
      </c>
      <c r="E96" s="282" t="str">
        <f ca="1">IF(B96="+","Unit",IF(ISERROR(OFFSET('HARGA SATUAN'!$E$6,MATCH(RAB!C96,'HARGA SATUAN'!$C$7:$C$1492,0),0)),"",OFFSET('HARGA SATUAN'!$E$6,MATCH(RAB!C96,'HARGA SATUAN'!$C$7:$C$1492,0),0)))</f>
        <v>Bh</v>
      </c>
      <c r="F96" s="428">
        <v>2</v>
      </c>
      <c r="G96" s="283">
        <f ca="1">IF(ISERROR(OFFSET('HARGA SATUAN'!$I$6,MATCH(RAB!C96,'HARGA SATUAN'!$C$7:$C$1492,0),0)),0,OFFSET('HARGA SATUAN'!$I$6,MATCH(RAB!C96,'HARGA SATUAN'!$C$7:$C$1492,0),0))</f>
        <v>27815</v>
      </c>
      <c r="H96" s="284">
        <f t="shared" ca="1" si="35"/>
        <v>0</v>
      </c>
      <c r="I96" s="284">
        <f t="shared" ca="1" si="36"/>
        <v>55630</v>
      </c>
      <c r="J96" s="284">
        <f t="shared" ca="1" si="37"/>
        <v>0</v>
      </c>
      <c r="K96" s="285">
        <f t="shared" ca="1" si="38"/>
        <v>55630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16">
      <c r="A97" s="259"/>
      <c r="B97" s="416">
        <v>12</v>
      </c>
      <c r="C97" s="417" t="s">
        <v>15</v>
      </c>
      <c r="D97" s="281" t="str">
        <f ca="1">IF(ISERROR(OFFSET('HARGA SATUAN'!$D$6,MATCH(RAB!C97,'HARGA SATUAN'!$C$7:$C$1492,0),0)),"",OFFSET('HARGA SATUAN'!$D$6,MATCH(RAB!C97,'HARGA SATUAN'!$C$7:$C$1492,0),0))</f>
        <v>HDW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428">
        <v>6</v>
      </c>
      <c r="G97" s="283">
        <f ca="1">IF(ISERROR(OFFSET('HARGA SATUAN'!$I$6,MATCH(RAB!C97,'HARGA SATUAN'!$C$7:$C$1492,0),0)),0,OFFSET('HARGA SATUAN'!$I$6,MATCH(RAB!C97,'HARGA SATUAN'!$C$7:$C$1492,0),0))</f>
        <v>23936</v>
      </c>
      <c r="H97" s="284">
        <f t="shared" ca="1" si="4"/>
        <v>0</v>
      </c>
      <c r="I97" s="284">
        <f t="shared" ca="1" si="5"/>
        <v>143616</v>
      </c>
      <c r="J97" s="284">
        <f t="shared" ca="1" si="6"/>
        <v>0</v>
      </c>
      <c r="K97" s="285">
        <f t="shared" ca="1" si="3"/>
        <v>143616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 ht="16">
      <c r="A98" s="259" t="s">
        <v>1416</v>
      </c>
      <c r="B98" s="416">
        <v>13</v>
      </c>
      <c r="C98" s="417" t="s">
        <v>27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Bh</v>
      </c>
      <c r="F98" s="428">
        <v>2</v>
      </c>
      <c r="G98" s="283">
        <f ca="1">IF(ISERROR(OFFSET('HARGA SATUAN'!$I$6,MATCH(RAB!C98,'HARGA SATUAN'!$C$7:$C$1492,0),0)),0,OFFSET('HARGA SATUAN'!$I$6,MATCH(RAB!C98,'HARGA SATUAN'!$C$7:$C$1492,0),0))</f>
        <v>63500</v>
      </c>
      <c r="H98" s="284">
        <f t="shared" ref="H98:H101" ca="1" si="39">IF(OR(D98="MDU",D98="MDU-KD"),(IF($O$3="RAB NON MDU","PLN KD",G98*F98)),0)</f>
        <v>0</v>
      </c>
      <c r="I98" s="284">
        <f t="shared" ref="I98:I101" ca="1" si="40">IF(D98="HDW",G98*F98,0)</f>
        <v>127000</v>
      </c>
      <c r="J98" s="284">
        <f t="shared" ref="J98:J101" ca="1" si="41">IF(D98="JASA",G98*F98,0)</f>
        <v>0</v>
      </c>
      <c r="K98" s="285">
        <f t="shared" ref="K98:K101" ca="1" si="42">SUM(H98:J98)</f>
        <v>127000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 ht="16">
      <c r="A99" s="259" t="e">
        <f>IF(AND(C99=0,#REF!=0,#REF!=0),"BLANKS",1)</f>
        <v>#REF!</v>
      </c>
      <c r="B99" s="416">
        <v>14</v>
      </c>
      <c r="C99" s="417" t="s">
        <v>237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428">
        <v>2</v>
      </c>
      <c r="G99" s="283">
        <f ca="1">IF(ISERROR(OFFSET('HARGA SATUAN'!$I$6,MATCH(RAB!C99,'HARGA SATUAN'!$C$7:$C$1492,0),0)),0,OFFSET('HARGA SATUAN'!$I$6,MATCH(RAB!C99,'HARGA SATUAN'!$C$7:$C$1492,0),0))</f>
        <v>57690</v>
      </c>
      <c r="H99" s="284">
        <f t="shared" ca="1" si="39"/>
        <v>0</v>
      </c>
      <c r="I99" s="284">
        <f t="shared" ca="1" si="40"/>
        <v>115380</v>
      </c>
      <c r="J99" s="284">
        <f t="shared" ca="1" si="41"/>
        <v>0</v>
      </c>
      <c r="K99" s="285">
        <f t="shared" ca="1" si="42"/>
        <v>115380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 ht="16">
      <c r="A100" s="259" t="s">
        <v>1416</v>
      </c>
      <c r="B100" s="416">
        <v>15</v>
      </c>
      <c r="C100" s="417" t="s">
        <v>17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428">
        <v>6</v>
      </c>
      <c r="G100" s="283">
        <f ca="1">IF(ISERROR(OFFSET('HARGA SATUAN'!$I$6,MATCH(RAB!C100,'HARGA SATUAN'!$C$7:$C$1492,0),0)),0,OFFSET('HARGA SATUAN'!$I$6,MATCH(RAB!C100,'HARGA SATUAN'!$C$7:$C$1492,0),0))</f>
        <v>16000</v>
      </c>
      <c r="H100" s="284">
        <f t="shared" ca="1" si="39"/>
        <v>0</v>
      </c>
      <c r="I100" s="284">
        <f t="shared" ca="1" si="40"/>
        <v>96000</v>
      </c>
      <c r="J100" s="284">
        <f t="shared" ca="1" si="41"/>
        <v>0</v>
      </c>
      <c r="K100" s="285">
        <f t="shared" ca="1" si="42"/>
        <v>96000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 ht="16">
      <c r="A101" s="259" t="e">
        <f>IF(AND(C101=0,#REF!=0,#REF!=0),"BLANKS",1)</f>
        <v>#REF!</v>
      </c>
      <c r="B101" s="416">
        <v>16</v>
      </c>
      <c r="C101" s="417" t="s">
        <v>255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428">
        <v>2</v>
      </c>
      <c r="G101" s="283">
        <f ca="1">IF(ISERROR(OFFSET('HARGA SATUAN'!$I$6,MATCH(RAB!C101,'HARGA SATUAN'!$C$7:$C$1492,0),0)),0,OFFSET('HARGA SATUAN'!$I$6,MATCH(RAB!C101,'HARGA SATUAN'!$C$7:$C$1492,0),0))</f>
        <v>33501.866666666669</v>
      </c>
      <c r="H101" s="284">
        <f t="shared" ca="1" si="39"/>
        <v>0</v>
      </c>
      <c r="I101" s="284">
        <f t="shared" ca="1" si="40"/>
        <v>67003.733333333337</v>
      </c>
      <c r="J101" s="284">
        <f t="shared" ca="1" si="41"/>
        <v>0</v>
      </c>
      <c r="K101" s="285">
        <f t="shared" ca="1" si="42"/>
        <v>67003.733333333337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 ht="16">
      <c r="A102" s="259"/>
      <c r="B102" s="416">
        <v>17</v>
      </c>
      <c r="C102" s="417" t="s">
        <v>16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/>
      <c r="F102" s="428">
        <v>22</v>
      </c>
      <c r="G102" s="408"/>
      <c r="H102" s="284"/>
      <c r="I102" s="284"/>
      <c r="J102" s="284"/>
      <c r="K102" s="285"/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 ht="16">
      <c r="A103" s="259" t="e">
        <f>IF(AND(#REF!=0,#REF!=0,#REF!=0),"BLANKS",1)</f>
        <v>#REF!</v>
      </c>
      <c r="B103" s="416">
        <v>18</v>
      </c>
      <c r="C103" s="417" t="s">
        <v>694</v>
      </c>
      <c r="D103" s="281" t="str">
        <f ca="1">IF(ISERROR(OFFSET('HARGA SATUAN'!$D$6,MATCH(RAB!C103,'HARGA SATUAN'!$C$7:$C$1492,0),0)),"",OFFSET('HARGA SATUAN'!$D$6,MATCH(RAB!C103,'HARGA SATUAN'!$C$7:$C$1492,0),0))</f>
        <v>JASA</v>
      </c>
      <c r="E103" s="282" t="str">
        <f ca="1">IF(B103="+","Unit",IF(ISERROR(OFFSET('HARGA SATUAN'!$E$6,MATCH(RAB!C103,'HARGA SATUAN'!$C$7:$C$1492,0),0)),"",OFFSET('HARGA SATUAN'!$E$6,MATCH(RAB!C103,'HARGA SATUAN'!$C$7:$C$1492,0),0)))</f>
        <v>Unit</v>
      </c>
      <c r="F103" s="428">
        <v>2</v>
      </c>
      <c r="G103" s="283">
        <f ca="1">IF(ISERROR(OFFSET('HARGA SATUAN'!$I$6,MATCH(RAB!C103,'HARGA SATUAN'!$C$7:$C$1492,0),0)),0,OFFSET('HARGA SATUAN'!$I$6,MATCH(RAB!C103,'HARGA SATUAN'!$C$7:$C$1492,0),0))</f>
        <v>134700</v>
      </c>
      <c r="H103" s="284">
        <f t="shared" ref="H103:H112" ca="1" si="43">IF(OR(D103="MDU",D103="MDU-KD"),(IF($O$3="RAB NON MDU","PLN KD",G103*F103)),0)</f>
        <v>0</v>
      </c>
      <c r="I103" s="284">
        <f t="shared" ref="I103:I112" ca="1" si="44">IF(D103="HDW",G103*F103,0)</f>
        <v>0</v>
      </c>
      <c r="J103" s="284">
        <f t="shared" ref="J103:J112" ca="1" si="45">IF(D103="JASA",G103*F103,0)</f>
        <v>269400</v>
      </c>
      <c r="K103" s="285">
        <f t="shared" ref="K103:K112" ca="1" si="46">SUM(H103:J103)</f>
        <v>269400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 ht="15">
      <c r="A104" s="259" t="e">
        <f>IF(AND(#REF!=0,#REF!=0,#REF!=0),"BLANKS",1)</f>
        <v>#REF!</v>
      </c>
      <c r="B104" s="297"/>
      <c r="C104" s="298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293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43"/>
        <v>0</v>
      </c>
      <c r="I104" s="284">
        <f t="shared" ca="1" si="44"/>
        <v>0</v>
      </c>
      <c r="J104" s="284">
        <f t="shared" ca="1" si="45"/>
        <v>0</v>
      </c>
      <c r="K104" s="285">
        <f t="shared" ca="1" si="46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 ht="15">
      <c r="A105" s="259"/>
      <c r="B105" s="297"/>
      <c r="C105" s="298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293"/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43"/>
        <v>0</v>
      </c>
      <c r="I105" s="284">
        <f t="shared" ca="1" si="44"/>
        <v>0</v>
      </c>
      <c r="J105" s="284">
        <f t="shared" ca="1" si="45"/>
        <v>0</v>
      </c>
      <c r="K105" s="285">
        <f t="shared" ca="1" si="4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 ht="15">
      <c r="A106" s="259" t="str">
        <f>IF(AND(C124=0,C125=0,C126=0),"BLANKS",1)</f>
        <v>BLANKS</v>
      </c>
      <c r="B106" s="297"/>
      <c r="C106" s="298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293"/>
      <c r="G106" s="283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3"/>
        <v>0</v>
      </c>
      <c r="I106" s="284">
        <f t="shared" ca="1" si="44"/>
        <v>0</v>
      </c>
      <c r="J106" s="284">
        <f t="shared" ca="1" si="45"/>
        <v>0</v>
      </c>
      <c r="K106" s="285">
        <f t="shared" ca="1" si="46"/>
        <v>0</v>
      </c>
      <c r="L106" s="290"/>
      <c r="M106" s="290"/>
      <c r="N106" s="290"/>
      <c r="O106" s="267"/>
      <c r="P106" s="267"/>
      <c r="Q106" s="267"/>
      <c r="R106" s="259"/>
      <c r="S106" s="287"/>
      <c r="T106" s="264"/>
      <c r="U106" s="264"/>
      <c r="V106" s="264"/>
    </row>
    <row r="107" spans="1:22" s="291" customFormat="1" ht="15">
      <c r="A107" s="259" t="str">
        <f>IF(AND(C125=0,C126=0,C127=0),"BLANKS",1)</f>
        <v>BLANKS</v>
      </c>
      <c r="B107" s="297"/>
      <c r="C107" s="109"/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293"/>
      <c r="G107" s="283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43"/>
        <v>0</v>
      </c>
      <c r="I107" s="284">
        <f t="shared" ca="1" si="44"/>
        <v>0</v>
      </c>
      <c r="J107" s="284">
        <f t="shared" ca="1" si="45"/>
        <v>0</v>
      </c>
      <c r="K107" s="285">
        <f t="shared" ca="1" si="46"/>
        <v>0</v>
      </c>
      <c r="L107" s="290"/>
      <c r="M107" s="290"/>
      <c r="N107" s="290"/>
      <c r="O107" s="267"/>
      <c r="P107" s="267"/>
      <c r="Q107" s="267"/>
      <c r="R107" s="259"/>
      <c r="S107" s="287"/>
      <c r="T107" s="264"/>
      <c r="U107" s="264"/>
      <c r="V107" s="264"/>
    </row>
    <row r="108" spans="1:22" s="291" customFormat="1" ht="15">
      <c r="A108" s="259" t="str">
        <f>IF(AND(C126=0,C127=0,C128=0),"BLANKS",1)</f>
        <v>BLANKS</v>
      </c>
      <c r="B108" s="299" t="s">
        <v>514</v>
      </c>
      <c r="C108" s="300" t="s">
        <v>1587</v>
      </c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293"/>
      <c r="G108" s="283">
        <f ca="1">IF(ISERROR(OFFSET('HARGA SATUAN'!$I$6,MATCH(RAB!C108,'HARGA SATUAN'!$C$7:$C$1492,0),0)),0,OFFSET('HARGA SATUAN'!$I$6,MATCH(RAB!C108,'HARGA SATUAN'!$C$7:$C$1492,0),0))</f>
        <v>0</v>
      </c>
      <c r="H108" s="284">
        <f t="shared" ca="1" si="43"/>
        <v>0</v>
      </c>
      <c r="I108" s="284">
        <f t="shared" ca="1" si="44"/>
        <v>0</v>
      </c>
      <c r="J108" s="284">
        <f t="shared" ca="1" si="45"/>
        <v>0</v>
      </c>
      <c r="K108" s="285">
        <f t="shared" ca="1" si="46"/>
        <v>0</v>
      </c>
      <c r="L108" s="290"/>
      <c r="M108" s="290"/>
      <c r="N108" s="290"/>
      <c r="O108" s="267"/>
      <c r="P108" s="267"/>
      <c r="Q108" s="267"/>
      <c r="R108" s="267"/>
      <c r="S108" s="264"/>
      <c r="T108" s="264"/>
      <c r="U108" s="264"/>
      <c r="V108" s="264"/>
    </row>
    <row r="109" spans="1:22" s="291" customFormat="1" ht="15" customHeight="1">
      <c r="A109" s="259"/>
      <c r="B109" s="297">
        <v>1</v>
      </c>
      <c r="C109" s="109" t="s">
        <v>55</v>
      </c>
      <c r="D109" s="281" t="str">
        <f ca="1">IF(ISERROR(OFFSET('HARGA SATUAN'!$D$6,MATCH(RAB!C109,'HARGA SATUAN'!$C$7:$C$1492,0),0)),"",OFFSET('HARGA SATUAN'!$D$6,MATCH(RAB!C109,'HARGA SATUAN'!$C$7:$C$1492,0),0))</f>
        <v>MDU-KD</v>
      </c>
      <c r="E109" s="282" t="str">
        <f ca="1">IF(B109="+","Unit",IF(ISERROR(OFFSET('HARGA SATUAN'!$E$6,MATCH(RAB!C109,'HARGA SATUAN'!$C$7:$C$1492,0),0)),"",OFFSET('HARGA SATUAN'!$E$6,MATCH(RAB!C109,'HARGA SATUAN'!$C$7:$C$1492,0),0)))</f>
        <v>Mtr</v>
      </c>
      <c r="F109" s="293">
        <v>200</v>
      </c>
      <c r="G109" s="283">
        <f ca="1">IF(ISERROR(OFFSET('HARGA SATUAN'!$I$6,MATCH(RAB!C109,'HARGA SATUAN'!$C$7:$C$1492,0),0)),0,OFFSET('HARGA SATUAN'!$I$6,MATCH(RAB!C109,'HARGA SATUAN'!$C$7:$C$1492,0),0))</f>
        <v>14200</v>
      </c>
      <c r="H109" s="284">
        <f t="shared" ca="1" si="43"/>
        <v>2840000</v>
      </c>
      <c r="I109" s="284">
        <f t="shared" ca="1" si="44"/>
        <v>0</v>
      </c>
      <c r="J109" s="284">
        <f t="shared" ca="1" si="45"/>
        <v>0</v>
      </c>
      <c r="K109" s="285">
        <f t="shared" ca="1" si="46"/>
        <v>2840000</v>
      </c>
      <c r="L109" s="265"/>
      <c r="M109" s="290"/>
      <c r="N109" s="290"/>
      <c r="O109" s="267"/>
      <c r="P109" s="267"/>
      <c r="Q109" s="267"/>
      <c r="R109" s="267"/>
      <c r="S109" s="267"/>
    </row>
    <row r="110" spans="1:22" s="288" customFormat="1" ht="30" customHeight="1">
      <c r="A110" s="259"/>
      <c r="B110" s="297">
        <v>2</v>
      </c>
      <c r="C110" s="109" t="s">
        <v>291</v>
      </c>
      <c r="D110" s="281" t="str">
        <f ca="1">IF(ISERROR(OFFSET('HARGA SATUAN'!$D$6,MATCH(RAB!C110,'HARGA SATUAN'!$C$7:$C$1492,0),0)),"",OFFSET('HARGA SATUAN'!$D$6,MATCH(RAB!C110,'HARGA SATUAN'!$C$7:$C$1492,0),0))</f>
        <v>JASA</v>
      </c>
      <c r="E110" s="282" t="str">
        <f ca="1">IF(B110="+","Unit",IF(ISERROR(OFFSET('HARGA SATUAN'!$E$6,MATCH(RAB!C110,'HARGA SATUAN'!$C$7:$C$1492,0),0)),"",OFFSET('HARGA SATUAN'!$E$6,MATCH(RAB!C110,'HARGA SATUAN'!$C$7:$C$1492,0),0)))</f>
        <v>Per 50 m</v>
      </c>
      <c r="F110" s="293">
        <v>4</v>
      </c>
      <c r="G110" s="283">
        <f ca="1">IF(ISERROR(OFFSET('HARGA SATUAN'!$I$6,MATCH(RAB!C110,'HARGA SATUAN'!$C$7:$C$1492,0),0)),0,OFFSET('HARGA SATUAN'!$I$6,MATCH(RAB!C110,'HARGA SATUAN'!$C$7:$C$1492,0),0))</f>
        <v>300100</v>
      </c>
      <c r="H110" s="284">
        <f t="shared" ca="1" si="43"/>
        <v>0</v>
      </c>
      <c r="I110" s="284">
        <f t="shared" ca="1" si="44"/>
        <v>0</v>
      </c>
      <c r="J110" s="284">
        <f t="shared" ca="1" si="45"/>
        <v>1200400</v>
      </c>
      <c r="K110" s="285">
        <f t="shared" ca="1" si="46"/>
        <v>1200400</v>
      </c>
      <c r="L110" s="265"/>
      <c r="M110" s="265"/>
      <c r="N110" s="290"/>
      <c r="O110" s="267"/>
      <c r="P110" s="267"/>
      <c r="Q110" s="326"/>
      <c r="R110" s="267"/>
      <c r="S110" s="326"/>
      <c r="T110" s="327"/>
      <c r="U110" s="327"/>
      <c r="V110" s="327"/>
    </row>
    <row r="111" spans="1:22" s="288" customFormat="1" ht="15">
      <c r="A111" s="259"/>
      <c r="B111" s="297"/>
      <c r="C111" s="109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293"/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43"/>
        <v>0</v>
      </c>
      <c r="I111" s="284">
        <f t="shared" ca="1" si="44"/>
        <v>0</v>
      </c>
      <c r="J111" s="284">
        <f t="shared" ca="1" si="45"/>
        <v>0</v>
      </c>
      <c r="K111" s="285">
        <f t="shared" ca="1" si="46"/>
        <v>0</v>
      </c>
      <c r="L111" s="265"/>
      <c r="M111" s="265"/>
      <c r="N111" s="290"/>
      <c r="O111" s="267"/>
      <c r="P111" s="267"/>
      <c r="Q111" s="267"/>
      <c r="R111" s="267"/>
      <c r="S111" s="267"/>
      <c r="T111" s="331"/>
      <c r="U111" s="331"/>
      <c r="V111" s="331"/>
    </row>
    <row r="112" spans="1:22" s="288" customFormat="1" ht="15">
      <c r="A112" s="259"/>
      <c r="B112" s="299"/>
      <c r="C112" s="300"/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/>
      </c>
      <c r="F112" s="293"/>
      <c r="G112" s="283">
        <f ca="1">IF(ISERROR(OFFSET('HARGA SATUAN'!$I$6,MATCH(RAB!C112,'HARGA SATUAN'!$C$7:$C$1492,0),0)),0,OFFSET('HARGA SATUAN'!$I$6,MATCH(RAB!C112,'HARGA SATUAN'!$C$7:$C$1492,0),0))</f>
        <v>0</v>
      </c>
      <c r="H112" s="284">
        <f t="shared" ca="1" si="43"/>
        <v>0</v>
      </c>
      <c r="I112" s="284">
        <f t="shared" ca="1" si="44"/>
        <v>0</v>
      </c>
      <c r="J112" s="284">
        <f t="shared" ca="1" si="45"/>
        <v>0</v>
      </c>
      <c r="K112" s="285">
        <f t="shared" ca="1" si="46"/>
        <v>0</v>
      </c>
      <c r="L112" s="265"/>
      <c r="M112" s="265"/>
      <c r="N112" s="290"/>
      <c r="O112" s="267"/>
      <c r="P112" s="267"/>
      <c r="Q112" s="267"/>
      <c r="R112" s="267"/>
      <c r="S112" s="267"/>
      <c r="T112" s="327"/>
      <c r="U112" s="327"/>
      <c r="V112" s="327"/>
    </row>
    <row r="113" spans="1:22" s="288" customFormat="1" ht="15">
      <c r="A113" s="259"/>
      <c r="B113" s="299" t="s">
        <v>516</v>
      </c>
      <c r="C113" s="300" t="s">
        <v>1588</v>
      </c>
      <c r="D113" s="281"/>
      <c r="E113" s="282"/>
      <c r="F113" s="293"/>
      <c r="G113" s="283"/>
      <c r="H113" s="284"/>
      <c r="I113" s="284"/>
      <c r="J113" s="284"/>
      <c r="K113" s="285"/>
      <c r="L113" s="334"/>
      <c r="M113" s="334"/>
      <c r="N113" s="290"/>
      <c r="O113" s="267"/>
      <c r="P113" s="267"/>
      <c r="Q113" s="267"/>
    </row>
    <row r="114" spans="1:22" s="288" customFormat="1" ht="16">
      <c r="A114" s="259"/>
      <c r="B114" s="414" t="s">
        <v>1006</v>
      </c>
      <c r="C114" s="415" t="s">
        <v>1589</v>
      </c>
      <c r="D114" s="281" t="str">
        <f ca="1">IF(ISERROR(OFFSET('HARGA SATUAN'!$D$6,MATCH(RAB!C114,'HARGA SATUAN'!$C$7:$C$1492,0),0)),"",OFFSET('HARGA SATUAN'!$D$6,MATCH(RAB!C114,'HARGA SATUAN'!$C$7:$C$1492,0),0))</f>
        <v/>
      </c>
      <c r="E114" s="282" t="str">
        <f ca="1">IF(B114="+","Unit",IF(ISERROR(OFFSET('HARGA SATUAN'!$E$6,MATCH(RAB!C114,'HARGA SATUAN'!$C$7:$C$1492,0),0)),"",OFFSET('HARGA SATUAN'!$E$6,MATCH(RAB!C114,'HARGA SATUAN'!$C$7:$C$1492,0),0)))</f>
        <v>Unit</v>
      </c>
      <c r="F114" s="293">
        <v>1</v>
      </c>
      <c r="G114" s="283">
        <f ca="1">IF(ISERROR(OFFSET('HARGA SATUAN'!$I$6,MATCH(RAB!C114,'HARGA SATUAN'!$C$7:$C$1492,0),0)),0,OFFSET('HARGA SATUAN'!$I$6,MATCH(RAB!C114,'HARGA SATUAN'!$C$7:$C$1492,0),0))</f>
        <v>0</v>
      </c>
      <c r="H114" s="284">
        <f t="shared" ref="H114:H116" ca="1" si="47">IF(OR(D114="MDU",D114="MDU-KD"),(IF($O$3="RAB NON MDU","PLN KD",G114*F114)),0)</f>
        <v>0</v>
      </c>
      <c r="I114" s="284">
        <f t="shared" ref="I114:I116" ca="1" si="48">IF(D114="HDW",G114*F114,0)</f>
        <v>0</v>
      </c>
      <c r="J114" s="284">
        <f t="shared" ref="J114:J116" ca="1" si="49">IF(D114="JASA",G114*F114,0)</f>
        <v>0</v>
      </c>
      <c r="K114" s="285">
        <f t="shared" ref="K114:K116" ca="1" si="50">SUM(H114:J114)</f>
        <v>0</v>
      </c>
      <c r="L114" s="265"/>
      <c r="M114" s="265"/>
      <c r="N114" s="290"/>
      <c r="O114" s="267"/>
      <c r="P114" s="267"/>
      <c r="Q114" s="326"/>
      <c r="R114" s="267"/>
      <c r="S114" s="326"/>
      <c r="T114" s="327"/>
      <c r="U114" s="327"/>
      <c r="V114" s="327"/>
    </row>
    <row r="115" spans="1:22" s="288" customFormat="1" ht="32">
      <c r="A115" s="259"/>
      <c r="B115" s="416">
        <v>1</v>
      </c>
      <c r="C115" s="109" t="s">
        <v>1167</v>
      </c>
      <c r="D115" s="281" t="str">
        <f ca="1">IF(ISERROR(OFFSET('HARGA SATUAN'!$D$6,MATCH(RAB!C115,'HARGA SATUAN'!$C$7:$C$1492,0),0)),"",OFFSET('HARGA SATUAN'!$D$6,MATCH(RAB!C115,'HARGA SATUAN'!$C$7:$C$1492,0),0))</f>
        <v>MDU-KD</v>
      </c>
      <c r="E115" s="282" t="str">
        <f ca="1">IF(B115="+","Unit",IF(ISERROR(OFFSET('HARGA SATUAN'!$E$6,MATCH(RAB!C115,'HARGA SATUAN'!$C$7:$C$1492,0),0)),"",OFFSET('HARGA SATUAN'!$E$6,MATCH(RAB!C115,'HARGA SATUAN'!$C$7:$C$1492,0),0)))</f>
        <v>Bh</v>
      </c>
      <c r="F115" s="293">
        <v>1</v>
      </c>
      <c r="G115" s="283">
        <f ca="1">IF(ISERROR(OFFSET('HARGA SATUAN'!$I$6,MATCH(RAB!C115,'HARGA SATUAN'!$C$7:$C$1492,0),0)),0,OFFSET('HARGA SATUAN'!$I$6,MATCH(RAB!C115,'HARGA SATUAN'!$C$7:$C$1492,0),0))</f>
        <v>1504200</v>
      </c>
      <c r="H115" s="284">
        <f t="shared" ca="1" si="47"/>
        <v>1504200</v>
      </c>
      <c r="I115" s="284">
        <f t="shared" ca="1" si="48"/>
        <v>0</v>
      </c>
      <c r="J115" s="284">
        <f t="shared" ca="1" si="49"/>
        <v>0</v>
      </c>
      <c r="K115" s="285">
        <f t="shared" ca="1" si="50"/>
        <v>1504200</v>
      </c>
      <c r="L115" s="265"/>
      <c r="M115" s="265"/>
      <c r="N115" s="290"/>
      <c r="O115" s="267"/>
      <c r="P115" s="267"/>
      <c r="Q115" s="267"/>
      <c r="R115" s="267"/>
      <c r="S115" s="267"/>
      <c r="T115" s="331"/>
      <c r="U115" s="331"/>
      <c r="V115" s="331"/>
    </row>
    <row r="116" spans="1:22" s="288" customFormat="1" ht="16">
      <c r="A116" s="259"/>
      <c r="B116" s="416">
        <v>2</v>
      </c>
      <c r="C116" s="422" t="s">
        <v>508</v>
      </c>
      <c r="D116" s="281" t="str">
        <f ca="1">IF(ISERROR(OFFSET('HARGA SATUAN'!$D$6,MATCH(RAB!C116,'HARGA SATUAN'!$C$7:$C$1492,0),0)),"",OFFSET('HARGA SATUAN'!$D$6,MATCH(RAB!C116,'HARGA SATUAN'!$C$7:$C$1492,0),0))</f>
        <v>MDU-KD</v>
      </c>
      <c r="E116" s="282" t="str">
        <f ca="1">IF(B116="+","Unit",IF(ISERROR(OFFSET('HARGA SATUAN'!$E$6,MATCH(RAB!C116,'HARGA SATUAN'!$C$7:$C$1492,0),0)),"",OFFSET('HARGA SATUAN'!$E$6,MATCH(RAB!C116,'HARGA SATUAN'!$C$7:$C$1492,0),0)))</f>
        <v>Unit</v>
      </c>
      <c r="F116" s="293">
        <v>1</v>
      </c>
      <c r="G116" s="283">
        <f ca="1">IF(ISERROR(OFFSET('HARGA SATUAN'!$I$6,MATCH(RAB!C116,'HARGA SATUAN'!$C$7:$C$1492,0),0)),0,OFFSET('HARGA SATUAN'!$I$6,MATCH(RAB!C116,'HARGA SATUAN'!$C$7:$C$1492,0),0))</f>
        <v>14217900</v>
      </c>
      <c r="H116" s="284">
        <f t="shared" ca="1" si="47"/>
        <v>14217900</v>
      </c>
      <c r="I116" s="284">
        <f t="shared" ca="1" si="48"/>
        <v>0</v>
      </c>
      <c r="J116" s="284">
        <f t="shared" ca="1" si="49"/>
        <v>0</v>
      </c>
      <c r="K116" s="285">
        <f t="shared" ca="1" si="50"/>
        <v>14217900</v>
      </c>
      <c r="L116" s="265"/>
      <c r="M116" s="265"/>
      <c r="N116" s="290"/>
      <c r="O116" s="267"/>
      <c r="P116" s="267"/>
      <c r="Q116" s="267"/>
      <c r="R116" s="267"/>
      <c r="S116" s="267"/>
      <c r="T116" s="327"/>
      <c r="U116" s="327"/>
      <c r="V116" s="327"/>
    </row>
    <row r="117" spans="1:22" s="291" customFormat="1" ht="16">
      <c r="A117" s="259" t="s">
        <v>1416</v>
      </c>
      <c r="B117" s="416">
        <v>3</v>
      </c>
      <c r="C117" s="422" t="s">
        <v>1113</v>
      </c>
      <c r="D117" s="281" t="str">
        <f ca="1">IF(ISERROR(OFFSET('HARGA SATUAN'!$D$6,MATCH(RAB!C117,'HARGA SATUAN'!$C$7:$C$1492,0),0)),"",OFFSET('HARGA SATUAN'!$D$6,MATCH(RAB!C117,'HARGA SATUAN'!$C$7:$C$1492,0),0))</f>
        <v>HDW</v>
      </c>
      <c r="E117" s="282" t="str">
        <f ca="1">IF(B117="+","Unit",IF(ISERROR(OFFSET('HARGA SATUAN'!$E$6,MATCH(RAB!C117,'HARGA SATUAN'!$C$7:$C$1492,0),0)),"",OFFSET('HARGA SATUAN'!$E$6,MATCH(RAB!C117,'HARGA SATUAN'!$C$7:$C$1492,0),0)))</f>
        <v>Unit</v>
      </c>
      <c r="F117" s="293">
        <v>1</v>
      </c>
      <c r="G117" s="283">
        <f ca="1">IF(ISERROR(OFFSET('HARGA SATUAN'!$I$6,MATCH(RAB!C117,'HARGA SATUAN'!$C$7:$C$1492,0),0)),0,OFFSET('HARGA SATUAN'!$I$6,MATCH(RAB!C117,'HARGA SATUAN'!$C$7:$C$1492,0),0))</f>
        <v>1113900</v>
      </c>
      <c r="H117" s="284">
        <f t="shared" ref="H117:H142" ca="1" si="51">IF(OR(D117="MDU",D117="MDU-KD"),(IF($O$3="RAB NON MDU","PLN KD",G117*F117)),0)</f>
        <v>0</v>
      </c>
      <c r="I117" s="284">
        <f t="shared" ref="I117:I142" ca="1" si="52">IF(D117="HDW",G117*F117,0)</f>
        <v>1113900</v>
      </c>
      <c r="J117" s="284">
        <f t="shared" ref="J117:J142" ca="1" si="53">IF(D117="JASA",G117*F117,0)</f>
        <v>0</v>
      </c>
      <c r="K117" s="285">
        <f t="shared" ref="K117:K142" ca="1" si="54">SUM(H117:J117)</f>
        <v>1113900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 ht="16">
      <c r="A118" s="259" t="e">
        <f>IF(AND(C118=0,#REF!=0,#REF!=0),"BLANKS",1)</f>
        <v>#REF!</v>
      </c>
      <c r="B118" s="416">
        <v>4</v>
      </c>
      <c r="C118" s="109" t="s">
        <v>1431</v>
      </c>
      <c r="D118" s="281" t="str">
        <f ca="1">IF(ISERROR(OFFSET('HARGA SATUAN'!$D$6,MATCH(RAB!C118,'HARGA SATUAN'!$C$7:$C$1492,0),0)),"",OFFSET('HARGA SATUAN'!$D$6,MATCH(RAB!C118,'HARGA SATUAN'!$C$7:$C$1492,0),0))</f>
        <v>MDU-KD</v>
      </c>
      <c r="E118" s="282" t="str">
        <f ca="1">IF(B118="+","Unit",IF(ISERROR(OFFSET('HARGA SATUAN'!$E$6,MATCH(RAB!C118,'HARGA SATUAN'!$C$7:$C$1492,0),0)),"",OFFSET('HARGA SATUAN'!$E$6,MATCH(RAB!C118,'HARGA SATUAN'!$C$7:$C$1492,0),0)))</f>
        <v>Mtr</v>
      </c>
      <c r="F118" s="293">
        <v>50</v>
      </c>
      <c r="G118" s="283">
        <f ca="1">IF(ISERROR(OFFSET('HARGA SATUAN'!$I$6,MATCH(RAB!C118,'HARGA SATUAN'!$C$7:$C$1492,0),0)),0,OFFSET('HARGA SATUAN'!$I$6,MATCH(RAB!C118,'HARGA SATUAN'!$C$7:$C$1492,0),0))</f>
        <v>54500</v>
      </c>
      <c r="H118" s="284">
        <f t="shared" ca="1" si="51"/>
        <v>2725000</v>
      </c>
      <c r="I118" s="284">
        <f t="shared" ca="1" si="52"/>
        <v>0</v>
      </c>
      <c r="J118" s="284">
        <f t="shared" ca="1" si="53"/>
        <v>0</v>
      </c>
      <c r="K118" s="285">
        <f t="shared" ca="1" si="54"/>
        <v>2725000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 ht="16">
      <c r="A119" s="259" t="s">
        <v>1416</v>
      </c>
      <c r="B119" s="416">
        <v>5</v>
      </c>
      <c r="C119" s="422" t="s">
        <v>790</v>
      </c>
      <c r="D119" s="281" t="str">
        <f ca="1">IF(ISERROR(OFFSET('HARGA SATUAN'!$D$6,MATCH(RAB!C119,'HARGA SATUAN'!$C$7:$C$1492,0),0)),"",OFFSET('HARGA SATUAN'!$D$6,MATCH(RAB!C119,'HARGA SATUAN'!$C$7:$C$1492,0),0))</f>
        <v>JASA</v>
      </c>
      <c r="E119" s="282" t="str">
        <f ca="1">IF(B119="+","Unit",IF(ISERROR(OFFSET('HARGA SATUAN'!$E$6,MATCH(RAB!C119,'HARGA SATUAN'!$C$7:$C$1492,0),0)),"",OFFSET('HARGA SATUAN'!$E$6,MATCH(RAB!C119,'HARGA SATUAN'!$C$7:$C$1492,0),0)))</f>
        <v>Unit</v>
      </c>
      <c r="F119" s="293">
        <v>1</v>
      </c>
      <c r="G119" s="283">
        <f ca="1">IF(ISERROR(OFFSET('HARGA SATUAN'!$I$6,MATCH(RAB!C119,'HARGA SATUAN'!$C$7:$C$1492,0),0)),0,OFFSET('HARGA SATUAN'!$I$6,MATCH(RAB!C119,'HARGA SATUAN'!$C$7:$C$1492,0),0))</f>
        <v>106400</v>
      </c>
      <c r="H119" s="284">
        <f t="shared" ca="1" si="51"/>
        <v>0</v>
      </c>
      <c r="I119" s="284">
        <f t="shared" ca="1" si="52"/>
        <v>0</v>
      </c>
      <c r="J119" s="284">
        <f t="shared" ca="1" si="53"/>
        <v>106400</v>
      </c>
      <c r="K119" s="285">
        <f t="shared" ca="1" si="54"/>
        <v>106400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 ht="15">
      <c r="A120" s="259" t="e">
        <f>IF(AND(C120=0,#REF!=0,#REF!=0),"BLANKS",1)</f>
        <v>#REF!</v>
      </c>
      <c r="B120" s="297"/>
      <c r="C120" s="300"/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398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51"/>
        <v>0</v>
      </c>
      <c r="I120" s="284">
        <f t="shared" ca="1" si="52"/>
        <v>0</v>
      </c>
      <c r="J120" s="284">
        <f t="shared" ca="1" si="53"/>
        <v>0</v>
      </c>
      <c r="K120" s="285">
        <f t="shared" ca="1" si="54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 ht="15">
      <c r="A121" s="259"/>
      <c r="B121" s="299" t="s">
        <v>520</v>
      </c>
      <c r="C121" s="300" t="s">
        <v>1590</v>
      </c>
      <c r="D121" s="281" t="str">
        <f ca="1">IF(ISERROR(OFFSET('HARGA SATUAN'!$D$6,MATCH(RAB!C121,'HARGA SATUAN'!$C$7:$C$1492,0),0)),"",OFFSET('HARGA SATUAN'!$D$6,MATCH(RAB!C121,'HARGA SATUAN'!$C$7:$C$1492,0),0))</f>
        <v/>
      </c>
      <c r="E121" s="282"/>
      <c r="F121" s="398"/>
      <c r="G121" s="283"/>
      <c r="H121" s="284"/>
      <c r="I121" s="284"/>
      <c r="J121" s="284"/>
      <c r="K121" s="285"/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 ht="15">
      <c r="A122" s="259" t="e">
        <f>IF(AND(#REF!=0,#REF!=0,#REF!=0),"BLANKS",1)</f>
        <v>#REF!</v>
      </c>
      <c r="B122" s="399"/>
      <c r="C122" s="400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398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51"/>
        <v>0</v>
      </c>
      <c r="I122" s="284">
        <f t="shared" ca="1" si="52"/>
        <v>0</v>
      </c>
      <c r="J122" s="284">
        <f t="shared" ca="1" si="53"/>
        <v>0</v>
      </c>
      <c r="K122" s="285">
        <f t="shared" ca="1" si="54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 ht="15">
      <c r="A123" s="259" t="e">
        <f>IF(AND(#REF!=0,#REF!=0,#REF!=0),"BLANKS",1)</f>
        <v>#REF!</v>
      </c>
      <c r="B123" s="399"/>
      <c r="C123" s="400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398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1"/>
        <v>0</v>
      </c>
      <c r="I123" s="284">
        <f t="shared" ca="1" si="52"/>
        <v>0</v>
      </c>
      <c r="J123" s="284">
        <f t="shared" ca="1" si="53"/>
        <v>0</v>
      </c>
      <c r="K123" s="285">
        <f t="shared" ca="1" si="5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 ht="15">
      <c r="A124" s="259"/>
      <c r="B124" s="399"/>
      <c r="C124" s="400"/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/>
      </c>
      <c r="F124" s="398"/>
      <c r="G124" s="283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1"/>
        <v>0</v>
      </c>
      <c r="I124" s="284">
        <f t="shared" ca="1" si="52"/>
        <v>0</v>
      </c>
      <c r="J124" s="284">
        <f t="shared" ca="1" si="53"/>
        <v>0</v>
      </c>
      <c r="K124" s="285">
        <f t="shared" ca="1" si="5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 ht="15">
      <c r="A125" s="259">
        <f>IF(AND(C143=0,C144=0,C145=0),"BLANKS",1)</f>
        <v>1</v>
      </c>
      <c r="B125" s="399"/>
      <c r="C125" s="400"/>
      <c r="D125" s="281" t="str">
        <f ca="1">IF(ISERROR(OFFSET('HARGA SATUAN'!$D$6,MATCH(RAB!C125,'HARGA SATUAN'!$C$7:$C$1492,0),0)),"",OFFSET('HARGA SATUAN'!$D$6,MATCH(RAB!C125,'HARGA SATUAN'!$C$7:$C$1492,0),0))</f>
        <v/>
      </c>
      <c r="E125" s="282" t="str">
        <f ca="1">IF(B125="+","Unit",IF(ISERROR(OFFSET('HARGA SATUAN'!$E$6,MATCH(RAB!C125,'HARGA SATUAN'!$C$7:$C$1492,0),0)),"",OFFSET('HARGA SATUAN'!$E$6,MATCH(RAB!C125,'HARGA SATUAN'!$C$7:$C$1492,0),0)))</f>
        <v/>
      </c>
      <c r="F125" s="398"/>
      <c r="G125" s="283">
        <f ca="1">IF(ISERROR(OFFSET('HARGA SATUAN'!$I$6,MATCH(RAB!C125,'HARGA SATUAN'!$C$7:$C$1492,0),0)),0,OFFSET('HARGA SATUAN'!$I$6,MATCH(RAB!C125,'HARGA SATUAN'!$C$7:$C$1492,0),0))</f>
        <v>0</v>
      </c>
      <c r="H125" s="284">
        <f t="shared" ca="1" si="51"/>
        <v>0</v>
      </c>
      <c r="I125" s="284">
        <f t="shared" ca="1" si="52"/>
        <v>0</v>
      </c>
      <c r="J125" s="284">
        <f t="shared" ca="1" si="53"/>
        <v>0</v>
      </c>
      <c r="K125" s="285">
        <f t="shared" ca="1" si="54"/>
        <v>0</v>
      </c>
      <c r="L125" s="290"/>
      <c r="M125" s="290"/>
      <c r="N125" s="290"/>
      <c r="O125" s="267"/>
      <c r="P125" s="267"/>
      <c r="Q125" s="267"/>
      <c r="R125" s="259"/>
      <c r="S125" s="287"/>
      <c r="T125" s="264"/>
      <c r="U125" s="264"/>
      <c r="V125" s="264"/>
    </row>
    <row r="126" spans="1:22" s="291" customFormat="1" ht="15">
      <c r="A126" s="259">
        <f>IF(AND(C144=0,C145=0,C146=0),"BLANKS",1)</f>
        <v>1</v>
      </c>
      <c r="B126" s="399"/>
      <c r="C126" s="400"/>
      <c r="D126" s="281" t="str">
        <f ca="1">IF(ISERROR(OFFSET('HARGA SATUAN'!$D$6,MATCH(RAB!C126,'HARGA SATUAN'!$C$7:$C$1492,0),0)),"",OFFSET('HARGA SATUAN'!$D$6,MATCH(RAB!C126,'HARGA SATUAN'!$C$7:$C$1492,0),0))</f>
        <v/>
      </c>
      <c r="E126" s="282" t="str">
        <f ca="1">IF(B126="+","Unit",IF(ISERROR(OFFSET('HARGA SATUAN'!$E$6,MATCH(RAB!C126,'HARGA SATUAN'!$C$7:$C$1492,0),0)),"",OFFSET('HARGA SATUAN'!$E$6,MATCH(RAB!C126,'HARGA SATUAN'!$C$7:$C$1492,0),0)))</f>
        <v/>
      </c>
      <c r="F126" s="398"/>
      <c r="G126" s="283">
        <f ca="1">IF(ISERROR(OFFSET('HARGA SATUAN'!$I$6,MATCH(RAB!C126,'HARGA SATUAN'!$C$7:$C$1492,0),0)),0,OFFSET('HARGA SATUAN'!$I$6,MATCH(RAB!C126,'HARGA SATUAN'!$C$7:$C$1492,0),0))</f>
        <v>0</v>
      </c>
      <c r="H126" s="284">
        <f t="shared" ca="1" si="51"/>
        <v>0</v>
      </c>
      <c r="I126" s="284">
        <f t="shared" ca="1" si="52"/>
        <v>0</v>
      </c>
      <c r="J126" s="284">
        <f t="shared" ca="1" si="53"/>
        <v>0</v>
      </c>
      <c r="K126" s="285">
        <f t="shared" ca="1" si="54"/>
        <v>0</v>
      </c>
      <c r="L126" s="290"/>
      <c r="M126" s="290"/>
      <c r="N126" s="290"/>
      <c r="O126" s="267"/>
      <c r="P126" s="267"/>
      <c r="Q126" s="267"/>
      <c r="R126" s="259"/>
      <c r="S126" s="287"/>
      <c r="T126" s="264"/>
      <c r="U126" s="264"/>
      <c r="V126" s="264"/>
    </row>
    <row r="127" spans="1:22" s="291" customFormat="1" ht="15">
      <c r="A127" s="259">
        <f>IF(AND(C145=0,C146=0,C147=0),"BLANKS",1)</f>
        <v>1</v>
      </c>
      <c r="B127" s="399"/>
      <c r="C127" s="400"/>
      <c r="D127" s="281" t="str">
        <f ca="1">IF(ISERROR(OFFSET('HARGA SATUAN'!$D$6,MATCH(RAB!C127,'HARGA SATUAN'!$C$7:$C$1492,0),0)),"",OFFSET('HARGA SATUAN'!$D$6,MATCH(RAB!C127,'HARGA SATUAN'!$C$7:$C$1492,0),0))</f>
        <v/>
      </c>
      <c r="E127" s="282" t="str">
        <f ca="1">IF(B127="+","Unit",IF(ISERROR(OFFSET('HARGA SATUAN'!$E$6,MATCH(RAB!C127,'HARGA SATUAN'!$C$7:$C$1492,0),0)),"",OFFSET('HARGA SATUAN'!$E$6,MATCH(RAB!C127,'HARGA SATUAN'!$C$7:$C$1492,0),0)))</f>
        <v/>
      </c>
      <c r="F127" s="398"/>
      <c r="G127" s="283">
        <f ca="1">IF(ISERROR(OFFSET('HARGA SATUAN'!$I$6,MATCH(RAB!C127,'HARGA SATUAN'!$C$7:$C$1492,0),0)),0,OFFSET('HARGA SATUAN'!$I$6,MATCH(RAB!C127,'HARGA SATUAN'!$C$7:$C$1492,0),0))</f>
        <v>0</v>
      </c>
      <c r="H127" s="284">
        <f t="shared" ca="1" si="51"/>
        <v>0</v>
      </c>
      <c r="I127" s="284">
        <f t="shared" ca="1" si="52"/>
        <v>0</v>
      </c>
      <c r="J127" s="284">
        <f t="shared" ca="1" si="53"/>
        <v>0</v>
      </c>
      <c r="K127" s="285">
        <f t="shared" ca="1" si="54"/>
        <v>0</v>
      </c>
      <c r="L127" s="290"/>
      <c r="M127" s="290"/>
      <c r="N127" s="290"/>
      <c r="O127" s="267"/>
      <c r="P127" s="267"/>
      <c r="Q127" s="267"/>
      <c r="R127" s="267"/>
      <c r="S127" s="264"/>
      <c r="T127" s="264"/>
      <c r="U127" s="264"/>
      <c r="V127" s="264"/>
    </row>
    <row r="128" spans="1:22" s="291" customFormat="1" ht="15" customHeight="1">
      <c r="A128" s="259"/>
      <c r="B128" s="399"/>
      <c r="C128" s="400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398"/>
      <c r="G128" s="283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51"/>
        <v>0</v>
      </c>
      <c r="I128" s="284">
        <f t="shared" ca="1" si="52"/>
        <v>0</v>
      </c>
      <c r="J128" s="284">
        <f t="shared" ca="1" si="53"/>
        <v>0</v>
      </c>
      <c r="K128" s="285">
        <f t="shared" ca="1" si="54"/>
        <v>0</v>
      </c>
      <c r="L128" s="265"/>
      <c r="M128" s="290"/>
      <c r="N128" s="290"/>
      <c r="O128" s="267"/>
      <c r="P128" s="267"/>
      <c r="Q128" s="267"/>
      <c r="R128" s="267"/>
      <c r="S128" s="267"/>
    </row>
    <row r="129" spans="1:22" s="288" customFormat="1" ht="15">
      <c r="A129" s="259"/>
      <c r="B129" s="299"/>
      <c r="C129" s="300"/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398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ref="H129:H131" ca="1" si="55">IF(OR(D129="MDU",D129="MDU-KD"),(IF($O$3="RAB NON MDU","PLN KD",G129*F129)),0)</f>
        <v>0</v>
      </c>
      <c r="I129" s="284">
        <f t="shared" ref="I129:I131" ca="1" si="56">IF(D129="HDW",G129*F129,0)</f>
        <v>0</v>
      </c>
      <c r="J129" s="284">
        <f t="shared" ref="J129:J131" ca="1" si="57">IF(D129="JASA",G129*F129,0)</f>
        <v>0</v>
      </c>
      <c r="K129" s="285">
        <f t="shared" ref="K129:K131" ca="1" si="58">SUM(H129:J129)</f>
        <v>0</v>
      </c>
      <c r="L129" s="265"/>
      <c r="M129" s="265"/>
      <c r="N129" s="290"/>
      <c r="O129" s="267"/>
      <c r="P129" s="267"/>
      <c r="Q129" s="326"/>
      <c r="R129" s="267"/>
      <c r="S129" s="326"/>
      <c r="T129" s="327"/>
      <c r="U129" s="327"/>
      <c r="V129" s="327"/>
    </row>
    <row r="130" spans="1:22" s="288" customFormat="1" ht="15">
      <c r="A130" s="259"/>
      <c r="B130" s="297"/>
      <c r="C130" s="301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398"/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55"/>
        <v>0</v>
      </c>
      <c r="I130" s="284">
        <f t="shared" ca="1" si="56"/>
        <v>0</v>
      </c>
      <c r="J130" s="284">
        <f t="shared" ca="1" si="57"/>
        <v>0</v>
      </c>
      <c r="K130" s="285">
        <f t="shared" ca="1" si="58"/>
        <v>0</v>
      </c>
      <c r="L130" s="265"/>
      <c r="M130" s="265"/>
      <c r="N130" s="290"/>
      <c r="O130" s="267"/>
      <c r="P130" s="267"/>
      <c r="Q130" s="267"/>
      <c r="R130" s="267"/>
      <c r="S130" s="267"/>
      <c r="T130" s="331"/>
      <c r="U130" s="331"/>
      <c r="V130" s="331"/>
    </row>
    <row r="131" spans="1:22" s="288" customFormat="1" ht="15">
      <c r="A131" s="259"/>
      <c r="B131" s="294"/>
      <c r="C131" s="295"/>
      <c r="D131" s="281" t="str">
        <f ca="1">IF(ISERROR(OFFSET('HARGA SATUAN'!$D$6,MATCH(RAB!C131,'HARGA SATUAN'!$C$7:$C$1492,0),0)),"",OFFSET('HARGA SATUAN'!$D$6,MATCH(RAB!C131,'HARGA SATUAN'!$C$7:$C$1492,0),0))</f>
        <v/>
      </c>
      <c r="E131" s="282" t="str">
        <f ca="1">IF(B131="+","Unit",IF(ISERROR(OFFSET('HARGA SATUAN'!$E$6,MATCH(RAB!C131,'HARGA SATUAN'!$C$7:$C$1492,0),0)),"",OFFSET('HARGA SATUAN'!$E$6,MATCH(RAB!C131,'HARGA SATUAN'!$C$7:$C$1492,0),0)))</f>
        <v/>
      </c>
      <c r="F131" s="296"/>
      <c r="G131" s="283">
        <f ca="1">IF(ISERROR(OFFSET('HARGA SATUAN'!$I$6,MATCH(RAB!C131,'HARGA SATUAN'!$C$7:$C$1492,0),0)),0,OFFSET('HARGA SATUAN'!$I$6,MATCH(RAB!C131,'HARGA SATUAN'!$C$7:$C$1492,0),0))</f>
        <v>0</v>
      </c>
      <c r="H131" s="284">
        <f t="shared" ca="1" si="55"/>
        <v>0</v>
      </c>
      <c r="I131" s="284">
        <f t="shared" ca="1" si="56"/>
        <v>0</v>
      </c>
      <c r="J131" s="284">
        <f t="shared" ca="1" si="57"/>
        <v>0</v>
      </c>
      <c r="K131" s="285">
        <f t="shared" ca="1" si="58"/>
        <v>0</v>
      </c>
      <c r="L131" s="265"/>
      <c r="M131" s="265"/>
      <c r="N131" s="290"/>
      <c r="O131" s="267"/>
      <c r="P131" s="267"/>
      <c r="Q131" s="267"/>
      <c r="R131" s="267"/>
      <c r="S131" s="267"/>
      <c r="T131" s="327"/>
      <c r="U131" s="327"/>
      <c r="V131" s="327"/>
    </row>
    <row r="132" spans="1:22" s="288" customFormat="1">
      <c r="A132" s="259"/>
      <c r="B132" s="294"/>
      <c r="C132" s="302"/>
      <c r="D132" s="281"/>
      <c r="E132" s="282"/>
      <c r="F132" s="296"/>
      <c r="G132" s="283"/>
      <c r="H132" s="284"/>
      <c r="I132" s="284"/>
      <c r="J132" s="284"/>
      <c r="K132" s="285"/>
      <c r="L132" s="334"/>
      <c r="M132" s="334"/>
      <c r="N132" s="290"/>
      <c r="O132" s="267"/>
      <c r="P132" s="267"/>
      <c r="Q132" s="267"/>
    </row>
    <row r="133" spans="1:22" s="288" customFormat="1" ht="15">
      <c r="A133" s="259"/>
      <c r="B133" s="299"/>
      <c r="C133" s="300"/>
      <c r="D133" s="281" t="str">
        <f ca="1">IF(ISERROR(OFFSET('HARGA SATUAN'!$D$6,MATCH(RAB!C133,'HARGA SATUAN'!$C$7:$C$1492,0),0)),"",OFFSET('HARGA SATUAN'!$D$6,MATCH(RAB!C133,'HARGA SATUAN'!$C$7:$C$1492,0),0))</f>
        <v/>
      </c>
      <c r="E133" s="282" t="str">
        <f ca="1">IF(B133="+","Unit",IF(ISERROR(OFFSET('HARGA SATUAN'!$E$6,MATCH(RAB!C133,'HARGA SATUAN'!$C$7:$C$1492,0),0)),"",OFFSET('HARGA SATUAN'!$E$6,MATCH(RAB!C133,'HARGA SATUAN'!$C$7:$C$1492,0),0)))</f>
        <v/>
      </c>
      <c r="F133" s="398"/>
      <c r="G133" s="283">
        <f ca="1">IF(ISERROR(OFFSET('HARGA SATUAN'!$I$6,MATCH(RAB!C133,'HARGA SATUAN'!$C$7:$C$1492,0),0)),0,OFFSET('HARGA SATUAN'!$I$6,MATCH(RAB!C133,'HARGA SATUAN'!$C$7:$C$1492,0),0))</f>
        <v>0</v>
      </c>
      <c r="H133" s="284">
        <f t="shared" ca="1" si="51"/>
        <v>0</v>
      </c>
      <c r="I133" s="284">
        <f t="shared" ca="1" si="52"/>
        <v>0</v>
      </c>
      <c r="J133" s="284">
        <f t="shared" ca="1" si="53"/>
        <v>0</v>
      </c>
      <c r="K133" s="285">
        <f t="shared" ca="1" si="54"/>
        <v>0</v>
      </c>
      <c r="L133" s="265"/>
      <c r="M133" s="265"/>
      <c r="N133" s="290"/>
      <c r="O133" s="267"/>
      <c r="P133" s="267"/>
      <c r="Q133" s="326"/>
      <c r="R133" s="267"/>
      <c r="S133" s="326"/>
      <c r="T133" s="327"/>
      <c r="U133" s="327"/>
      <c r="V133" s="327"/>
    </row>
    <row r="134" spans="1:22" s="288" customFormat="1" ht="15">
      <c r="A134" s="259"/>
      <c r="B134" s="297"/>
      <c r="C134" s="301"/>
      <c r="D134" s="281" t="str">
        <f ca="1">IF(ISERROR(OFFSET('HARGA SATUAN'!$D$6,MATCH(RAB!C134,'HARGA SATUAN'!$C$7:$C$1492,0),0)),"",OFFSET('HARGA SATUAN'!$D$6,MATCH(RAB!C134,'HARGA SATUAN'!$C$7:$C$1492,0),0))</f>
        <v/>
      </c>
      <c r="E134" s="282" t="str">
        <f ca="1">IF(B134="+","Unit",IF(ISERROR(OFFSET('HARGA SATUAN'!$E$6,MATCH(RAB!C134,'HARGA SATUAN'!$C$7:$C$1492,0),0)),"",OFFSET('HARGA SATUAN'!$E$6,MATCH(RAB!C134,'HARGA SATUAN'!$C$7:$C$1492,0),0)))</f>
        <v/>
      </c>
      <c r="F134" s="398"/>
      <c r="G134" s="283">
        <f ca="1">IF(ISERROR(OFFSET('HARGA SATUAN'!$I$6,MATCH(RAB!C134,'HARGA SATUAN'!$C$7:$C$1492,0),0)),0,OFFSET('HARGA SATUAN'!$I$6,MATCH(RAB!C134,'HARGA SATUAN'!$C$7:$C$1492,0),0))</f>
        <v>0</v>
      </c>
      <c r="H134" s="284">
        <f t="shared" ca="1" si="51"/>
        <v>0</v>
      </c>
      <c r="I134" s="284">
        <f t="shared" ca="1" si="52"/>
        <v>0</v>
      </c>
      <c r="J134" s="284">
        <f t="shared" ca="1" si="53"/>
        <v>0</v>
      </c>
      <c r="K134" s="285">
        <f t="shared" ca="1" si="54"/>
        <v>0</v>
      </c>
      <c r="L134" s="265"/>
      <c r="M134" s="265"/>
      <c r="N134" s="290"/>
      <c r="O134" s="267"/>
      <c r="P134" s="267"/>
      <c r="Q134" s="267"/>
      <c r="R134" s="267"/>
      <c r="S134" s="267"/>
      <c r="T134" s="331"/>
      <c r="U134" s="331"/>
      <c r="V134" s="331"/>
    </row>
    <row r="135" spans="1:22" s="288" customFormat="1" ht="15">
      <c r="A135" s="259"/>
      <c r="B135" s="294"/>
      <c r="C135" s="295"/>
      <c r="D135" s="281" t="str">
        <f ca="1">IF(ISERROR(OFFSET('HARGA SATUAN'!$D$6,MATCH(RAB!C135,'HARGA SATUAN'!$C$7:$C$1492,0),0)),"",OFFSET('HARGA SATUAN'!$D$6,MATCH(RAB!C135,'HARGA SATUAN'!$C$7:$C$1492,0),0))</f>
        <v/>
      </c>
      <c r="E135" s="282" t="str">
        <f ca="1">IF(B135="+","Unit",IF(ISERROR(OFFSET('HARGA SATUAN'!$E$6,MATCH(RAB!C135,'HARGA SATUAN'!$C$7:$C$1492,0),0)),"",OFFSET('HARGA SATUAN'!$E$6,MATCH(RAB!C135,'HARGA SATUAN'!$C$7:$C$1492,0),0)))</f>
        <v/>
      </c>
      <c r="F135" s="296"/>
      <c r="G135" s="283">
        <f ca="1">IF(ISERROR(OFFSET('HARGA SATUAN'!$I$6,MATCH(RAB!C135,'HARGA SATUAN'!$C$7:$C$1492,0),0)),0,OFFSET('HARGA SATUAN'!$I$6,MATCH(RAB!C135,'HARGA SATUAN'!$C$7:$C$1492,0),0))</f>
        <v>0</v>
      </c>
      <c r="H135" s="284">
        <f t="shared" ca="1" si="51"/>
        <v>0</v>
      </c>
      <c r="I135" s="284">
        <f t="shared" ca="1" si="52"/>
        <v>0</v>
      </c>
      <c r="J135" s="284">
        <f t="shared" ca="1" si="53"/>
        <v>0</v>
      </c>
      <c r="K135" s="285">
        <f t="shared" ca="1" si="54"/>
        <v>0</v>
      </c>
      <c r="L135" s="265"/>
      <c r="M135" s="265"/>
      <c r="N135" s="290"/>
      <c r="O135" s="267"/>
      <c r="P135" s="267"/>
      <c r="Q135" s="267"/>
      <c r="R135" s="267"/>
      <c r="S135" s="267"/>
      <c r="T135" s="327"/>
      <c r="U135" s="327"/>
      <c r="V135" s="327"/>
    </row>
    <row r="136" spans="1:22" s="288" customFormat="1" ht="15">
      <c r="A136" s="259"/>
      <c r="B136" s="297"/>
      <c r="C136" s="292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296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51"/>
        <v>0</v>
      </c>
      <c r="I136" s="284">
        <f t="shared" ca="1" si="52"/>
        <v>0</v>
      </c>
      <c r="J136" s="284">
        <f t="shared" ca="1" si="53"/>
        <v>0</v>
      </c>
      <c r="K136" s="285">
        <f t="shared" ca="1" si="54"/>
        <v>0</v>
      </c>
      <c r="L136" s="265"/>
      <c r="M136" s="265"/>
      <c r="N136" s="290"/>
      <c r="O136" s="267"/>
      <c r="P136" s="267"/>
      <c r="Q136" s="267"/>
      <c r="R136" s="267"/>
      <c r="S136" s="267"/>
      <c r="T136" s="331"/>
      <c r="U136" s="331"/>
      <c r="V136" s="331"/>
    </row>
    <row r="137" spans="1:22" s="288" customFormat="1" ht="15">
      <c r="A137" s="259"/>
      <c r="B137" s="294"/>
      <c r="C137" s="302"/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296"/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51"/>
        <v>0</v>
      </c>
      <c r="I137" s="284">
        <f t="shared" ca="1" si="52"/>
        <v>0</v>
      </c>
      <c r="J137" s="284">
        <f t="shared" ca="1" si="53"/>
        <v>0</v>
      </c>
      <c r="K137" s="285">
        <f t="shared" ca="1" si="54"/>
        <v>0</v>
      </c>
      <c r="L137" s="334" t="e">
        <f ca="1">PROPER([92]!terbilang(K149))</f>
        <v>#NAME?</v>
      </c>
      <c r="M137" s="334"/>
      <c r="N137" s="290"/>
      <c r="O137" s="267"/>
      <c r="P137" s="267"/>
      <c r="Q137" s="267"/>
    </row>
    <row r="138" spans="1:22" s="288" customFormat="1" ht="15">
      <c r="A138" s="259"/>
      <c r="B138" s="297"/>
      <c r="C138" s="298"/>
      <c r="D138" s="281" t="str">
        <f ca="1">IF(ISERROR(OFFSET('HARGA SATUAN'!$D$6,MATCH(RAB!C138,'HARGA SATUAN'!$C$7:$C$1492,0),0)),"",OFFSET('HARGA SATUAN'!$D$6,MATCH(RAB!C138,'HARGA SATUAN'!$C$7:$C$1492,0),0))</f>
        <v/>
      </c>
      <c r="E138" s="282" t="str">
        <f ca="1">IF(B138="+","Unit",IF(ISERROR(OFFSET('HARGA SATUAN'!$E$6,MATCH(RAB!C138,'HARGA SATUAN'!$C$7:$C$1492,0),0)),"",OFFSET('HARGA SATUAN'!$E$6,MATCH(RAB!C138,'HARGA SATUAN'!$C$7:$C$1492,0),0)))</f>
        <v/>
      </c>
      <c r="F138" s="296"/>
      <c r="G138" s="283">
        <f ca="1">IF(ISERROR(OFFSET('HARGA SATUAN'!$I$6,MATCH(RAB!C138,'HARGA SATUAN'!$C$7:$C$1492,0),0)),0,OFFSET('HARGA SATUAN'!$I$6,MATCH(RAB!C138,'HARGA SATUAN'!$C$7:$C$1492,0),0))</f>
        <v>0</v>
      </c>
      <c r="H138" s="284">
        <f t="shared" ca="1" si="51"/>
        <v>0</v>
      </c>
      <c r="I138" s="284">
        <f t="shared" ca="1" si="52"/>
        <v>0</v>
      </c>
      <c r="J138" s="284">
        <f t="shared" ca="1" si="53"/>
        <v>0</v>
      </c>
      <c r="K138" s="285">
        <f t="shared" ca="1" si="54"/>
        <v>0</v>
      </c>
      <c r="L138" s="265"/>
      <c r="M138" s="265"/>
      <c r="N138" s="290"/>
      <c r="O138" s="267"/>
      <c r="P138" s="326"/>
      <c r="Q138" s="267"/>
    </row>
    <row r="139" spans="1:22" s="288" customFormat="1" ht="15">
      <c r="A139" s="259"/>
      <c r="B139" s="297"/>
      <c r="C139" s="298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293"/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51"/>
        <v>0</v>
      </c>
      <c r="I139" s="284">
        <f t="shared" ca="1" si="52"/>
        <v>0</v>
      </c>
      <c r="J139" s="284">
        <f t="shared" ca="1" si="53"/>
        <v>0</v>
      </c>
      <c r="K139" s="285">
        <f t="shared" ca="1" si="54"/>
        <v>0</v>
      </c>
      <c r="L139" s="265"/>
      <c r="M139" s="265"/>
      <c r="N139" s="290"/>
      <c r="O139" s="267"/>
      <c r="P139" s="267"/>
      <c r="Q139" s="267"/>
    </row>
    <row r="140" spans="1:22" s="288" customFormat="1" ht="15">
      <c r="A140" s="259"/>
      <c r="B140" s="297"/>
      <c r="C140" s="292"/>
      <c r="D140" s="281" t="str">
        <f ca="1">IF(ISERROR(OFFSET('HARGA SATUAN'!$D$6,MATCH(RAB!C140,'HARGA SATUAN'!$C$7:$C$1492,0),0)),"",OFFSET('HARGA SATUAN'!$D$6,MATCH(RAB!C140,'HARGA SATUAN'!$C$7:$C$1492,0),0))</f>
        <v/>
      </c>
      <c r="E140" s="282" t="str">
        <f ca="1">IF(B140="+","Unit",IF(ISERROR(OFFSET('HARGA SATUAN'!$E$6,MATCH(RAB!C140,'HARGA SATUAN'!$C$7:$C$1492,0),0)),"",OFFSET('HARGA SATUAN'!$E$6,MATCH(RAB!C140,'HARGA SATUAN'!$C$7:$C$1492,0),0)))</f>
        <v/>
      </c>
      <c r="F140" s="293"/>
      <c r="G140" s="283">
        <f ca="1">IF(ISERROR(OFFSET('HARGA SATUAN'!$I$6,MATCH(RAB!C140,'HARGA SATUAN'!$C$7:$C$1492,0),0)),0,OFFSET('HARGA SATUAN'!$I$6,MATCH(RAB!C140,'HARGA SATUAN'!$C$7:$C$1492,0),0))</f>
        <v>0</v>
      </c>
      <c r="H140" s="284">
        <f t="shared" ca="1" si="51"/>
        <v>0</v>
      </c>
      <c r="I140" s="284">
        <f t="shared" ca="1" si="52"/>
        <v>0</v>
      </c>
      <c r="J140" s="284">
        <f t="shared" ca="1" si="53"/>
        <v>0</v>
      </c>
      <c r="K140" s="285">
        <f t="shared" ca="1" si="54"/>
        <v>0</v>
      </c>
      <c r="L140" s="265"/>
      <c r="M140" s="265"/>
      <c r="N140" s="290"/>
      <c r="O140" s="267"/>
      <c r="P140" s="267"/>
      <c r="Q140" s="267"/>
    </row>
    <row r="141" spans="1:22" s="288" customFormat="1" ht="15">
      <c r="A141" s="259"/>
      <c r="B141" s="399"/>
      <c r="C141" s="400"/>
      <c r="D141" s="281" t="str">
        <f ca="1">IF(ISERROR(OFFSET('HARGA SATUAN'!$D$6,MATCH(RAB!C141,'HARGA SATUAN'!$C$7:$C$1492,0),0)),"",OFFSET('HARGA SATUAN'!$D$6,MATCH(RAB!C141,'HARGA SATUAN'!$C$7:$C$1492,0),0))</f>
        <v/>
      </c>
      <c r="E141" s="282" t="str">
        <f ca="1">IF(B141="+","Unit",IF(ISERROR(OFFSET('HARGA SATUAN'!$E$6,MATCH(RAB!C141,'HARGA SATUAN'!$C$7:$C$1492,0),0)),"",OFFSET('HARGA SATUAN'!$E$6,MATCH(RAB!C141,'HARGA SATUAN'!$C$7:$C$1492,0),0)))</f>
        <v/>
      </c>
      <c r="F141" s="398"/>
      <c r="G141" s="283">
        <f ca="1">IF(ISERROR(OFFSET('HARGA SATUAN'!$I$6,MATCH(RAB!C141,'HARGA SATUAN'!$C$7:$C$1492,0),0)),0,OFFSET('HARGA SATUAN'!$I$6,MATCH(RAB!C141,'HARGA SATUAN'!$C$7:$C$1492,0),0))</f>
        <v>0</v>
      </c>
      <c r="H141" s="284">
        <f t="shared" ca="1" si="51"/>
        <v>0</v>
      </c>
      <c r="I141" s="284">
        <f t="shared" ca="1" si="52"/>
        <v>0</v>
      </c>
      <c r="J141" s="284">
        <f t="shared" ca="1" si="53"/>
        <v>0</v>
      </c>
      <c r="K141" s="285">
        <f t="shared" ca="1" si="54"/>
        <v>0</v>
      </c>
      <c r="L141" s="265"/>
      <c r="M141" s="265"/>
      <c r="N141" s="290"/>
      <c r="O141" s="267"/>
      <c r="P141" s="267"/>
      <c r="Q141" s="267"/>
    </row>
    <row r="142" spans="1:22" ht="15">
      <c r="B142" s="303"/>
      <c r="C142" s="292"/>
      <c r="D142" s="281" t="str">
        <f ca="1">IF(ISERROR(OFFSET('HARGA SATUAN'!$D$6,MATCH(RAB!C142,'HARGA SATUAN'!$C$7:$C$1492,0),0)),"",OFFSET('HARGA SATUAN'!$D$6,MATCH(RAB!C142,'HARGA SATUAN'!$C$7:$C$1492,0),0))</f>
        <v/>
      </c>
      <c r="E142" s="282" t="str">
        <f ca="1">IF(B142="+","Unit",IF(ISERROR(OFFSET('HARGA SATUAN'!$E$6,MATCH(RAB!C142,'HARGA SATUAN'!$C$7:$C$1492,0),0)),"",OFFSET('HARGA SATUAN'!$E$6,MATCH(RAB!C142,'HARGA SATUAN'!$C$7:$C$1492,0),0)))</f>
        <v/>
      </c>
      <c r="F142" s="289"/>
      <c r="G142" s="283">
        <f ca="1">IF(ISERROR(OFFSET('HARGA SATUAN'!$I$6,MATCH(RAB!C142,'HARGA SATUAN'!$C$7:$C$1492,0),0)),0,OFFSET('HARGA SATUAN'!$I$6,MATCH(RAB!C142,'HARGA SATUAN'!$C$7:$C$1492,0),0))</f>
        <v>0</v>
      </c>
      <c r="H142" s="284">
        <f t="shared" ca="1" si="51"/>
        <v>0</v>
      </c>
      <c r="I142" s="284">
        <f t="shared" ca="1" si="52"/>
        <v>0</v>
      </c>
      <c r="J142" s="284">
        <f t="shared" ca="1" si="53"/>
        <v>0</v>
      </c>
      <c r="K142" s="285">
        <f t="shared" ca="1" si="54"/>
        <v>0</v>
      </c>
    </row>
    <row r="143" spans="1:22" ht="15">
      <c r="B143" s="304"/>
      <c r="C143" s="305" t="s">
        <v>465</v>
      </c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306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ref="H143" ca="1" si="59">IF(OR(D143="MDU",D143="MDU-KD"),(IF($O$3="RAB NON MDU","PLN KD",G143*F143)),0)</f>
        <v>0</v>
      </c>
      <c r="I143" s="284">
        <f ca="1">IF(D143="HDW",G143*F143,0)</f>
        <v>0</v>
      </c>
      <c r="J143" s="284">
        <f ca="1">IF(D143="JASA",G143*F143,0)</f>
        <v>0</v>
      </c>
      <c r="K143" s="285">
        <f ca="1">SUM(H143:J143)</f>
        <v>0</v>
      </c>
    </row>
    <row r="144" spans="1:22" ht="15">
      <c r="B144" s="307">
        <v>1</v>
      </c>
      <c r="C144" s="308" t="s">
        <v>1062</v>
      </c>
      <c r="D144" s="309" t="str">
        <f ca="1">IF(ISERROR(OFFSET('HARGA SATUAN'!$D$6,MATCH(RAB!C144,'HARGA SATUAN'!$C$7:$C$1492,0),0)),"",OFFSET('HARGA SATUAN'!$D$6,MATCH(RAB!C144,'HARGA SATUAN'!$C$7:$C$1492,0),0))</f>
        <v>JASA</v>
      </c>
      <c r="E144" s="310" t="str">
        <f ca="1">IF(ISERROR(OFFSET('HARGA SATUAN'!$E$6,MATCH(RAB!C144,'HARGA SATUAN'!$C$7:$C$1492,0),0)),"",OFFSET('HARGA SATUAN'!$E$6,MATCH(RAB!C144,'HARGA SATUAN'!$C$7:$C$1492,0),0))</f>
        <v>Lot</v>
      </c>
      <c r="F144" s="311">
        <v>1</v>
      </c>
      <c r="G144" s="312">
        <f ca="1">IF(ISERROR(OFFSET('HARGA SATUAN'!$I$6,MATCH(RAB!C144,'HARGA SATUAN'!$C$7:$C$1492,0),0)),0,OFFSET('HARGA SATUAN'!$I$6,MATCH(RAB!C144,'HARGA SATUAN'!$C$7:$C$1492,0),0))</f>
        <v>2.5000000000000001E-2</v>
      </c>
      <c r="H144" s="313"/>
      <c r="I144" s="313"/>
      <c r="J144" s="313">
        <f ca="1">SUM(K15:K142)*G144</f>
        <v>2668754.36</v>
      </c>
      <c r="K144" s="314">
        <f ca="1">SUM(H144:J144)</f>
        <v>2668754.36</v>
      </c>
    </row>
    <row r="145" spans="2:13" ht="15">
      <c r="B145" s="315"/>
      <c r="C145" s="316"/>
      <c r="D145" s="281" t="str">
        <f ca="1">IF(ISERROR(OFFSET('HARGA SATUAN'!$D$6,MATCH(RAB!C145,'HARGA SATUAN'!$C$7:$C$1492,0),0)),"",OFFSET('HARGA SATUAN'!$D$6,MATCH(RAB!C145,'HARGA SATUAN'!$C$7:$C$1492,0),0))</f>
        <v/>
      </c>
      <c r="E145" s="282" t="str">
        <f ca="1">IF(ISERROR(OFFSET('HARGA SATUAN'!$E$6,MATCH(RAB!C145,'HARGA SATUAN'!$C$7:$C$1492,0),0)),"",OFFSET('HARGA SATUAN'!$E$6,MATCH(RAB!C145,'HARGA SATUAN'!$C$7:$C$1492,0),0))</f>
        <v/>
      </c>
      <c r="F145" s="306"/>
      <c r="G145" s="283" t="str">
        <f ca="1">IF(ISERROR(OFFSET('HARGA SATUAN'!$I$6,MATCH(RAB!C145,'HARGA SATUAN'!$C$7:$C$1492,0),0)),"",OFFSET('HARGA SATUAN'!$I$6,MATCH(RAB!C145,'HARGA SATUAN'!$C$7:$C$1492,0),0))</f>
        <v/>
      </c>
      <c r="H145" s="284">
        <f ca="1">IF(OR(D145="MDU",D145="MDU-KD"),IF(G145="PLN",0,G145*F145),0)</f>
        <v>0</v>
      </c>
      <c r="I145" s="284">
        <f ca="1">IF(D145="HDW",IF(G145="PLN",0,G145*F145),0)</f>
        <v>0</v>
      </c>
      <c r="J145" s="284">
        <f ca="1">IF(D145="JASA",IF(G145="PLN",0,G145*F145),0)</f>
        <v>0</v>
      </c>
      <c r="K145" s="285">
        <f ca="1">SUM(H145:J145)</f>
        <v>0</v>
      </c>
    </row>
    <row r="146" spans="2:13" ht="15" thickBot="1">
      <c r="B146" s="317"/>
      <c r="C146" s="318"/>
      <c r="D146" s="319"/>
      <c r="E146" s="320"/>
      <c r="F146" s="320"/>
      <c r="G146" s="320"/>
      <c r="H146" s="321"/>
      <c r="I146" s="321"/>
      <c r="J146" s="321"/>
      <c r="K146" s="322"/>
    </row>
    <row r="147" spans="2:13">
      <c r="B147" s="323"/>
      <c r="C147" s="628" t="s">
        <v>981</v>
      </c>
      <c r="D147" s="628"/>
      <c r="E147" s="628"/>
      <c r="F147" s="628"/>
      <c r="G147" s="324" t="s">
        <v>9</v>
      </c>
      <c r="H147" s="325">
        <f ca="1">SUM(H14:H145)</f>
        <v>82975950</v>
      </c>
      <c r="I147" s="325">
        <f ca="1">SUM(I14:I145)</f>
        <v>18839357.733333334</v>
      </c>
      <c r="J147" s="325">
        <f ca="1">SUM(J14:J145)</f>
        <v>7603621.0266666654</v>
      </c>
      <c r="K147" s="325">
        <f ca="1">SUM(K14:K145)</f>
        <v>109418928.75999999</v>
      </c>
    </row>
    <row r="148" spans="2:13">
      <c r="B148" s="328"/>
      <c r="C148" s="645" t="s">
        <v>1429</v>
      </c>
      <c r="D148" s="645"/>
      <c r="E148" s="645"/>
      <c r="F148" s="645"/>
      <c r="G148" s="329" t="s">
        <v>9</v>
      </c>
      <c r="H148" s="330">
        <f ca="1">H147*0.11</f>
        <v>9127354.5</v>
      </c>
      <c r="I148" s="330">
        <f ca="1">I147*0.11</f>
        <v>2072329.3506666669</v>
      </c>
      <c r="J148" s="330">
        <f ca="1">J147*0.11</f>
        <v>836398.31293333322</v>
      </c>
      <c r="K148" s="330">
        <f ca="1">K147*0.11</f>
        <v>12036082.1636</v>
      </c>
    </row>
    <row r="149" spans="2:13" ht="15" thickBot="1">
      <c r="B149" s="328"/>
      <c r="C149" s="644" t="s">
        <v>453</v>
      </c>
      <c r="D149" s="644"/>
      <c r="E149" s="644"/>
      <c r="F149" s="644"/>
      <c r="G149" s="332" t="s">
        <v>9</v>
      </c>
      <c r="H149" s="333">
        <f ca="1">SUM(H147:H148)</f>
        <v>92103304.5</v>
      </c>
      <c r="I149" s="333">
        <f ca="1">SUM(I147:I148)</f>
        <v>20911687.084000003</v>
      </c>
      <c r="J149" s="332">
        <f ca="1">SUM(J147:J148)</f>
        <v>8440019.3395999987</v>
      </c>
      <c r="K149" s="332">
        <f ca="1">SUM(K147:K148)</f>
        <v>121455010.92359999</v>
      </c>
      <c r="M149" s="401"/>
    </row>
    <row r="150" spans="2:13">
      <c r="B150" s="646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Satu Juta Empat Ratus Lima Puluh Lima Ribu Sebelas Rupiah</v>
      </c>
      <c r="C150" s="647"/>
      <c r="D150" s="647"/>
      <c r="E150" s="647"/>
      <c r="F150" s="647"/>
      <c r="G150" s="647"/>
      <c r="H150" s="647"/>
      <c r="I150" s="647"/>
      <c r="J150" s="647"/>
      <c r="K150" s="648"/>
    </row>
    <row r="151" spans="2:13">
      <c r="B151" s="649"/>
      <c r="C151" s="650"/>
      <c r="D151" s="650"/>
      <c r="E151" s="650"/>
      <c r="F151" s="650"/>
      <c r="G151" s="650"/>
      <c r="H151" s="650"/>
      <c r="I151" s="650"/>
      <c r="J151" s="650"/>
      <c r="K151" s="651"/>
    </row>
    <row r="152" spans="2:13" ht="15" thickBot="1">
      <c r="B152" s="335" t="str">
        <f>"Harga yang dipakai adalah "&amp;'HARGA SATUAN'!I5&amp;""</f>
        <v>Harga yang dipakai adalah RAB HSS 2023</v>
      </c>
      <c r="C152" s="336"/>
      <c r="D152" s="337"/>
      <c r="E152" s="337"/>
      <c r="F152" s="337"/>
      <c r="G152" s="338"/>
      <c r="H152" s="338"/>
      <c r="I152" s="338"/>
      <c r="J152" s="338"/>
      <c r="K152" s="339"/>
    </row>
    <row r="153" spans="2:13">
      <c r="C153" s="340"/>
      <c r="E153" s="342"/>
      <c r="F153" s="342"/>
      <c r="G153" s="342"/>
    </row>
    <row r="154" spans="2:13">
      <c r="C154" s="260"/>
      <c r="E154" s="342"/>
      <c r="F154" s="342"/>
      <c r="G154" s="342"/>
      <c r="H154" s="652"/>
      <c r="I154" s="652"/>
      <c r="J154" s="653"/>
      <c r="K154" s="653"/>
    </row>
    <row r="155" spans="2:13">
      <c r="C155" s="260"/>
      <c r="E155" s="342"/>
      <c r="F155" s="342"/>
      <c r="G155" s="342"/>
      <c r="H155" s="343"/>
      <c r="I155" s="643" t="s">
        <v>1652</v>
      </c>
      <c r="J155" s="643"/>
      <c r="K155" s="643"/>
    </row>
    <row r="156" spans="2:13">
      <c r="C156" s="260"/>
      <c r="E156" s="342"/>
      <c r="F156" s="342"/>
      <c r="G156" s="342"/>
      <c r="H156" s="343"/>
      <c r="I156" s="643" t="s">
        <v>1653</v>
      </c>
      <c r="J156" s="643"/>
      <c r="K156" s="643"/>
    </row>
    <row r="157" spans="2:13">
      <c r="C157" s="260"/>
      <c r="E157" s="342"/>
      <c r="F157" s="342"/>
      <c r="G157" s="342"/>
      <c r="H157" s="344"/>
      <c r="I157" s="345"/>
      <c r="J157" s="345"/>
      <c r="K157" s="345"/>
    </row>
    <row r="158" spans="2:13">
      <c r="C158" s="260"/>
      <c r="E158" s="342"/>
      <c r="F158" s="342"/>
      <c r="G158" s="342"/>
      <c r="H158" s="344"/>
      <c r="I158" s="344"/>
      <c r="J158" s="344"/>
      <c r="K158" s="344"/>
    </row>
    <row r="159" spans="2:13">
      <c r="C159" s="260"/>
      <c r="E159" s="342"/>
      <c r="F159" s="342"/>
      <c r="G159" s="342"/>
      <c r="H159" s="344"/>
      <c r="I159" s="344"/>
      <c r="J159" s="344"/>
      <c r="K159" s="344"/>
    </row>
    <row r="160" spans="2:13">
      <c r="C160" s="260"/>
      <c r="E160" s="342"/>
      <c r="F160" s="342"/>
      <c r="G160" s="342"/>
      <c r="H160" s="344"/>
      <c r="I160" s="344"/>
      <c r="J160" s="344"/>
      <c r="K160" s="344"/>
    </row>
    <row r="161" spans="3:11">
      <c r="C161" s="260"/>
      <c r="E161" s="342"/>
      <c r="F161" s="342"/>
      <c r="G161" s="342"/>
      <c r="H161" s="346"/>
      <c r="I161" s="643" t="s">
        <v>1654</v>
      </c>
      <c r="J161" s="643"/>
      <c r="K161" s="643"/>
    </row>
    <row r="162" spans="3:11">
      <c r="C162" s="340"/>
      <c r="E162" s="342"/>
      <c r="F162" s="342"/>
      <c r="G162" s="342"/>
      <c r="H162" s="344"/>
      <c r="I162" s="344"/>
      <c r="J162" s="344"/>
      <c r="K162" s="344"/>
    </row>
    <row r="163" spans="3:11">
      <c r="C163" s="340"/>
      <c r="E163" s="342"/>
      <c r="F163" s="342"/>
      <c r="G163" s="342"/>
      <c r="H163" s="344"/>
      <c r="I163" s="344"/>
      <c r="J163" s="344"/>
      <c r="K163" s="344"/>
    </row>
    <row r="164" spans="3:11">
      <c r="C164" s="340"/>
      <c r="E164" s="342"/>
      <c r="F164" s="342"/>
      <c r="G164" s="342"/>
      <c r="H164" s="344"/>
      <c r="I164" s="344"/>
      <c r="J164" s="344"/>
      <c r="K164" s="344"/>
    </row>
  </sheetData>
  <sheetProtection sort="0" autoFilter="0"/>
  <protectedRanges>
    <protectedRange sqref="B142 B71:C71 B72 B73:C76 B70 B35:C36 B118:C118 B119 B120:C128 B141:C141 B78:C78 B79 B80:C83 B77 B85:C85 B86 B87:C90 B84 B117 B97:B98 B99:C99 B100 B101:C109" name="Range1_1"/>
    <protectedRange sqref="F97 F142" name="Range1_1_3"/>
    <protectedRange sqref="F15" name="Range1_1_2_2"/>
    <protectedRange sqref="B135:C135 B136 B137:C140 B134 B129:C129 B132:C133 B130:B131 B116:C116 B115 B110:C110 B113:C114 B111:B112" name="Range1_1_1"/>
    <protectedRange sqref="C131 C112" name="Range1_1_4"/>
  </protectedRanges>
  <mergeCells count="22">
    <mergeCell ref="I156:K156"/>
    <mergeCell ref="I161:K161"/>
    <mergeCell ref="C149:F149"/>
    <mergeCell ref="I155:K155"/>
    <mergeCell ref="C148:F148"/>
    <mergeCell ref="B150:K151"/>
    <mergeCell ref="H154:K154"/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6" type="noConversion"/>
  <conditionalFormatting sqref="C15:C18">
    <cfRule type="cellIs" dxfId="19" priority="149" operator="equal">
      <formula>0</formula>
    </cfRule>
  </conditionalFormatting>
  <conditionalFormatting sqref="C76">
    <cfRule type="cellIs" dxfId="18" priority="43" operator="equal">
      <formula>0</formula>
    </cfRule>
  </conditionalFormatting>
  <conditionalFormatting sqref="C90">
    <cfRule type="cellIs" dxfId="17" priority="15" operator="equal">
      <formula>0</formula>
    </cfRule>
  </conditionalFormatting>
  <conditionalFormatting sqref="C136">
    <cfRule type="cellIs" dxfId="16" priority="49" operator="equal">
      <formula>0</formula>
    </cfRule>
  </conditionalFormatting>
  <conditionalFormatting sqref="C140">
    <cfRule type="cellIs" dxfId="15" priority="50" operator="equal">
      <formula>0</formula>
    </cfRule>
  </conditionalFormatting>
  <conditionalFormatting sqref="C142">
    <cfRule type="cellIs" dxfId="14" priority="123" operator="equal">
      <formula>0</formula>
    </cfRule>
  </conditionalFormatting>
  <conditionalFormatting sqref="E1:E3 G1:G13 H12:I12 O13 H142:K146 G143:H143 E145:H145 E146:F146">
    <cfRule type="cellIs" dxfId="13" priority="926" stopIfTrue="1" operator="equal">
      <formula>0</formula>
    </cfRule>
  </conditionalFormatting>
  <conditionalFormatting sqref="E5:E101">
    <cfRule type="cellIs" dxfId="12" priority="2" stopIfTrue="1" operator="equal">
      <formula>0</formula>
    </cfRule>
  </conditionalFormatting>
  <conditionalFormatting sqref="E142:G144">
    <cfRule type="cellIs" dxfId="11" priority="122" stopIfTrue="1" operator="equal">
      <formula>0</formula>
    </cfRule>
  </conditionalFormatting>
  <conditionalFormatting sqref="E102:K141">
    <cfRule type="cellIs" dxfId="10" priority="1" stopIfTrue="1" operator="equal">
      <formula>0</formula>
    </cfRule>
  </conditionalFormatting>
  <conditionalFormatting sqref="F22:F50">
    <cfRule type="cellIs" dxfId="9" priority="27" stopIfTrue="1" operator="equal">
      <formula>0</formula>
    </cfRule>
  </conditionalFormatting>
  <conditionalFormatting sqref="F52:F60">
    <cfRule type="cellIs" dxfId="8" priority="57" stopIfTrue="1" operator="equal">
      <formula>0</formula>
    </cfRule>
  </conditionalFormatting>
  <conditionalFormatting sqref="F64:F68">
    <cfRule type="cellIs" dxfId="7" priority="56" stopIfTrue="1" operator="equal">
      <formula>0</formula>
    </cfRule>
  </conditionalFormatting>
  <conditionalFormatting sqref="F70:F95">
    <cfRule type="cellIs" dxfId="6" priority="9" stopIfTrue="1" operator="equal">
      <formula>0</formula>
    </cfRule>
  </conditionalFormatting>
  <conditionalFormatting sqref="F97:F101">
    <cfRule type="cellIs" dxfId="5" priority="5" stopIfTrue="1" operator="equal">
      <formula>0</formula>
    </cfRule>
  </conditionalFormatting>
  <conditionalFormatting sqref="F14:K20">
    <cfRule type="cellIs" dxfId="4" priority="148" stopIfTrue="1" operator="equal">
      <formula>0</formula>
    </cfRule>
  </conditionalFormatting>
  <conditionalFormatting sqref="G145:G65611 E150:E65611">
    <cfRule type="cellIs" dxfId="3" priority="60" stopIfTrue="1" operator="equal">
      <formula>0</formula>
    </cfRule>
  </conditionalFormatting>
  <conditionalFormatting sqref="G21:K101">
    <cfRule type="cellIs" dxfId="2" priority="4" stopIfTrue="1" operator="equal">
      <formula>0</formula>
    </cfRule>
  </conditionalFormatting>
  <conditionalFormatting sqref="S14:V108">
    <cfRule type="cellIs" dxfId="1" priority="3" stopIfTrue="1" operator="equal">
      <formula>0</formula>
    </cfRule>
  </conditionalFormatting>
  <conditionalFormatting sqref="S117:V127">
    <cfRule type="cellIs" dxfId="0" priority="16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2:F95 F52:F60 F64:F68 F141 F71:F75 F16:F20 F22:F49 F77:F83 F89 F85:F87 F117:F130 F133:F134 H14:K146 F98:F111 F114:F1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7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DA98-BDBA-4429-87C2-82C0552E52C7}">
  <sheetPr>
    <tabColor rgb="FF92D050"/>
  </sheetPr>
  <dimension ref="C1:AD55"/>
  <sheetViews>
    <sheetView showGridLines="0" view="pageBreakPreview" topLeftCell="A19" zoomScaleNormal="100" zoomScaleSheetLayoutView="100" workbookViewId="0">
      <selection activeCell="S41" sqref="S41"/>
    </sheetView>
  </sheetViews>
  <sheetFormatPr baseColWidth="10" defaultColWidth="9.1640625" defaultRowHeight="12"/>
  <cols>
    <col min="1" max="2" width="1.5" style="431" customWidth="1"/>
    <col min="3" max="3" width="7.5" style="431" customWidth="1"/>
    <col min="4" max="23" width="5.6640625" style="431" customWidth="1"/>
    <col min="24" max="24" width="6.33203125" style="431" customWidth="1"/>
    <col min="25" max="26" width="5.6640625" style="431" customWidth="1"/>
    <col min="27" max="27" width="6.5" style="431" customWidth="1"/>
    <col min="28" max="118" width="5.6640625" style="431" customWidth="1"/>
    <col min="119" max="16384" width="9.1640625" style="431"/>
  </cols>
  <sheetData>
    <row r="1" spans="3:30" ht="13" thickBot="1"/>
    <row r="2" spans="3:30" ht="12.75" customHeight="1">
      <c r="C2" s="432"/>
      <c r="D2" s="433"/>
      <c r="E2" s="433"/>
      <c r="F2" s="433"/>
      <c r="G2" s="433"/>
      <c r="H2" s="433"/>
      <c r="I2" s="433"/>
      <c r="J2" s="433"/>
      <c r="K2" s="433"/>
      <c r="L2" s="433"/>
      <c r="M2" s="433"/>
      <c r="N2" s="433"/>
      <c r="O2" s="433"/>
      <c r="P2" s="433"/>
      <c r="Q2" s="433"/>
      <c r="R2" s="433"/>
      <c r="S2" s="433"/>
      <c r="T2" s="433"/>
      <c r="U2" s="433"/>
      <c r="V2" s="433"/>
      <c r="W2" s="715" t="s">
        <v>1410</v>
      </c>
      <c r="X2" s="716"/>
      <c r="Y2" s="716"/>
      <c r="Z2" s="716"/>
      <c r="AA2" s="716"/>
      <c r="AB2" s="716"/>
      <c r="AC2" s="716"/>
      <c r="AD2" s="717"/>
    </row>
    <row r="3" spans="3:30">
      <c r="C3" s="434"/>
      <c r="D3" s="435" t="s">
        <v>1596</v>
      </c>
      <c r="E3" s="435"/>
      <c r="F3" s="436"/>
      <c r="G3" s="435"/>
      <c r="H3" s="435"/>
      <c r="I3" s="435"/>
      <c r="J3" s="435"/>
      <c r="K3" s="436"/>
      <c r="L3" s="436"/>
      <c r="W3" s="718"/>
      <c r="X3" s="719"/>
      <c r="Y3" s="719"/>
      <c r="Z3" s="719"/>
      <c r="AA3" s="719"/>
      <c r="AB3" s="719"/>
      <c r="AC3" s="719"/>
      <c r="AD3" s="720"/>
    </row>
    <row r="4" spans="3:30">
      <c r="C4" s="434"/>
      <c r="D4" s="710"/>
      <c r="E4" s="710"/>
      <c r="F4" s="437" t="s">
        <v>1597</v>
      </c>
      <c r="G4" s="711" t="s">
        <v>1598</v>
      </c>
      <c r="H4" s="712"/>
      <c r="I4" s="711" t="s">
        <v>1599</v>
      </c>
      <c r="J4" s="712"/>
      <c r="K4" s="713" t="s">
        <v>1600</v>
      </c>
      <c r="L4" s="714"/>
      <c r="W4" s="438" t="s">
        <v>1601</v>
      </c>
      <c r="AD4" s="439"/>
    </row>
    <row r="5" spans="3:30">
      <c r="C5" s="434"/>
      <c r="D5" s="710" t="s">
        <v>1602</v>
      </c>
      <c r="E5" s="710"/>
      <c r="F5" s="437"/>
      <c r="G5" s="711"/>
      <c r="H5" s="712"/>
      <c r="I5" s="711"/>
      <c r="J5" s="712"/>
      <c r="K5" s="713"/>
      <c r="L5" s="714"/>
      <c r="W5" s="440" t="s">
        <v>1603</v>
      </c>
      <c r="X5" s="660" t="s">
        <v>1604</v>
      </c>
      <c r="Y5" s="660"/>
      <c r="Z5" s="660"/>
      <c r="AA5" s="660" t="s">
        <v>1605</v>
      </c>
      <c r="AB5" s="660"/>
      <c r="AC5" s="660" t="s">
        <v>1606</v>
      </c>
      <c r="AD5" s="661"/>
    </row>
    <row r="6" spans="3:30">
      <c r="C6" s="434"/>
      <c r="D6" s="710" t="s">
        <v>1607</v>
      </c>
      <c r="E6" s="710"/>
      <c r="F6" s="437"/>
      <c r="G6" s="711"/>
      <c r="H6" s="712"/>
      <c r="I6" s="711"/>
      <c r="J6" s="712"/>
      <c r="K6" s="713"/>
      <c r="L6" s="714"/>
      <c r="W6" s="440">
        <v>1</v>
      </c>
      <c r="X6" s="660" t="s">
        <v>1608</v>
      </c>
      <c r="Y6" s="660"/>
      <c r="Z6" s="660"/>
      <c r="AA6" s="660"/>
      <c r="AB6" s="660"/>
      <c r="AC6" s="660"/>
      <c r="AD6" s="661"/>
    </row>
    <row r="7" spans="3:30">
      <c r="C7" s="434"/>
      <c r="W7" s="440">
        <v>2</v>
      </c>
      <c r="X7" s="660" t="s">
        <v>1609</v>
      </c>
      <c r="Y7" s="660"/>
      <c r="Z7" s="660"/>
      <c r="AA7" s="660"/>
      <c r="AB7" s="660"/>
      <c r="AC7" s="660"/>
      <c r="AD7" s="661"/>
    </row>
    <row r="8" spans="3:30">
      <c r="C8" s="434"/>
      <c r="W8" s="440">
        <v>3</v>
      </c>
      <c r="X8" s="660" t="s">
        <v>1610</v>
      </c>
      <c r="Y8" s="660"/>
      <c r="Z8" s="660"/>
      <c r="AA8" s="660"/>
      <c r="AB8" s="660"/>
      <c r="AC8" s="660"/>
      <c r="AD8" s="661"/>
    </row>
    <row r="9" spans="3:30">
      <c r="C9" s="434"/>
      <c r="W9" s="440">
        <v>4</v>
      </c>
      <c r="X9" s="660" t="s">
        <v>1611</v>
      </c>
      <c r="Y9" s="660"/>
      <c r="Z9" s="660"/>
      <c r="AA9" s="660"/>
      <c r="AB9" s="660"/>
      <c r="AC9" s="660"/>
      <c r="AD9" s="661"/>
    </row>
    <row r="10" spans="3:30">
      <c r="C10" s="434"/>
      <c r="W10" s="440">
        <v>5</v>
      </c>
      <c r="X10" s="660" t="s">
        <v>1612</v>
      </c>
      <c r="Y10" s="660"/>
      <c r="Z10" s="660"/>
      <c r="AA10" s="660"/>
      <c r="AB10" s="660"/>
      <c r="AC10" s="660"/>
      <c r="AD10" s="661"/>
    </row>
    <row r="11" spans="3:30">
      <c r="C11" s="434"/>
      <c r="W11" s="440">
        <v>6</v>
      </c>
      <c r="X11" s="660" t="s">
        <v>1613</v>
      </c>
      <c r="Y11" s="660"/>
      <c r="Z11" s="660"/>
      <c r="AA11" s="660"/>
      <c r="AB11" s="660"/>
      <c r="AC11" s="660"/>
      <c r="AD11" s="661"/>
    </row>
    <row r="12" spans="3:30">
      <c r="C12" s="434"/>
      <c r="W12" s="440">
        <v>7</v>
      </c>
      <c r="X12" s="660" t="s">
        <v>1614</v>
      </c>
      <c r="Y12" s="660"/>
      <c r="Z12" s="660"/>
      <c r="AA12" s="660"/>
      <c r="AB12" s="660"/>
      <c r="AC12" s="660"/>
      <c r="AD12" s="661"/>
    </row>
    <row r="13" spans="3:30" ht="12.75" customHeight="1">
      <c r="C13" s="434"/>
      <c r="W13" s="440">
        <v>8</v>
      </c>
      <c r="X13" s="660" t="s">
        <v>1615</v>
      </c>
      <c r="Y13" s="660"/>
      <c r="Z13" s="660"/>
      <c r="AA13" s="660"/>
      <c r="AB13" s="660"/>
      <c r="AC13" s="660"/>
      <c r="AD13" s="661"/>
    </row>
    <row r="14" spans="3:30">
      <c r="C14" s="434"/>
      <c r="W14" s="440">
        <v>9</v>
      </c>
      <c r="X14" s="660" t="s">
        <v>1616</v>
      </c>
      <c r="Y14" s="660"/>
      <c r="Z14" s="660"/>
      <c r="AA14" s="660"/>
      <c r="AB14" s="660"/>
      <c r="AC14" s="660"/>
      <c r="AD14" s="661"/>
    </row>
    <row r="15" spans="3:30">
      <c r="C15" s="434"/>
      <c r="W15" s="440">
        <v>10</v>
      </c>
      <c r="X15" s="660" t="s">
        <v>1617</v>
      </c>
      <c r="Y15" s="660"/>
      <c r="Z15" s="660"/>
      <c r="AA15" s="660"/>
      <c r="AB15" s="660"/>
      <c r="AC15" s="660"/>
      <c r="AD15" s="661"/>
    </row>
    <row r="16" spans="3:30">
      <c r="C16" s="434"/>
      <c r="W16" s="440">
        <v>11</v>
      </c>
      <c r="X16" s="660" t="s">
        <v>1618</v>
      </c>
      <c r="Y16" s="660"/>
      <c r="Z16" s="660"/>
      <c r="AA16" s="660"/>
      <c r="AB16" s="660"/>
      <c r="AC16" s="660"/>
      <c r="AD16" s="661"/>
    </row>
    <row r="17" spans="3:30">
      <c r="C17" s="434"/>
      <c r="S17" s="442"/>
      <c r="W17" s="440">
        <v>12</v>
      </c>
      <c r="X17" s="660" t="s">
        <v>1619</v>
      </c>
      <c r="Y17" s="660"/>
      <c r="Z17" s="660"/>
      <c r="AA17" s="660"/>
      <c r="AB17" s="660"/>
      <c r="AC17" s="660"/>
      <c r="AD17" s="661"/>
    </row>
    <row r="18" spans="3:30">
      <c r="C18" s="443"/>
      <c r="D18" s="444"/>
      <c r="E18" s="444"/>
      <c r="W18" s="440">
        <v>13</v>
      </c>
      <c r="X18" s="660"/>
      <c r="Y18" s="660"/>
      <c r="Z18" s="660"/>
      <c r="AA18" s="660"/>
      <c r="AB18" s="660"/>
      <c r="AC18" s="660"/>
      <c r="AD18" s="661"/>
    </row>
    <row r="19" spans="3:30">
      <c r="C19" s="434"/>
      <c r="W19" s="445"/>
      <c r="X19" s="699"/>
      <c r="Y19" s="699"/>
      <c r="Z19" s="699"/>
      <c r="AA19" s="699"/>
      <c r="AB19" s="699"/>
      <c r="AC19" s="699"/>
      <c r="AD19" s="700"/>
    </row>
    <row r="20" spans="3:30">
      <c r="C20" s="434"/>
      <c r="W20" s="701" t="s">
        <v>1620</v>
      </c>
      <c r="X20" s="702"/>
      <c r="Y20" s="702"/>
      <c r="Z20" s="702"/>
      <c r="AA20" s="702"/>
      <c r="AB20" s="702"/>
      <c r="AC20" s="702"/>
      <c r="AD20" s="703"/>
    </row>
    <row r="21" spans="3:30">
      <c r="C21" s="434"/>
      <c r="W21" s="704" t="s">
        <v>1621</v>
      </c>
      <c r="X21" s="705"/>
      <c r="Y21" s="705"/>
      <c r="Z21" s="706"/>
      <c r="AA21" s="707" t="s">
        <v>1622</v>
      </c>
      <c r="AB21" s="708"/>
      <c r="AC21" s="708"/>
      <c r="AD21" s="709"/>
    </row>
    <row r="22" spans="3:30">
      <c r="C22" s="434"/>
      <c r="W22" s="680" t="s">
        <v>1623</v>
      </c>
      <c r="X22" s="681"/>
      <c r="Y22" s="446" t="s">
        <v>1029</v>
      </c>
      <c r="Z22" s="447">
        <v>1</v>
      </c>
      <c r="AA22" s="448"/>
      <c r="AB22" s="448"/>
      <c r="AC22" s="449"/>
      <c r="AD22" s="450"/>
    </row>
    <row r="23" spans="3:30">
      <c r="C23" s="434"/>
      <c r="W23" s="676" t="s">
        <v>1517</v>
      </c>
      <c r="X23" s="677"/>
      <c r="Y23" s="446" t="s">
        <v>1029</v>
      </c>
      <c r="Z23" s="447">
        <v>2</v>
      </c>
      <c r="AA23" s="693"/>
      <c r="AB23" s="694"/>
      <c r="AC23" s="449"/>
      <c r="AD23" s="450"/>
    </row>
    <row r="24" spans="3:30">
      <c r="C24" s="434"/>
      <c r="W24" s="676" t="s">
        <v>1624</v>
      </c>
      <c r="X24" s="677"/>
      <c r="Y24" s="446" t="s">
        <v>1029</v>
      </c>
      <c r="Z24" s="447">
        <v>1</v>
      </c>
      <c r="AA24" s="697"/>
      <c r="AB24" s="698"/>
      <c r="AC24" s="449"/>
      <c r="AD24" s="450"/>
    </row>
    <row r="25" spans="3:30">
      <c r="C25" s="434"/>
      <c r="W25" s="691" t="s">
        <v>1414</v>
      </c>
      <c r="X25" s="692"/>
      <c r="Y25" s="451" t="s">
        <v>1029</v>
      </c>
      <c r="Z25" s="452">
        <v>1</v>
      </c>
      <c r="AA25" s="693"/>
      <c r="AB25" s="694"/>
      <c r="AC25" s="449"/>
      <c r="AD25" s="450"/>
    </row>
    <row r="26" spans="3:30">
      <c r="C26" s="434"/>
      <c r="W26" s="691" t="s">
        <v>1415</v>
      </c>
      <c r="X26" s="692"/>
      <c r="Y26" s="446" t="s">
        <v>1029</v>
      </c>
      <c r="Z26" s="447">
        <v>1</v>
      </c>
      <c r="AA26" s="693"/>
      <c r="AB26" s="694"/>
      <c r="AC26" s="449"/>
      <c r="AD26" s="450"/>
    </row>
    <row r="27" spans="3:30">
      <c r="C27" s="434"/>
      <c r="W27" s="680" t="s">
        <v>1625</v>
      </c>
      <c r="X27" s="681"/>
      <c r="Y27" s="446" t="s">
        <v>1029</v>
      </c>
      <c r="Z27" s="447">
        <v>1</v>
      </c>
      <c r="AA27" s="682"/>
      <c r="AB27" s="683"/>
      <c r="AC27" s="449"/>
      <c r="AD27" s="450"/>
    </row>
    <row r="28" spans="3:30">
      <c r="C28" s="434"/>
      <c r="W28" s="695" t="s">
        <v>1626</v>
      </c>
      <c r="X28" s="696"/>
      <c r="Y28" s="446" t="s">
        <v>1029</v>
      </c>
      <c r="Z28" s="447">
        <v>1</v>
      </c>
      <c r="AA28" s="682"/>
      <c r="AB28" s="683"/>
      <c r="AC28" s="449"/>
      <c r="AD28" s="450"/>
    </row>
    <row r="29" spans="3:30">
      <c r="C29" s="434"/>
      <c r="W29" s="689" t="s">
        <v>1627</v>
      </c>
      <c r="X29" s="690"/>
      <c r="Y29" s="446" t="s">
        <v>1628</v>
      </c>
      <c r="Z29" s="447">
        <v>250</v>
      </c>
      <c r="AA29" s="682"/>
      <c r="AB29" s="683"/>
      <c r="AC29" s="449"/>
      <c r="AD29" s="450"/>
    </row>
    <row r="30" spans="3:30" ht="11.25" customHeight="1">
      <c r="C30" s="434"/>
      <c r="W30" s="689" t="s">
        <v>1629</v>
      </c>
      <c r="X30" s="690"/>
      <c r="Y30" s="446" t="s">
        <v>1628</v>
      </c>
      <c r="Z30" s="447">
        <v>50</v>
      </c>
      <c r="AA30" s="682"/>
      <c r="AB30" s="683"/>
      <c r="AC30" s="449"/>
      <c r="AD30" s="450"/>
    </row>
    <row r="31" spans="3:30">
      <c r="C31" s="434"/>
      <c r="U31" s="453"/>
      <c r="W31" s="689" t="s">
        <v>1630</v>
      </c>
      <c r="X31" s="690"/>
      <c r="Y31" s="446" t="s">
        <v>1631</v>
      </c>
      <c r="Z31" s="447">
        <v>1</v>
      </c>
      <c r="AA31" s="682"/>
      <c r="AB31" s="683"/>
      <c r="AC31" s="449"/>
      <c r="AD31" s="450"/>
    </row>
    <row r="32" spans="3:30">
      <c r="C32" s="434"/>
      <c r="U32" s="453"/>
      <c r="W32" s="689"/>
      <c r="X32" s="690"/>
      <c r="Y32" s="446"/>
      <c r="Z32" s="447"/>
      <c r="AA32" s="682"/>
      <c r="AB32" s="683"/>
      <c r="AC32" s="449"/>
      <c r="AD32" s="450"/>
    </row>
    <row r="33" spans="3:30">
      <c r="C33" s="434"/>
      <c r="W33" s="691"/>
      <c r="X33" s="692"/>
      <c r="Y33" s="451"/>
      <c r="Z33" s="452"/>
      <c r="AA33" s="682"/>
      <c r="AB33" s="683"/>
      <c r="AC33" s="449"/>
      <c r="AD33" s="450"/>
    </row>
    <row r="34" spans="3:30">
      <c r="C34" s="434"/>
      <c r="W34" s="680"/>
      <c r="X34" s="681"/>
      <c r="Y34" s="446"/>
      <c r="Z34" s="447"/>
      <c r="AA34" s="682"/>
      <c r="AB34" s="683"/>
      <c r="AC34" s="449"/>
      <c r="AD34" s="450"/>
    </row>
    <row r="35" spans="3:30">
      <c r="C35" s="434"/>
      <c r="W35" s="680"/>
      <c r="X35" s="681"/>
      <c r="Y35" s="446"/>
      <c r="Z35" s="447"/>
      <c r="AA35" s="682"/>
      <c r="AB35" s="683"/>
      <c r="AC35" s="449"/>
      <c r="AD35" s="450"/>
    </row>
    <row r="36" spans="3:30">
      <c r="C36" s="434"/>
      <c r="W36" s="684"/>
      <c r="X36" s="685"/>
      <c r="Y36" s="446"/>
      <c r="Z36" s="452"/>
      <c r="AA36" s="686"/>
      <c r="AB36" s="683"/>
      <c r="AC36" s="449"/>
      <c r="AD36" s="450"/>
    </row>
    <row r="37" spans="3:30" ht="12.75" customHeight="1">
      <c r="C37" s="434"/>
      <c r="W37" s="672"/>
      <c r="X37" s="673"/>
      <c r="Y37" s="446"/>
      <c r="Z37" s="452"/>
      <c r="AA37" s="687"/>
      <c r="AB37" s="688"/>
      <c r="AC37" s="456"/>
      <c r="AD37" s="457"/>
    </row>
    <row r="38" spans="3:30" ht="12.75" customHeight="1">
      <c r="C38" s="434"/>
      <c r="W38" s="672"/>
      <c r="X38" s="673"/>
      <c r="Y38" s="451"/>
      <c r="Z38" s="452"/>
      <c r="AA38" s="454"/>
      <c r="AB38" s="455"/>
      <c r="AC38" s="456"/>
      <c r="AD38" s="457"/>
    </row>
    <row r="39" spans="3:30" ht="12" customHeight="1">
      <c r="C39" s="434"/>
      <c r="W39" s="672"/>
      <c r="X39" s="673"/>
      <c r="Y39" s="451"/>
      <c r="Z39" s="458"/>
      <c r="AA39" s="674"/>
      <c r="AB39" s="675"/>
      <c r="AC39" s="456"/>
      <c r="AD39" s="457"/>
    </row>
    <row r="40" spans="3:30" ht="12" customHeight="1">
      <c r="C40" s="434"/>
      <c r="W40" s="676"/>
      <c r="X40" s="677"/>
      <c r="Y40" s="451"/>
      <c r="Z40" s="458"/>
      <c r="AA40" s="459"/>
      <c r="AB40" s="460"/>
      <c r="AC40" s="456"/>
      <c r="AD40" s="457"/>
    </row>
    <row r="41" spans="3:30" ht="12" customHeight="1">
      <c r="C41" s="434"/>
      <c r="W41" s="678"/>
      <c r="X41" s="679"/>
      <c r="Y41" s="461"/>
      <c r="Z41" s="462"/>
      <c r="AA41" s="674"/>
      <c r="AB41" s="675"/>
      <c r="AC41" s="456"/>
      <c r="AD41" s="457"/>
    </row>
    <row r="42" spans="3:30" ht="12" customHeight="1">
      <c r="C42" s="434"/>
      <c r="W42" s="669" t="s">
        <v>1632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34"/>
      <c r="V43" s="463"/>
      <c r="W43" s="464"/>
      <c r="X43" s="465"/>
      <c r="Y43" s="465"/>
      <c r="Z43" s="465"/>
      <c r="AA43" s="465"/>
      <c r="AB43" s="465"/>
      <c r="AC43" s="465"/>
      <c r="AD43" s="466"/>
    </row>
    <row r="44" spans="3:30">
      <c r="C44" s="467"/>
      <c r="D44" s="468"/>
      <c r="E44" s="468"/>
      <c r="F44" s="468"/>
      <c r="G44" s="468"/>
      <c r="H44" s="468"/>
      <c r="I44" s="468"/>
      <c r="J44" s="468"/>
      <c r="K44" s="468"/>
      <c r="L44" s="468"/>
      <c r="M44" s="468"/>
      <c r="N44" s="468"/>
      <c r="O44" s="468"/>
      <c r="P44" s="468"/>
      <c r="Q44" s="468"/>
      <c r="R44" s="468"/>
      <c r="S44" s="468"/>
      <c r="T44" s="468"/>
      <c r="U44" s="468"/>
      <c r="V44" s="463"/>
      <c r="W44" s="658" t="s">
        <v>1633</v>
      </c>
      <c r="X44" s="659"/>
      <c r="Y44" s="660"/>
      <c r="Z44" s="660"/>
      <c r="AA44" s="660"/>
      <c r="AB44" s="660"/>
      <c r="AC44" s="660"/>
      <c r="AD44" s="661"/>
    </row>
    <row r="45" spans="3:30">
      <c r="C45" s="467"/>
      <c r="D45" s="468"/>
      <c r="E45" s="468"/>
      <c r="F45" s="468"/>
      <c r="G45" s="468"/>
      <c r="H45" s="468"/>
      <c r="I45" s="468"/>
      <c r="J45" s="468"/>
      <c r="K45" s="468"/>
      <c r="L45" s="468"/>
      <c r="M45" s="468"/>
      <c r="N45" s="468"/>
      <c r="O45" s="468"/>
      <c r="P45" s="468"/>
      <c r="Q45" s="468"/>
      <c r="R45" s="468"/>
      <c r="S45" s="468"/>
      <c r="T45" s="468"/>
      <c r="U45" s="468"/>
      <c r="V45" s="463"/>
      <c r="W45" s="658" t="s">
        <v>1634</v>
      </c>
      <c r="X45" s="659"/>
      <c r="Y45" s="660">
        <v>1</v>
      </c>
      <c r="Z45" s="660"/>
      <c r="AA45" s="660"/>
      <c r="AB45" s="660" t="s">
        <v>1635</v>
      </c>
      <c r="AC45" s="660"/>
      <c r="AD45" s="441" t="s">
        <v>1636</v>
      </c>
    </row>
    <row r="46" spans="3:30">
      <c r="C46" s="467"/>
      <c r="D46" s="468"/>
      <c r="E46" s="468"/>
      <c r="F46" s="468"/>
      <c r="G46" s="468"/>
      <c r="H46" s="468"/>
      <c r="I46" s="468"/>
      <c r="J46" s="468"/>
      <c r="K46" s="468"/>
      <c r="L46" s="468"/>
      <c r="M46" s="468"/>
      <c r="N46" s="468"/>
      <c r="O46" s="468"/>
      <c r="P46" s="468"/>
      <c r="Q46" s="468"/>
      <c r="R46" s="468"/>
      <c r="S46" s="468"/>
      <c r="T46" s="468"/>
      <c r="U46" s="468"/>
      <c r="V46" s="463"/>
      <c r="W46" s="658" t="s">
        <v>1637</v>
      </c>
      <c r="X46" s="659"/>
      <c r="Y46" s="662"/>
      <c r="Z46" s="662"/>
      <c r="AA46" s="662"/>
      <c r="AB46" s="660" t="s">
        <v>1638</v>
      </c>
      <c r="AC46" s="660"/>
      <c r="AD46" s="469"/>
    </row>
    <row r="47" spans="3:30">
      <c r="C47" s="467"/>
      <c r="D47" s="468"/>
      <c r="E47" s="468"/>
      <c r="F47" s="468"/>
      <c r="G47" s="468"/>
      <c r="H47" s="468"/>
      <c r="I47" s="468"/>
      <c r="J47" s="468"/>
      <c r="K47" s="468"/>
      <c r="L47" s="468"/>
      <c r="M47" s="468"/>
      <c r="N47" s="468"/>
      <c r="O47" s="468"/>
      <c r="P47" s="468"/>
      <c r="Q47" s="468"/>
      <c r="R47" s="468"/>
      <c r="S47" s="468"/>
      <c r="T47" s="468"/>
      <c r="U47" s="468"/>
      <c r="V47" s="463"/>
      <c r="W47" s="663" t="s">
        <v>1639</v>
      </c>
      <c r="X47" s="663"/>
      <c r="Y47" s="663"/>
      <c r="Z47" s="663"/>
      <c r="AA47" s="663"/>
      <c r="AB47" s="663"/>
      <c r="AC47" s="663"/>
      <c r="AD47" s="664"/>
    </row>
    <row r="48" spans="3:30" ht="12.75" customHeight="1">
      <c r="C48" s="467"/>
      <c r="D48" s="468"/>
      <c r="E48" s="468"/>
      <c r="F48" s="468"/>
      <c r="G48" s="468"/>
      <c r="H48" s="468"/>
      <c r="I48" s="468"/>
      <c r="J48" s="468"/>
      <c r="K48" s="468"/>
      <c r="L48" s="468"/>
      <c r="M48" s="468"/>
      <c r="N48" s="468"/>
      <c r="O48" s="468"/>
      <c r="P48" s="468"/>
      <c r="Q48" s="468"/>
      <c r="R48" s="468"/>
      <c r="S48" s="468"/>
      <c r="T48" s="468"/>
      <c r="U48" s="468"/>
      <c r="V48" s="463"/>
      <c r="W48" s="665" t="s">
        <v>1640</v>
      </c>
      <c r="X48" s="665"/>
      <c r="Y48" s="665"/>
      <c r="Z48" s="665"/>
      <c r="AA48" s="665"/>
      <c r="AB48" s="665"/>
      <c r="AC48" s="665"/>
      <c r="AD48" s="666"/>
    </row>
    <row r="49" spans="3:30">
      <c r="C49" s="467"/>
      <c r="D49" s="468"/>
      <c r="E49" s="468"/>
      <c r="F49" s="468"/>
      <c r="G49" s="468"/>
      <c r="H49" s="468"/>
      <c r="I49" s="468"/>
      <c r="J49" s="468"/>
      <c r="K49" s="468"/>
      <c r="L49" s="468"/>
      <c r="M49" s="468"/>
      <c r="N49" s="468"/>
      <c r="O49" s="468"/>
      <c r="P49" s="468"/>
      <c r="Q49" s="468"/>
      <c r="R49" s="468"/>
      <c r="S49" s="468"/>
      <c r="T49" s="468"/>
      <c r="U49" s="468"/>
      <c r="V49" s="470"/>
      <c r="W49" s="665"/>
      <c r="X49" s="665"/>
      <c r="Y49" s="665"/>
      <c r="Z49" s="665"/>
      <c r="AA49" s="665"/>
      <c r="AB49" s="665"/>
      <c r="AC49" s="665"/>
      <c r="AD49" s="666"/>
    </row>
    <row r="50" spans="3:30">
      <c r="C50" s="467"/>
      <c r="D50" s="468"/>
      <c r="E50" s="468"/>
      <c r="F50" s="468"/>
      <c r="G50" s="468"/>
      <c r="H50" s="468"/>
      <c r="I50" s="468"/>
      <c r="J50" s="468"/>
      <c r="K50" s="468"/>
      <c r="L50" s="468"/>
      <c r="M50" s="468"/>
      <c r="N50" s="468"/>
      <c r="O50" s="468"/>
      <c r="P50" s="468"/>
      <c r="Q50" s="468"/>
      <c r="R50" s="468"/>
      <c r="S50" s="468"/>
      <c r="T50" s="468"/>
      <c r="U50" s="468"/>
      <c r="V50" s="470"/>
      <c r="W50" s="665"/>
      <c r="X50" s="665"/>
      <c r="Y50" s="665"/>
      <c r="Z50" s="665"/>
      <c r="AA50" s="665"/>
      <c r="AB50" s="665"/>
      <c r="AC50" s="665"/>
      <c r="AD50" s="666"/>
    </row>
    <row r="51" spans="3:30" ht="19.5" customHeight="1">
      <c r="C51" s="467"/>
      <c r="D51" s="468"/>
      <c r="E51" s="468"/>
      <c r="F51" s="468"/>
      <c r="G51" s="468"/>
      <c r="H51" s="468"/>
      <c r="I51" s="468"/>
      <c r="J51" s="468"/>
      <c r="K51" s="468"/>
      <c r="L51" s="468"/>
      <c r="M51" s="468"/>
      <c r="N51" s="468"/>
      <c r="O51" s="468"/>
      <c r="P51" s="468"/>
      <c r="Q51" s="468"/>
      <c r="R51" s="468"/>
      <c r="S51" s="468"/>
      <c r="T51" s="468"/>
      <c r="U51" s="468"/>
      <c r="V51" s="470"/>
      <c r="W51" s="667"/>
      <c r="X51" s="667"/>
      <c r="Y51" s="667"/>
      <c r="Z51" s="667"/>
      <c r="AA51" s="667"/>
      <c r="AB51" s="667"/>
      <c r="AC51" s="667"/>
      <c r="AD51" s="668"/>
    </row>
    <row r="52" spans="3:30">
      <c r="C52" s="467"/>
      <c r="D52" s="468"/>
      <c r="E52" s="468"/>
      <c r="F52" s="468"/>
      <c r="G52" s="468"/>
      <c r="H52" s="468"/>
      <c r="I52" s="468"/>
      <c r="J52" s="468"/>
      <c r="K52" s="468"/>
      <c r="L52" s="468"/>
      <c r="M52" s="468"/>
      <c r="N52" s="468"/>
      <c r="O52" s="468"/>
      <c r="P52" s="468"/>
      <c r="Q52" s="468"/>
      <c r="R52" s="468"/>
      <c r="S52" s="468"/>
      <c r="T52" s="468"/>
      <c r="U52" s="468"/>
      <c r="V52" s="463"/>
      <c r="W52" s="658" t="s">
        <v>1641</v>
      </c>
      <c r="X52" s="659"/>
      <c r="Y52" s="660" t="s">
        <v>1642</v>
      </c>
      <c r="Z52" s="660"/>
      <c r="AA52" s="660"/>
      <c r="AB52" s="660"/>
      <c r="AC52" s="660"/>
      <c r="AD52" s="661"/>
    </row>
    <row r="53" spans="3:30">
      <c r="C53" s="467"/>
      <c r="D53" s="468"/>
      <c r="E53" s="468"/>
      <c r="F53" s="468"/>
      <c r="G53" s="468"/>
      <c r="H53" s="468"/>
      <c r="I53" s="468"/>
      <c r="J53" s="468"/>
      <c r="K53" s="468"/>
      <c r="L53" s="468"/>
      <c r="M53" s="468"/>
      <c r="N53" s="468"/>
      <c r="O53" s="468"/>
      <c r="P53" s="468"/>
      <c r="Q53" s="468"/>
      <c r="R53" s="468"/>
      <c r="S53" s="468"/>
      <c r="T53" s="468"/>
      <c r="V53" s="463"/>
      <c r="W53" s="658" t="s">
        <v>1643</v>
      </c>
      <c r="X53" s="659"/>
      <c r="Y53" s="660" t="s">
        <v>1644</v>
      </c>
      <c r="Z53" s="660"/>
      <c r="AA53" s="660"/>
      <c r="AB53" s="660"/>
      <c r="AC53" s="660"/>
      <c r="AD53" s="661"/>
    </row>
    <row r="54" spans="3:30">
      <c r="C54" s="467"/>
      <c r="D54" s="468"/>
      <c r="E54" s="468"/>
      <c r="F54" s="468"/>
      <c r="G54" s="468"/>
      <c r="H54" s="468"/>
      <c r="I54" s="468"/>
      <c r="J54" s="468"/>
      <c r="K54" s="468"/>
      <c r="L54" s="468"/>
      <c r="M54" s="468"/>
      <c r="N54" s="468"/>
      <c r="O54" s="468"/>
      <c r="P54" s="468"/>
      <c r="Q54" s="468"/>
      <c r="R54" s="468"/>
      <c r="S54" s="468"/>
      <c r="T54" s="468"/>
      <c r="V54" s="463"/>
      <c r="W54" s="658" t="s">
        <v>1645</v>
      </c>
      <c r="X54" s="659"/>
      <c r="Y54" s="660" t="s">
        <v>1646</v>
      </c>
      <c r="Z54" s="660"/>
      <c r="AA54" s="660"/>
      <c r="AB54" s="660"/>
      <c r="AC54" s="660"/>
      <c r="AD54" s="661"/>
    </row>
    <row r="55" spans="3:30" ht="13" thickBot="1">
      <c r="C55" s="471"/>
      <c r="D55" s="472"/>
      <c r="E55" s="472"/>
      <c r="F55" s="472"/>
      <c r="G55" s="472"/>
      <c r="H55" s="472"/>
      <c r="I55" s="472"/>
      <c r="J55" s="472"/>
      <c r="K55" s="472"/>
      <c r="L55" s="472"/>
      <c r="M55" s="472"/>
      <c r="N55" s="472"/>
      <c r="O55" s="472"/>
      <c r="P55" s="472"/>
      <c r="Q55" s="472"/>
      <c r="R55" s="472"/>
      <c r="S55" s="472"/>
      <c r="T55" s="472"/>
      <c r="U55" s="473"/>
      <c r="V55" s="474"/>
      <c r="W55" s="654" t="s">
        <v>1647</v>
      </c>
      <c r="X55" s="655"/>
      <c r="Y55" s="656" t="s">
        <v>1648</v>
      </c>
      <c r="Z55" s="656"/>
      <c r="AA55" s="656"/>
      <c r="AB55" s="656"/>
      <c r="AC55" s="656"/>
      <c r="AD55" s="657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1D42-2A1C-4A5A-8E29-4932ECDB1A48}">
  <sheetPr>
    <tabColor rgb="FF92D050"/>
  </sheetPr>
  <dimension ref="A1:AD120"/>
  <sheetViews>
    <sheetView view="pageBreakPreview" topLeftCell="A4" zoomScale="55" zoomScaleNormal="40" zoomScaleSheetLayoutView="55" workbookViewId="0">
      <selection activeCell="C6" sqref="C6:M7"/>
    </sheetView>
  </sheetViews>
  <sheetFormatPr baseColWidth="10" defaultColWidth="9.1640625" defaultRowHeight="14"/>
  <cols>
    <col min="1" max="1" width="1.6640625" style="478" customWidth="1"/>
    <col min="2" max="2" width="10.6640625" style="478" customWidth="1"/>
    <col min="3" max="3" width="2.5" style="478" customWidth="1"/>
    <col min="4" max="20" width="9.1640625" style="478"/>
    <col min="21" max="21" width="14.5" style="478" customWidth="1"/>
    <col min="22" max="22" width="3.1640625" style="478" customWidth="1"/>
    <col min="23" max="26" width="9.1640625" style="478"/>
    <col min="27" max="27" width="2.83203125" style="478" customWidth="1"/>
    <col min="28" max="30" width="4.6640625" style="478" customWidth="1"/>
    <col min="31" max="31" width="1.6640625" style="478" customWidth="1"/>
    <col min="32" max="16384" width="9.1640625" style="478"/>
  </cols>
  <sheetData>
    <row r="1" spans="1:29">
      <c r="A1" s="475"/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477"/>
    </row>
    <row r="2" spans="1:29">
      <c r="A2" s="479"/>
      <c r="W2" s="480"/>
    </row>
    <row r="3" spans="1:29" ht="12.75" customHeight="1">
      <c r="A3" s="479"/>
      <c r="C3" s="721" t="s">
        <v>1649</v>
      </c>
      <c r="D3" s="721"/>
      <c r="E3" s="721"/>
      <c r="F3" s="721"/>
      <c r="G3" s="721"/>
      <c r="H3" s="721"/>
      <c r="I3" s="721"/>
      <c r="J3" s="721"/>
      <c r="K3" s="721"/>
      <c r="L3" s="721"/>
      <c r="M3" s="721"/>
      <c r="N3" s="721"/>
      <c r="O3" s="721"/>
      <c r="P3" s="721"/>
      <c r="Q3" s="721"/>
      <c r="R3" s="721"/>
      <c r="S3" s="721"/>
      <c r="T3" s="721"/>
      <c r="U3" s="721"/>
      <c r="V3" s="721"/>
      <c r="W3" s="480"/>
      <c r="X3" s="481"/>
      <c r="Y3" s="481"/>
      <c r="Z3" s="481"/>
      <c r="AA3" s="481"/>
      <c r="AB3" s="481"/>
      <c r="AC3" s="482"/>
    </row>
    <row r="4" spans="1:29" ht="18.75" customHeight="1">
      <c r="A4" s="479"/>
      <c r="C4" s="721"/>
      <c r="D4" s="721"/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480"/>
      <c r="X4" s="481"/>
      <c r="Y4" s="481"/>
      <c r="Z4" s="481"/>
      <c r="AA4" s="481"/>
      <c r="AB4" s="481"/>
      <c r="AC4" s="482"/>
    </row>
    <row r="5" spans="1:29" ht="12.75" customHeight="1">
      <c r="A5" s="479"/>
      <c r="C5" s="483"/>
      <c r="W5" s="480"/>
    </row>
    <row r="6" spans="1:29" ht="12.75" customHeight="1">
      <c r="A6" s="479"/>
      <c r="C6" s="722" t="s">
        <v>1650</v>
      </c>
      <c r="D6" s="722"/>
      <c r="E6" s="722"/>
      <c r="F6" s="722"/>
      <c r="G6" s="722"/>
      <c r="H6" s="722"/>
      <c r="I6" s="722"/>
      <c r="J6" s="722"/>
      <c r="K6" s="722"/>
      <c r="L6" s="722"/>
      <c r="M6" s="722"/>
      <c r="W6" s="480"/>
      <c r="Y6" s="484"/>
      <c r="Z6" s="484"/>
      <c r="AA6" s="484"/>
      <c r="AB6" s="485"/>
      <c r="AC6" s="485"/>
    </row>
    <row r="7" spans="1:29" ht="18" customHeight="1">
      <c r="A7" s="479"/>
      <c r="C7" s="722"/>
      <c r="D7" s="722"/>
      <c r="E7" s="722"/>
      <c r="F7" s="722"/>
      <c r="G7" s="722"/>
      <c r="H7" s="722"/>
      <c r="I7" s="722"/>
      <c r="J7" s="722"/>
      <c r="K7" s="722"/>
      <c r="L7" s="722"/>
      <c r="M7" s="722"/>
      <c r="W7" s="480"/>
      <c r="Y7" s="484"/>
      <c r="Z7" s="484"/>
      <c r="AA7" s="484"/>
      <c r="AB7" s="485"/>
      <c r="AC7" s="485"/>
    </row>
    <row r="8" spans="1:29">
      <c r="A8" s="479"/>
      <c r="W8" s="480"/>
    </row>
    <row r="9" spans="1:29">
      <c r="A9" s="479"/>
      <c r="W9" s="480"/>
    </row>
    <row r="10" spans="1:29">
      <c r="A10" s="479"/>
      <c r="W10" s="480"/>
    </row>
    <row r="11" spans="1:29">
      <c r="A11" s="479"/>
      <c r="W11" s="480"/>
    </row>
    <row r="12" spans="1:29">
      <c r="A12" s="479"/>
      <c r="D12" s="486"/>
      <c r="W12" s="480"/>
    </row>
    <row r="13" spans="1:29">
      <c r="A13" s="479"/>
      <c r="W13" s="480"/>
    </row>
    <row r="14" spans="1:29">
      <c r="A14" s="479"/>
      <c r="W14" s="480"/>
    </row>
    <row r="15" spans="1:29">
      <c r="A15" s="479"/>
      <c r="W15" s="480"/>
    </row>
    <row r="16" spans="1:29">
      <c r="A16" s="479"/>
      <c r="W16" s="480"/>
    </row>
    <row r="17" spans="1:23">
      <c r="A17" s="479"/>
      <c r="W17" s="480"/>
    </row>
    <row r="18" spans="1:23">
      <c r="A18" s="479"/>
      <c r="W18" s="480"/>
    </row>
    <row r="19" spans="1:23">
      <c r="A19" s="479"/>
      <c r="W19" s="480"/>
    </row>
    <row r="20" spans="1:23">
      <c r="A20" s="479"/>
      <c r="W20" s="480"/>
    </row>
    <row r="21" spans="1:23">
      <c r="A21" s="479"/>
      <c r="W21" s="480"/>
    </row>
    <row r="22" spans="1:23">
      <c r="A22" s="479"/>
      <c r="W22" s="480"/>
    </row>
    <row r="23" spans="1:23">
      <c r="A23" s="479"/>
      <c r="W23" s="480"/>
    </row>
    <row r="24" spans="1:23">
      <c r="A24" s="479"/>
      <c r="W24" s="480"/>
    </row>
    <row r="25" spans="1:23">
      <c r="A25" s="479"/>
      <c r="W25" s="480"/>
    </row>
    <row r="26" spans="1:23">
      <c r="A26" s="479"/>
      <c r="W26" s="480"/>
    </row>
    <row r="27" spans="1:23">
      <c r="A27" s="479"/>
      <c r="W27" s="480"/>
    </row>
    <row r="28" spans="1:23">
      <c r="A28" s="479"/>
      <c r="W28" s="480"/>
    </row>
    <row r="29" spans="1:23">
      <c r="A29" s="479"/>
      <c r="W29" s="480"/>
    </row>
    <row r="30" spans="1:23">
      <c r="A30" s="479"/>
      <c r="W30" s="480"/>
    </row>
    <row r="31" spans="1:23">
      <c r="A31" s="479"/>
      <c r="W31" s="480"/>
    </row>
    <row r="32" spans="1:23">
      <c r="A32" s="479"/>
      <c r="W32" s="480"/>
    </row>
    <row r="33" spans="1:23">
      <c r="A33" s="479"/>
      <c r="W33" s="480"/>
    </row>
    <row r="34" spans="1:23">
      <c r="A34" s="479"/>
      <c r="W34" s="480"/>
    </row>
    <row r="35" spans="1:23">
      <c r="A35" s="479"/>
      <c r="W35" s="480"/>
    </row>
    <row r="36" spans="1:23">
      <c r="A36" s="479"/>
      <c r="W36" s="480"/>
    </row>
    <row r="37" spans="1:23">
      <c r="A37" s="479"/>
      <c r="W37" s="480"/>
    </row>
    <row r="38" spans="1:23">
      <c r="A38" s="479"/>
      <c r="W38" s="480"/>
    </row>
    <row r="39" spans="1:23">
      <c r="A39" s="479"/>
      <c r="W39" s="480"/>
    </row>
    <row r="40" spans="1:23">
      <c r="A40" s="479"/>
      <c r="W40" s="480"/>
    </row>
    <row r="41" spans="1:23">
      <c r="A41" s="479"/>
      <c r="W41" s="480"/>
    </row>
    <row r="42" spans="1:23">
      <c r="A42" s="479"/>
      <c r="W42" s="480"/>
    </row>
    <row r="43" spans="1:23">
      <c r="A43" s="479"/>
      <c r="W43" s="480"/>
    </row>
    <row r="44" spans="1:23">
      <c r="A44" s="479"/>
      <c r="W44" s="480"/>
    </row>
    <row r="45" spans="1:23">
      <c r="A45" s="479"/>
      <c r="W45" s="480"/>
    </row>
    <row r="46" spans="1:23">
      <c r="A46" s="479"/>
      <c r="W46" s="480"/>
    </row>
    <row r="47" spans="1:23">
      <c r="A47" s="479"/>
      <c r="W47" s="480"/>
    </row>
    <row r="48" spans="1:23">
      <c r="A48" s="479"/>
      <c r="W48" s="480"/>
    </row>
    <row r="49" spans="1:30">
      <c r="A49" s="479"/>
      <c r="W49" s="480"/>
    </row>
    <row r="50" spans="1:30">
      <c r="A50" s="479"/>
      <c r="W50" s="480"/>
    </row>
    <row r="51" spans="1:30">
      <c r="A51" s="479"/>
      <c r="W51" s="480"/>
    </row>
    <row r="52" spans="1:30">
      <c r="A52" s="479"/>
      <c r="W52" s="480"/>
    </row>
    <row r="53" spans="1:30">
      <c r="A53" s="479"/>
      <c r="W53" s="480"/>
    </row>
    <row r="54" spans="1:30">
      <c r="A54" s="479"/>
      <c r="R54" s="487"/>
      <c r="S54" s="487"/>
      <c r="T54" s="487"/>
      <c r="U54" s="488"/>
      <c r="V54" s="488"/>
      <c r="W54" s="489"/>
      <c r="X54" s="488"/>
      <c r="Y54" s="488"/>
      <c r="Z54" s="488"/>
      <c r="AA54" s="488"/>
      <c r="AB54" s="488"/>
      <c r="AC54" s="488"/>
      <c r="AD54" s="488"/>
    </row>
    <row r="55" spans="1:30" ht="15" thickBot="1">
      <c r="A55" s="490"/>
      <c r="B55" s="491"/>
      <c r="C55" s="491"/>
      <c r="D55" s="491"/>
      <c r="E55" s="491"/>
      <c r="F55" s="491"/>
      <c r="G55" s="491"/>
      <c r="H55" s="491"/>
      <c r="I55" s="491"/>
      <c r="J55" s="491"/>
      <c r="K55" s="491"/>
      <c r="L55" s="491"/>
      <c r="M55" s="491"/>
      <c r="N55" s="491"/>
      <c r="O55" s="491"/>
      <c r="P55" s="491"/>
      <c r="Q55" s="491"/>
      <c r="R55" s="492"/>
      <c r="S55" s="493"/>
      <c r="T55" s="493"/>
      <c r="U55" s="494"/>
      <c r="V55" s="495"/>
      <c r="W55" s="496"/>
      <c r="X55" s="488"/>
      <c r="Y55" s="488"/>
      <c r="Z55" s="488"/>
      <c r="AA55" s="497"/>
      <c r="AB55" s="497"/>
      <c r="AC55" s="497"/>
      <c r="AD55" s="497"/>
    </row>
    <row r="56" spans="1:30">
      <c r="U56" s="488"/>
      <c r="V56" s="497"/>
      <c r="W56" s="488"/>
      <c r="X56" s="488"/>
      <c r="Y56" s="488"/>
      <c r="Z56" s="488"/>
      <c r="AA56" s="497"/>
      <c r="AB56" s="488"/>
      <c r="AC56" s="488"/>
      <c r="AD56" s="488"/>
    </row>
    <row r="57" spans="1:30">
      <c r="U57" s="488"/>
      <c r="V57" s="497"/>
      <c r="W57" s="488"/>
      <c r="X57" s="488"/>
      <c r="Y57" s="488"/>
      <c r="Z57" s="488"/>
      <c r="AA57" s="488"/>
      <c r="AB57" s="488"/>
      <c r="AC57" s="488"/>
      <c r="AD57" s="488"/>
    </row>
    <row r="58" spans="1:30">
      <c r="U58" s="488"/>
      <c r="V58" s="497"/>
      <c r="W58" s="488"/>
      <c r="X58" s="488"/>
      <c r="Y58" s="488"/>
      <c r="Z58" s="488"/>
      <c r="AA58" s="488"/>
      <c r="AB58" s="488"/>
      <c r="AC58" s="488"/>
      <c r="AD58" s="488"/>
    </row>
    <row r="59" spans="1:30">
      <c r="U59" s="488"/>
      <c r="V59" s="497"/>
      <c r="W59" s="488"/>
      <c r="X59" s="488"/>
      <c r="Y59" s="488"/>
      <c r="Z59" s="488"/>
      <c r="AA59" s="488"/>
      <c r="AB59" s="488"/>
      <c r="AC59" s="488"/>
      <c r="AD59" s="488"/>
    </row>
    <row r="60" spans="1:30">
      <c r="U60" s="488"/>
      <c r="V60" s="497"/>
      <c r="W60" s="488"/>
      <c r="X60" s="488"/>
      <c r="Y60" s="488"/>
      <c r="Z60" s="488"/>
      <c r="AA60" s="497"/>
      <c r="AB60" s="488"/>
      <c r="AC60" s="488"/>
      <c r="AD60" s="488"/>
    </row>
    <row r="61" spans="1:30">
      <c r="U61" s="488"/>
      <c r="V61" s="497"/>
      <c r="W61" s="488"/>
      <c r="X61" s="488"/>
      <c r="Y61" s="488"/>
      <c r="Z61" s="488"/>
      <c r="AA61" s="488"/>
      <c r="AB61" s="488"/>
      <c r="AC61" s="488"/>
      <c r="AD61" s="488"/>
    </row>
    <row r="62" spans="1:30">
      <c r="U62" s="488"/>
      <c r="V62" s="497"/>
      <c r="W62" s="488"/>
      <c r="X62" s="488"/>
      <c r="Y62" s="488"/>
      <c r="Z62" s="488"/>
      <c r="AA62" s="488"/>
      <c r="AB62" s="488"/>
      <c r="AC62" s="488"/>
      <c r="AD62" s="488"/>
    </row>
    <row r="63" spans="1:30">
      <c r="U63" s="488"/>
      <c r="V63" s="497"/>
      <c r="W63" s="488"/>
      <c r="X63" s="488"/>
      <c r="Y63" s="488"/>
      <c r="Z63" s="488"/>
      <c r="AA63" s="488"/>
      <c r="AB63" s="488"/>
      <c r="AC63" s="488"/>
      <c r="AD63" s="488"/>
    </row>
    <row r="64" spans="1:30">
      <c r="U64" s="488"/>
      <c r="V64" s="497"/>
      <c r="W64" s="488"/>
      <c r="X64" s="488"/>
      <c r="Y64" s="488"/>
      <c r="Z64" s="488"/>
      <c r="AA64" s="488"/>
      <c r="AB64" s="488"/>
      <c r="AC64" s="488"/>
      <c r="AD64" s="488"/>
    </row>
    <row r="65" spans="5:30">
      <c r="U65" s="488"/>
      <c r="V65" s="497"/>
      <c r="W65" s="488"/>
      <c r="X65" s="488"/>
      <c r="Y65" s="488"/>
      <c r="Z65" s="488"/>
      <c r="AA65" s="488"/>
      <c r="AB65" s="488"/>
      <c r="AC65" s="488"/>
      <c r="AD65" s="488"/>
    </row>
    <row r="66" spans="5:30" ht="6" customHeight="1"/>
    <row r="73" spans="5:30">
      <c r="M73" s="498"/>
    </row>
    <row r="74" spans="5:30" ht="15" customHeight="1">
      <c r="E74" s="499"/>
      <c r="M74" s="498"/>
    </row>
    <row r="75" spans="5:30" ht="15" customHeight="1">
      <c r="E75" s="499"/>
      <c r="M75" s="498"/>
    </row>
    <row r="76" spans="5:30" ht="15" customHeight="1">
      <c r="E76" s="499"/>
      <c r="M76" s="498"/>
    </row>
    <row r="77" spans="5:30" ht="15" customHeight="1">
      <c r="E77" s="499"/>
      <c r="M77" s="498"/>
    </row>
    <row r="78" spans="5:30" ht="15" customHeight="1">
      <c r="E78" s="499"/>
      <c r="M78" s="498"/>
    </row>
    <row r="79" spans="5:30" ht="15" customHeight="1">
      <c r="E79" s="499"/>
      <c r="M79" s="498"/>
    </row>
    <row r="80" spans="5:30" ht="15" customHeight="1">
      <c r="E80" s="499"/>
      <c r="M80" s="498"/>
    </row>
    <row r="81" spans="5:13" ht="15" customHeight="1">
      <c r="E81" s="499"/>
      <c r="M81" s="498"/>
    </row>
    <row r="82" spans="5:13" ht="15" customHeight="1">
      <c r="E82" s="499"/>
      <c r="M82" s="498"/>
    </row>
    <row r="83" spans="5:13" ht="15" customHeight="1">
      <c r="E83" s="499"/>
      <c r="M83" s="498"/>
    </row>
    <row r="84" spans="5:13" ht="15" customHeight="1">
      <c r="E84" s="499"/>
      <c r="M84" s="498"/>
    </row>
    <row r="85" spans="5:13" ht="15" customHeight="1">
      <c r="E85" s="499"/>
      <c r="M85" s="498"/>
    </row>
    <row r="86" spans="5:13" ht="15" customHeight="1">
      <c r="E86" s="499"/>
      <c r="M86" s="498"/>
    </row>
    <row r="87" spans="5:13" ht="15" customHeight="1">
      <c r="E87" s="499"/>
      <c r="M87" s="498"/>
    </row>
    <row r="88" spans="5:13" ht="15" customHeight="1">
      <c r="E88" s="499"/>
      <c r="M88" s="498"/>
    </row>
    <row r="89" spans="5:13" ht="15" customHeight="1">
      <c r="E89" s="499"/>
      <c r="M89" s="498"/>
    </row>
    <row r="90" spans="5:13" ht="15" customHeight="1">
      <c r="E90" s="499"/>
      <c r="M90" s="498"/>
    </row>
    <row r="91" spans="5:13" ht="15" customHeight="1">
      <c r="E91" s="499"/>
      <c r="M91" s="498"/>
    </row>
    <row r="92" spans="5:13" ht="15" customHeight="1">
      <c r="E92" s="499"/>
      <c r="M92" s="498"/>
    </row>
    <row r="93" spans="5:13" ht="15" customHeight="1">
      <c r="E93" s="499"/>
      <c r="M93" s="498"/>
    </row>
    <row r="94" spans="5:13" ht="15" customHeight="1">
      <c r="E94" s="499"/>
      <c r="M94" s="498"/>
    </row>
    <row r="95" spans="5:13" ht="15" customHeight="1">
      <c r="E95" s="499"/>
      <c r="M95" s="498"/>
    </row>
    <row r="96" spans="5:13" ht="15" customHeight="1">
      <c r="E96" s="499"/>
    </row>
    <row r="97" spans="5:5" ht="15" customHeight="1">
      <c r="E97" s="499"/>
    </row>
    <row r="98" spans="5:5" ht="15" customHeight="1">
      <c r="E98" s="499"/>
    </row>
    <row r="99" spans="5:5" ht="15" customHeight="1">
      <c r="E99" s="499"/>
    </row>
    <row r="100" spans="5:5" ht="15" customHeight="1">
      <c r="E100" s="499"/>
    </row>
    <row r="101" spans="5:5" ht="15" customHeight="1">
      <c r="E101" s="499"/>
    </row>
    <row r="102" spans="5:5" ht="15" customHeight="1">
      <c r="E102" s="499"/>
    </row>
    <row r="103" spans="5:5" ht="15" customHeight="1">
      <c r="E103" s="499"/>
    </row>
    <row r="104" spans="5:5" ht="15" customHeight="1">
      <c r="E104" s="499"/>
    </row>
    <row r="105" spans="5:5" ht="15" customHeight="1">
      <c r="E105" s="499"/>
    </row>
    <row r="106" spans="5:5" ht="15" customHeight="1">
      <c r="E106" s="499"/>
    </row>
    <row r="107" spans="5:5" ht="15" customHeight="1">
      <c r="E107" s="499"/>
    </row>
    <row r="108" spans="5:5" ht="15" customHeight="1">
      <c r="E108" s="499"/>
    </row>
    <row r="109" spans="5:5" ht="15" customHeight="1">
      <c r="E109" s="499"/>
    </row>
    <row r="110" spans="5:5" ht="15" customHeight="1">
      <c r="E110" s="499"/>
    </row>
    <row r="111" spans="5:5" ht="15" customHeight="1">
      <c r="E111" s="499"/>
    </row>
    <row r="112" spans="5:5" ht="15" customHeight="1">
      <c r="E112" s="499"/>
    </row>
    <row r="113" spans="5:5" ht="15" customHeight="1">
      <c r="E113" s="499"/>
    </row>
    <row r="114" spans="5:5" ht="15" customHeight="1">
      <c r="E114" s="499"/>
    </row>
    <row r="115" spans="5:5" ht="15" customHeight="1">
      <c r="E115" s="499"/>
    </row>
    <row r="116" spans="5:5" ht="15" customHeight="1">
      <c r="E116" s="499"/>
    </row>
    <row r="117" spans="5:5" ht="15" customHeight="1">
      <c r="E117" s="499"/>
    </row>
    <row r="118" spans="5:5" ht="15" customHeight="1">
      <c r="E118" s="499"/>
    </row>
    <row r="119" spans="5:5" ht="15" customHeight="1">
      <c r="E119" s="499"/>
    </row>
    <row r="120" spans="5:5">
      <c r="E120" s="499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20C7-8262-4FFA-B057-D6729B8EE118}">
  <sheetPr>
    <tabColor rgb="FF92D050"/>
  </sheetPr>
  <dimension ref="B1:AF68"/>
  <sheetViews>
    <sheetView view="pageBreakPreview" topLeftCell="A5" zoomScale="55" zoomScaleNormal="55" zoomScaleSheetLayoutView="55" workbookViewId="0">
      <selection activeCell="AD38" sqref="AD38"/>
    </sheetView>
  </sheetViews>
  <sheetFormatPr baseColWidth="10" defaultColWidth="9.1640625" defaultRowHeight="14"/>
  <cols>
    <col min="1" max="1" width="1.6640625" style="500" customWidth="1"/>
    <col min="2" max="2" width="1.5" style="500" customWidth="1"/>
    <col min="3" max="3" width="10.6640625" style="500" customWidth="1"/>
    <col min="4" max="4" width="2.5" style="500" customWidth="1"/>
    <col min="5" max="21" width="9.1640625" style="500"/>
    <col min="22" max="22" width="14.5" style="500" customWidth="1"/>
    <col min="23" max="23" width="3.1640625" style="500" customWidth="1"/>
    <col min="24" max="27" width="9.1640625" style="500"/>
    <col min="28" max="28" width="2.83203125" style="500" customWidth="1"/>
    <col min="29" max="31" width="4.6640625" style="500" customWidth="1"/>
    <col min="32" max="32" width="1.6640625" style="500" customWidth="1"/>
    <col min="33" max="16384" width="9.1640625" style="500"/>
  </cols>
  <sheetData>
    <row r="1" spans="2:32" ht="15" thickBot="1"/>
    <row r="2" spans="2:32" ht="6" customHeight="1" thickBot="1">
      <c r="B2" s="501"/>
      <c r="C2" s="502"/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  <c r="AB2" s="502"/>
      <c r="AC2" s="502"/>
      <c r="AD2" s="502"/>
      <c r="AE2" s="502"/>
      <c r="AF2" s="503"/>
    </row>
    <row r="3" spans="2:32" ht="15" thickBot="1">
      <c r="B3" s="504"/>
      <c r="C3" s="501"/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3"/>
      <c r="AF3" s="505"/>
    </row>
    <row r="4" spans="2:32" ht="12.75" customHeight="1">
      <c r="B4" s="504"/>
      <c r="C4" s="504"/>
      <c r="D4" s="723" t="s">
        <v>1651</v>
      </c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5"/>
      <c r="AD4" s="506"/>
      <c r="AE4" s="505"/>
      <c r="AF4" s="505"/>
    </row>
    <row r="5" spans="2:32" ht="13.5" customHeight="1">
      <c r="B5" s="504"/>
      <c r="C5" s="504"/>
      <c r="D5" s="726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7"/>
      <c r="AD5" s="506"/>
      <c r="AE5" s="505"/>
      <c r="AF5" s="505"/>
    </row>
    <row r="6" spans="2:32" ht="12.75" customHeight="1">
      <c r="B6" s="504"/>
      <c r="C6" s="504"/>
      <c r="D6" s="726"/>
      <c r="E6" s="721"/>
      <c r="F6" s="721"/>
      <c r="G6" s="721"/>
      <c r="H6" s="721"/>
      <c r="I6" s="721"/>
      <c r="J6" s="721"/>
      <c r="K6" s="721"/>
      <c r="L6" s="721"/>
      <c r="M6" s="721"/>
      <c r="N6" s="721"/>
      <c r="O6" s="721"/>
      <c r="P6" s="721"/>
      <c r="Q6" s="721"/>
      <c r="R6" s="721"/>
      <c r="S6" s="721"/>
      <c r="T6" s="721"/>
      <c r="U6" s="721"/>
      <c r="V6" s="721"/>
      <c r="W6" s="721"/>
      <c r="X6" s="721"/>
      <c r="Y6" s="721"/>
      <c r="Z6" s="721"/>
      <c r="AA6" s="721"/>
      <c r="AB6" s="721"/>
      <c r="AC6" s="727"/>
      <c r="AE6" s="505"/>
      <c r="AF6" s="505"/>
    </row>
    <row r="7" spans="2:32" ht="12.75" customHeight="1" thickBot="1">
      <c r="B7" s="504"/>
      <c r="C7" s="504"/>
      <c r="D7" s="728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30"/>
      <c r="AD7" s="507"/>
      <c r="AE7" s="505"/>
      <c r="AF7" s="505"/>
    </row>
    <row r="8" spans="2:32" ht="12.75" customHeight="1">
      <c r="B8" s="504"/>
      <c r="C8" s="504"/>
      <c r="Z8" s="508"/>
      <c r="AA8" s="508"/>
      <c r="AB8" s="508"/>
      <c r="AC8" s="507"/>
      <c r="AD8" s="507"/>
      <c r="AE8" s="505"/>
      <c r="AF8" s="505"/>
    </row>
    <row r="9" spans="2:32" ht="12.75" customHeight="1">
      <c r="B9" s="504"/>
      <c r="C9" s="504"/>
      <c r="AE9" s="505"/>
      <c r="AF9" s="505"/>
    </row>
    <row r="10" spans="2:32" ht="12.75" customHeight="1">
      <c r="B10" s="504"/>
      <c r="C10" s="504"/>
      <c r="AE10" s="505"/>
      <c r="AF10" s="505"/>
    </row>
    <row r="11" spans="2:32">
      <c r="B11" s="504"/>
      <c r="C11" s="504"/>
      <c r="AE11" s="505"/>
      <c r="AF11" s="505"/>
    </row>
    <row r="12" spans="2:32">
      <c r="B12" s="504"/>
      <c r="C12" s="504"/>
      <c r="AE12" s="505"/>
      <c r="AF12" s="505"/>
    </row>
    <row r="13" spans="2:32">
      <c r="B13" s="504"/>
      <c r="C13" s="504"/>
      <c r="AE13" s="505"/>
      <c r="AF13" s="505"/>
    </row>
    <row r="14" spans="2:32">
      <c r="B14" s="504"/>
      <c r="C14" s="504"/>
      <c r="AE14" s="505"/>
      <c r="AF14" s="505"/>
    </row>
    <row r="15" spans="2:32">
      <c r="B15" s="504"/>
      <c r="C15" s="504"/>
      <c r="E15" s="509"/>
      <c r="AE15" s="505"/>
      <c r="AF15" s="505"/>
    </row>
    <row r="16" spans="2:32">
      <c r="B16" s="504"/>
      <c r="C16" s="504"/>
      <c r="AE16" s="505"/>
      <c r="AF16" s="505"/>
    </row>
    <row r="17" spans="2:32">
      <c r="B17" s="504"/>
      <c r="C17" s="504"/>
      <c r="AE17" s="505"/>
      <c r="AF17" s="505"/>
    </row>
    <row r="18" spans="2:32">
      <c r="B18" s="504"/>
      <c r="C18" s="504"/>
      <c r="AE18" s="505"/>
      <c r="AF18" s="505"/>
    </row>
    <row r="19" spans="2:32">
      <c r="B19" s="504"/>
      <c r="C19" s="504"/>
      <c r="AE19" s="505"/>
      <c r="AF19" s="505"/>
    </row>
    <row r="20" spans="2:32">
      <c r="B20" s="504"/>
      <c r="C20" s="504"/>
      <c r="AE20" s="505"/>
      <c r="AF20" s="505"/>
    </row>
    <row r="21" spans="2:32">
      <c r="B21" s="504"/>
      <c r="C21" s="504"/>
      <c r="AE21" s="505"/>
      <c r="AF21" s="505"/>
    </row>
    <row r="22" spans="2:32">
      <c r="B22" s="504"/>
      <c r="C22" s="504"/>
      <c r="AE22" s="505"/>
      <c r="AF22" s="505"/>
    </row>
    <row r="23" spans="2:32">
      <c r="B23" s="504"/>
      <c r="C23" s="504"/>
      <c r="AE23" s="505"/>
      <c r="AF23" s="505"/>
    </row>
    <row r="24" spans="2:32">
      <c r="B24" s="504"/>
      <c r="C24" s="504"/>
      <c r="AE24" s="505"/>
      <c r="AF24" s="505"/>
    </row>
    <row r="25" spans="2:32">
      <c r="B25" s="504"/>
      <c r="C25" s="504"/>
      <c r="AE25" s="505"/>
      <c r="AF25" s="505"/>
    </row>
    <row r="26" spans="2:32">
      <c r="B26" s="504"/>
      <c r="C26" s="504"/>
      <c r="AE26" s="505"/>
      <c r="AF26" s="505"/>
    </row>
    <row r="27" spans="2:32">
      <c r="B27" s="504"/>
      <c r="C27" s="504"/>
      <c r="AE27" s="505"/>
      <c r="AF27" s="505"/>
    </row>
    <row r="28" spans="2:32">
      <c r="B28" s="504"/>
      <c r="C28" s="504"/>
      <c r="AE28" s="505"/>
      <c r="AF28" s="505"/>
    </row>
    <row r="29" spans="2:32">
      <c r="B29" s="504"/>
      <c r="C29" s="504"/>
      <c r="AE29" s="505"/>
      <c r="AF29" s="505"/>
    </row>
    <row r="30" spans="2:32">
      <c r="B30" s="504"/>
      <c r="C30" s="504"/>
      <c r="AE30" s="505"/>
      <c r="AF30" s="505"/>
    </row>
    <row r="31" spans="2:32">
      <c r="B31" s="504"/>
      <c r="C31" s="504"/>
      <c r="AE31" s="505"/>
      <c r="AF31" s="505"/>
    </row>
    <row r="32" spans="2:32">
      <c r="B32" s="504"/>
      <c r="C32" s="504"/>
      <c r="AE32" s="505"/>
      <c r="AF32" s="505"/>
    </row>
    <row r="33" spans="2:32">
      <c r="B33" s="504"/>
      <c r="C33" s="504"/>
      <c r="AE33" s="505"/>
      <c r="AF33" s="505"/>
    </row>
    <row r="34" spans="2:32">
      <c r="B34" s="504"/>
      <c r="C34" s="504"/>
      <c r="AE34" s="505"/>
      <c r="AF34" s="505"/>
    </row>
    <row r="35" spans="2:32">
      <c r="B35" s="504"/>
      <c r="C35" s="504"/>
      <c r="AE35" s="505"/>
      <c r="AF35" s="505"/>
    </row>
    <row r="36" spans="2:32">
      <c r="B36" s="504"/>
      <c r="C36" s="504"/>
      <c r="AE36" s="505"/>
      <c r="AF36" s="505"/>
    </row>
    <row r="37" spans="2:32">
      <c r="B37" s="504"/>
      <c r="C37" s="504"/>
      <c r="AE37" s="505"/>
      <c r="AF37" s="505"/>
    </row>
    <row r="38" spans="2:32">
      <c r="B38" s="504"/>
      <c r="C38" s="504"/>
      <c r="AE38" s="505"/>
      <c r="AF38" s="505"/>
    </row>
    <row r="39" spans="2:32">
      <c r="B39" s="504"/>
      <c r="C39" s="504"/>
      <c r="AE39" s="505"/>
      <c r="AF39" s="505"/>
    </row>
    <row r="40" spans="2:32">
      <c r="B40" s="504"/>
      <c r="C40" s="504"/>
      <c r="AE40" s="505"/>
      <c r="AF40" s="505"/>
    </row>
    <row r="41" spans="2:32">
      <c r="B41" s="504"/>
      <c r="C41" s="504"/>
      <c r="AE41" s="505"/>
      <c r="AF41" s="505"/>
    </row>
    <row r="42" spans="2:32">
      <c r="B42" s="504"/>
      <c r="C42" s="504"/>
      <c r="AE42" s="505"/>
      <c r="AF42" s="505"/>
    </row>
    <row r="43" spans="2:32">
      <c r="B43" s="504"/>
      <c r="C43" s="504"/>
      <c r="AE43" s="505"/>
      <c r="AF43" s="505"/>
    </row>
    <row r="44" spans="2:32">
      <c r="B44" s="504"/>
      <c r="C44" s="504"/>
      <c r="AE44" s="505"/>
      <c r="AF44" s="505"/>
    </row>
    <row r="45" spans="2:32">
      <c r="B45" s="504"/>
      <c r="C45" s="504"/>
      <c r="AE45" s="505"/>
      <c r="AF45" s="505"/>
    </row>
    <row r="46" spans="2:32">
      <c r="B46" s="504"/>
      <c r="C46" s="504"/>
      <c r="AE46" s="505"/>
      <c r="AF46" s="505"/>
    </row>
    <row r="47" spans="2:32">
      <c r="B47" s="504"/>
      <c r="C47" s="504"/>
      <c r="AE47" s="505"/>
      <c r="AF47" s="505"/>
    </row>
    <row r="48" spans="2:32">
      <c r="B48" s="504"/>
      <c r="C48" s="504"/>
      <c r="AE48" s="505"/>
      <c r="AF48" s="505"/>
    </row>
    <row r="49" spans="2:32">
      <c r="B49" s="504"/>
      <c r="C49" s="504"/>
      <c r="AE49" s="505"/>
      <c r="AF49" s="505"/>
    </row>
    <row r="50" spans="2:32">
      <c r="B50" s="504"/>
      <c r="C50" s="504"/>
      <c r="AE50" s="505"/>
      <c r="AF50" s="505"/>
    </row>
    <row r="51" spans="2:32">
      <c r="B51" s="504"/>
      <c r="C51" s="504"/>
      <c r="AE51" s="505"/>
      <c r="AF51" s="505"/>
    </row>
    <row r="52" spans="2:32">
      <c r="B52" s="504"/>
      <c r="C52" s="504"/>
      <c r="AE52" s="505"/>
      <c r="AF52" s="505"/>
    </row>
    <row r="53" spans="2:32">
      <c r="B53" s="504"/>
      <c r="C53" s="504"/>
      <c r="AE53" s="505"/>
      <c r="AF53" s="505"/>
    </row>
    <row r="54" spans="2:32">
      <c r="B54" s="504"/>
      <c r="C54" s="504"/>
      <c r="AE54" s="505"/>
      <c r="AF54" s="505"/>
    </row>
    <row r="55" spans="2:32">
      <c r="B55" s="504"/>
      <c r="C55" s="504"/>
      <c r="AE55" s="505"/>
      <c r="AF55" s="505"/>
    </row>
    <row r="56" spans="2:32">
      <c r="B56" s="504"/>
      <c r="C56" s="504"/>
      <c r="AE56" s="505"/>
      <c r="AF56" s="505"/>
    </row>
    <row r="57" spans="2:32">
      <c r="B57" s="504"/>
      <c r="C57" s="504"/>
      <c r="S57" s="510"/>
      <c r="T57" s="510"/>
      <c r="U57" s="510"/>
      <c r="V57" s="511"/>
      <c r="W57" s="511"/>
      <c r="X57" s="511"/>
      <c r="Y57" s="511"/>
      <c r="Z57" s="511"/>
      <c r="AA57" s="511"/>
      <c r="AB57" s="511"/>
      <c r="AC57" s="511"/>
      <c r="AD57" s="511"/>
      <c r="AE57" s="512"/>
      <c r="AF57" s="505"/>
    </row>
    <row r="58" spans="2:32">
      <c r="B58" s="504"/>
      <c r="C58" s="504"/>
      <c r="S58" s="513"/>
      <c r="T58" s="510"/>
      <c r="U58" s="510"/>
      <c r="V58" s="511"/>
      <c r="W58" s="514"/>
      <c r="X58" s="511"/>
      <c r="Y58" s="511"/>
      <c r="Z58" s="511"/>
      <c r="AA58" s="511"/>
      <c r="AB58" s="514"/>
      <c r="AC58" s="514"/>
      <c r="AD58" s="514"/>
      <c r="AE58" s="515"/>
      <c r="AF58" s="505"/>
    </row>
    <row r="59" spans="2:32">
      <c r="B59" s="504"/>
      <c r="C59" s="504"/>
      <c r="V59" s="511"/>
      <c r="W59" s="514"/>
      <c r="X59" s="511"/>
      <c r="Y59" s="511"/>
      <c r="Z59" s="511"/>
      <c r="AA59" s="511"/>
      <c r="AB59" s="514"/>
      <c r="AC59" s="511"/>
      <c r="AD59" s="511"/>
      <c r="AE59" s="512"/>
      <c r="AF59" s="505"/>
    </row>
    <row r="60" spans="2:32">
      <c r="B60" s="504"/>
      <c r="C60" s="504"/>
      <c r="V60" s="511"/>
      <c r="W60" s="514"/>
      <c r="X60" s="511"/>
      <c r="Y60" s="511"/>
      <c r="Z60" s="511"/>
      <c r="AA60" s="511"/>
      <c r="AB60" s="511"/>
      <c r="AC60" s="511"/>
      <c r="AD60" s="511"/>
      <c r="AE60" s="512"/>
      <c r="AF60" s="505"/>
    </row>
    <row r="61" spans="2:32">
      <c r="B61" s="504"/>
      <c r="C61" s="504"/>
      <c r="V61" s="516"/>
      <c r="W61" s="516"/>
      <c r="X61" s="516"/>
      <c r="Y61" s="516"/>
      <c r="Z61" s="516"/>
      <c r="AA61" s="516"/>
      <c r="AB61" s="516"/>
      <c r="AC61" s="516"/>
      <c r="AD61" s="516"/>
      <c r="AE61" s="517"/>
      <c r="AF61" s="505"/>
    </row>
    <row r="62" spans="2:32">
      <c r="B62" s="504"/>
      <c r="C62" s="504"/>
      <c r="V62" s="511"/>
      <c r="W62" s="511"/>
      <c r="X62" s="511"/>
      <c r="Y62" s="511"/>
      <c r="Z62" s="511"/>
      <c r="AA62" s="511"/>
      <c r="AB62" s="511"/>
      <c r="AC62" s="511"/>
      <c r="AD62" s="511"/>
      <c r="AE62" s="512"/>
      <c r="AF62" s="505"/>
    </row>
    <row r="63" spans="2:32">
      <c r="B63" s="504"/>
      <c r="C63" s="504"/>
      <c r="V63" s="511"/>
      <c r="W63" s="514"/>
      <c r="X63" s="511"/>
      <c r="Y63" s="511"/>
      <c r="Z63" s="511"/>
      <c r="AA63" s="511"/>
      <c r="AB63" s="511"/>
      <c r="AC63" s="511"/>
      <c r="AD63" s="511"/>
      <c r="AE63" s="512"/>
      <c r="AF63" s="505"/>
    </row>
    <row r="64" spans="2:32">
      <c r="B64" s="504"/>
      <c r="C64" s="504"/>
      <c r="V64" s="511"/>
      <c r="W64" s="514"/>
      <c r="X64" s="511"/>
      <c r="Y64" s="511"/>
      <c r="Z64" s="511"/>
      <c r="AA64" s="511"/>
      <c r="AB64" s="511"/>
      <c r="AC64" s="511"/>
      <c r="AD64" s="511"/>
      <c r="AE64" s="512"/>
      <c r="AF64" s="505"/>
    </row>
    <row r="65" spans="2:32">
      <c r="B65" s="504"/>
      <c r="C65" s="504"/>
      <c r="V65" s="511"/>
      <c r="W65" s="514"/>
      <c r="X65" s="511"/>
      <c r="Y65" s="511"/>
      <c r="Z65" s="511"/>
      <c r="AA65" s="511"/>
      <c r="AB65" s="511"/>
      <c r="AC65" s="511"/>
      <c r="AD65" s="511"/>
      <c r="AE65" s="512"/>
      <c r="AF65" s="505"/>
    </row>
    <row r="66" spans="2:32">
      <c r="B66" s="504"/>
      <c r="C66" s="504"/>
      <c r="V66" s="511"/>
      <c r="W66" s="514"/>
      <c r="X66" s="511"/>
      <c r="Y66" s="511"/>
      <c r="Z66" s="511"/>
      <c r="AA66" s="511"/>
      <c r="AB66" s="511"/>
      <c r="AC66" s="511"/>
      <c r="AD66" s="511"/>
      <c r="AE66" s="512"/>
      <c r="AF66" s="505"/>
    </row>
    <row r="67" spans="2:32" ht="15" thickBot="1">
      <c r="B67" s="504"/>
      <c r="C67" s="518"/>
      <c r="D67" s="519"/>
      <c r="E67" s="519"/>
      <c r="F67" s="519"/>
      <c r="G67" s="519"/>
      <c r="H67" s="519"/>
      <c r="I67" s="519"/>
      <c r="J67" s="519"/>
      <c r="K67" s="519"/>
      <c r="L67" s="519"/>
      <c r="M67" s="519"/>
      <c r="N67" s="519"/>
      <c r="O67" s="519"/>
      <c r="P67" s="519"/>
      <c r="Q67" s="519"/>
      <c r="R67" s="519"/>
      <c r="S67" s="519"/>
      <c r="T67" s="519"/>
      <c r="U67" s="519"/>
      <c r="V67" s="520"/>
      <c r="W67" s="521"/>
      <c r="X67" s="520"/>
      <c r="Y67" s="520"/>
      <c r="Z67" s="520"/>
      <c r="AA67" s="520"/>
      <c r="AB67" s="520"/>
      <c r="AC67" s="520"/>
      <c r="AD67" s="520"/>
      <c r="AE67" s="522"/>
      <c r="AF67" s="505"/>
    </row>
    <row r="68" spans="2:32" ht="6" customHeight="1" thickBot="1">
      <c r="B68" s="518"/>
      <c r="C68" s="519"/>
      <c r="D68" s="519"/>
      <c r="E68" s="519"/>
      <c r="F68" s="519"/>
      <c r="G68" s="519"/>
      <c r="H68" s="519"/>
      <c r="I68" s="519"/>
      <c r="J68" s="519"/>
      <c r="K68" s="519"/>
      <c r="L68" s="519"/>
      <c r="M68" s="519"/>
      <c r="N68" s="519"/>
      <c r="O68" s="519"/>
      <c r="P68" s="519"/>
      <c r="Q68" s="519"/>
      <c r="R68" s="519"/>
      <c r="S68" s="519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9"/>
      <c r="AE68" s="519"/>
      <c r="AF68" s="523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  <col min="18" max="18" width="12.5" customWidth="1"/>
    <col min="20" max="20" width="12.5" customWidth="1"/>
    <col min="22" max="22" width="12.5" customWidth="1"/>
  </cols>
  <sheetData>
    <row r="1" spans="1:11" ht="48" customHeight="1">
      <c r="A1" s="375">
        <v>1</v>
      </c>
    </row>
    <row r="2" spans="1:11" ht="48" customHeight="1">
      <c r="A2" s="375">
        <v>3</v>
      </c>
    </row>
    <row r="4" spans="1:11" ht="48" customHeight="1">
      <c r="C4" s="375">
        <v>1</v>
      </c>
    </row>
    <row r="5" spans="1:11" ht="48" customHeight="1">
      <c r="C5" s="375">
        <v>3</v>
      </c>
    </row>
    <row r="7" spans="1:11" ht="48" customHeight="1">
      <c r="E7" s="375">
        <v>1</v>
      </c>
    </row>
    <row r="8" spans="1:11" ht="48" customHeight="1">
      <c r="E8" s="375">
        <v>3</v>
      </c>
    </row>
    <row r="10" spans="1:11" ht="48" customHeight="1">
      <c r="G10" s="375">
        <v>3</v>
      </c>
    </row>
    <row r="11" spans="1:11" ht="48" customHeight="1">
      <c r="G11" s="375">
        <v>1</v>
      </c>
    </row>
    <row r="13" spans="1:11" ht="48" customHeight="1">
      <c r="I13" s="375">
        <v>3</v>
      </c>
    </row>
    <row r="14" spans="1:11" ht="48" customHeight="1">
      <c r="I14" s="375">
        <v>1</v>
      </c>
    </row>
    <row r="16" spans="1:11" ht="48" customHeight="1">
      <c r="K16" s="375">
        <v>3</v>
      </c>
    </row>
    <row r="17" spans="11:21" ht="48" customHeight="1">
      <c r="K17" s="375">
        <v>1</v>
      </c>
    </row>
    <row r="19" spans="11:21" ht="48" customHeight="1">
      <c r="M19" s="375">
        <v>3</v>
      </c>
    </row>
    <row r="20" spans="11:21" ht="48" customHeight="1">
      <c r="M20" s="375">
        <v>1</v>
      </c>
    </row>
    <row r="22" spans="11:21" ht="48" customHeight="1">
      <c r="O22" s="375">
        <v>3</v>
      </c>
    </row>
    <row r="23" spans="11:21" ht="48" customHeight="1">
      <c r="O23" s="375">
        <v>1</v>
      </c>
    </row>
    <row r="25" spans="11:21" ht="57" customHeight="1">
      <c r="Q25" s="375">
        <v>3</v>
      </c>
    </row>
    <row r="26" spans="11:21" ht="57" customHeight="1">
      <c r="Q26" s="375">
        <v>1</v>
      </c>
    </row>
    <row r="28" spans="11:21" ht="57" customHeight="1">
      <c r="S28" s="375">
        <v>3</v>
      </c>
    </row>
    <row r="29" spans="11:21" ht="57" customHeight="1">
      <c r="S29" s="375">
        <v>1</v>
      </c>
    </row>
    <row r="31" spans="11:21" ht="57" customHeight="1">
      <c r="U31" s="375">
        <v>3</v>
      </c>
    </row>
    <row r="32" spans="11:21" ht="57" customHeight="1">
      <c r="U32" s="37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2023-09-15T07:22:12Z</dcterms:modified>
</cp:coreProperties>
</file>