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wnloads/"/>
    </mc:Choice>
  </mc:AlternateContent>
  <xr:revisionPtr revIDLastSave="0" documentId="13_ncr:1_{2457895B-4C46-7D45-B1A8-6881A680CB05}" xr6:coauthVersionLast="47" xr6:coauthVersionMax="47" xr10:uidLastSave="{00000000-0000-0000-0000-000000000000}"/>
  <bookViews>
    <workbookView xWindow="0" yWindow="500" windowWidth="2074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70" r:id="rId10"/>
    <sheet name="PETA" sheetId="71" r:id="rId11"/>
    <sheet name="SLD " sheetId="7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INDEX([45]PDL!$B$1:$B$3,IFERROR(MATCH([45]KKO!$D$16,[45]PDL!$A$1:$A$2,),3))</definedName>
    <definedName name="Kutools_PDL0_1" localSheetId="10">INDEX([46]PDL!$B$1:$B$3,IFERROR(MATCH([46]KKO!$D$16,[46]PDL!$A$1:$A$2,),3))</definedName>
    <definedName name="Kutools_PDL0_1" localSheetId="11">INDEX([46]PDL!$B$1:$B$3,IFERROR(MATCH([46]KKO!$D$16,[46]PDL!$A$1:$A$2,),3))</definedName>
    <definedName name="Kutools_PDL0_1">INDEX(PDL!$B$1:$B$3,IFERROR(MATCH(KKO!$D$15,PDL!$A$1:$A$2,),3))</definedName>
    <definedName name="Kutools_PDL1_1" localSheetId="9">INDEX([45]PDL!$D$4:$D$6,IFERROR(MATCH([45]KKO!$D$16,[45]PDL!$C$4:$C$5,),3))</definedName>
    <definedName name="Kutools_PDL1_1" localSheetId="10">INDEX([46]PDL!$D$4:$D$6,IFERROR(MATCH([46]KKO!$D$16,[46]PDL!$C$4:$C$5,),3))</definedName>
    <definedName name="Kutools_PDL1_1" localSheetId="11">INDEX([46]PDL!$D$4:$D$6,IFERROR(MATCH([46]KKO!$D$16,[46]PDL!$C$4:$C$5,),3))</definedName>
    <definedName name="Kutools_PDL1_1">INDEX(PDL!$D$4:$D$6,IFERROR(MATCH(KKO!$D$15,PDL!$C$4:$C$5,),3))</definedName>
    <definedName name="Kutools_PDL10_1" localSheetId="9">INDEX([45]PDL!$V$31:$V$33,IFERROR(MATCH([45]KKO!$K$16,[45]PDL!$U$31:$U$32,),3))</definedName>
    <definedName name="Kutools_PDL10_1" localSheetId="10">INDEX([46]PDL!$V$31:$V$33,IFERROR(MATCH([46]KKO!$K$16,[46]PDL!$U$31:$U$32,),3))</definedName>
    <definedName name="Kutools_PDL10_1" localSheetId="11">INDEX([46]PDL!$V$31:$V$33,IFERROR(MATCH([46]KKO!$K$16,[46]PDL!$U$31:$U$32,),3))</definedName>
    <definedName name="Kutools_PDL10_1">INDEX(PDL!$V$31:$V$33,IFERROR(MATCH(KKO!$K$15,PDL!$U$31:$U$32,),3))</definedName>
    <definedName name="Kutools_PDL2_1" localSheetId="9">INDEX([45]PDL!$F$7:$F$9,IFERROR(MATCH([45]KKO!$K$16,[45]PDL!$E$7:$E$8,),3))</definedName>
    <definedName name="Kutools_PDL2_1" localSheetId="10">INDEX([46]PDL!$F$7:$F$9,IFERROR(MATCH([46]KKO!$K$16,[46]PDL!$E$7:$E$8,),3))</definedName>
    <definedName name="Kutools_PDL2_1" localSheetId="11">INDEX([46]PDL!$F$7:$F$9,IFERROR(MATCH([46]KKO!$K$16,[46]PDL!$E$7:$E$8,),3))</definedName>
    <definedName name="Kutools_PDL2_1">INDEX(PDL!$F$7:$F$9,IFERROR(MATCH(KKO!$K$15,PDL!$E$7:$E$8,),3))</definedName>
    <definedName name="Kutools_PDL3_1" localSheetId="9">INDEX([45]PDL!$H$10:$H$12,IFERROR(MATCH([45]KKO!$D$16,[45]PDL!$G$10:$G$11,),3))</definedName>
    <definedName name="Kutools_PDL3_1" localSheetId="10">INDEX([46]PDL!$H$10:$H$12,IFERROR(MATCH([46]KKO!$D$16,[46]PDL!$G$10:$G$11,),3))</definedName>
    <definedName name="Kutools_PDL3_1" localSheetId="11">INDEX([46]PDL!$H$10:$H$12,IFERROR(MATCH([46]KKO!$D$16,[46]PDL!$G$10:$G$11,),3))</definedName>
    <definedName name="Kutools_PDL3_1">INDEX(PDL!$H$10:$H$12,IFERROR(MATCH(KKO!$D$15,PDL!$G$10:$G$11,),3))</definedName>
    <definedName name="Kutools_PDL4_1" localSheetId="9">INDEX([45]PDL!$J$13:$J$15,IFERROR(MATCH([45]KKO!$D$16,[45]PDL!$I$13:$I$14,),3))</definedName>
    <definedName name="Kutools_PDL4_1" localSheetId="10">INDEX([46]PDL!$J$13:$J$15,IFERROR(MATCH([46]KKO!$D$16,[46]PDL!$I$13:$I$14,),3))</definedName>
    <definedName name="Kutools_PDL4_1" localSheetId="11">INDEX([46]PDL!$J$13:$J$15,IFERROR(MATCH([46]KKO!$D$16,[46]PDL!$I$13:$I$14,),3))</definedName>
    <definedName name="Kutools_PDL4_1">INDEX(PDL!$J$13:$J$15,IFERROR(MATCH(KKO!$D$15,PDL!$I$13:$I$14,),3))</definedName>
    <definedName name="Kutools_PDL5_1" localSheetId="9">INDEX([45]PDL!$L$16:$L$18,IFERROR(MATCH([45]KKO!$K$16,[45]PDL!$K$16:$K$17,),3))</definedName>
    <definedName name="Kutools_PDL5_1" localSheetId="10">INDEX([46]PDL!$L$16:$L$18,IFERROR(MATCH([46]KKO!$K$16,[46]PDL!$K$16:$K$17,),3))</definedName>
    <definedName name="Kutools_PDL5_1" localSheetId="11">INDEX([46]PDL!$L$16:$L$18,IFERROR(MATCH([46]KKO!$K$16,[46]PDL!$K$16:$K$17,),3))</definedName>
    <definedName name="Kutools_PDL5_1">INDEX(PDL!$L$16:$L$18,IFERROR(MATCH(KKO!$K$15,PDL!$K$16:$K$17,),3))</definedName>
    <definedName name="Kutools_PDL6_1" localSheetId="9">INDEX([45]PDL!$N$19:$N$21,IFERROR(MATCH([45]KKO!$D$16,[45]PDL!$M$19:$M$20,),3))</definedName>
    <definedName name="Kutools_PDL6_1" localSheetId="10">INDEX([46]PDL!$N$19:$N$21,IFERROR(MATCH([46]KKO!$D$16,[46]PDL!$M$19:$M$20,),3))</definedName>
    <definedName name="Kutools_PDL6_1" localSheetId="11">INDEX([46]PDL!$N$19:$N$21,IFERROR(MATCH([46]KKO!$D$16,[46]PDL!$M$19:$M$20,),3))</definedName>
    <definedName name="Kutools_PDL6_1">INDEX(PDL!$N$19:$N$21,IFERROR(MATCH(KKO!$D$15,PDL!$M$19:$M$20,),3))</definedName>
    <definedName name="Kutools_PDL7_1" localSheetId="9">INDEX([45]PDL!$P$22:$P$24,IFERROR(MATCH([45]KKO!$D$16,[45]PDL!$O$22:$O$23,),3))</definedName>
    <definedName name="Kutools_PDL7_1" localSheetId="10">INDEX([46]PDL!$P$22:$P$24,IFERROR(MATCH([46]KKO!$D$16,[46]PDL!$O$22:$O$23,),3))</definedName>
    <definedName name="Kutools_PDL7_1" localSheetId="11">INDEX([46]PDL!$P$22:$P$24,IFERROR(MATCH([46]KKO!$D$16,[46]PDL!$O$22:$O$23,),3))</definedName>
    <definedName name="Kutools_PDL7_1">INDEX(PDL!$P$22:$P$24,IFERROR(MATCH(KKO!$D$15,PDL!$O$22:$O$23,),3))</definedName>
    <definedName name="Kutools_PDL8_1" localSheetId="9">INDEX([45]PDL!$R$25:$R$27,IFERROR(MATCH([45]KKO!$D$16,[45]PDL!$Q$25:$Q$26,),3))</definedName>
    <definedName name="Kutools_PDL8_1" localSheetId="10">INDEX([46]PDL!$R$25:$R$27,IFERROR(MATCH([46]KKO!$D$16,[46]PDL!$Q$25:$Q$26,),3))</definedName>
    <definedName name="Kutools_PDL8_1" localSheetId="11">INDEX([46]PDL!$R$25:$R$27,IFERROR(MATCH([46]KKO!$D$16,[46]PDL!$Q$25:$Q$26,),3))</definedName>
    <definedName name="Kutools_PDL8_1">INDEX(PDL!$R$25:$R$27,IFERROR(MATCH(KKO!$D$15,PDL!$Q$25:$Q$26,),3))</definedName>
    <definedName name="Kutools_PDL9_1" localSheetId="9">INDEX([45]PDL!$T$28:$T$30,IFERROR(MATCH([45]KKO!$D$16,[45]PDL!$S$28:$S$29,),3))</definedName>
    <definedName name="Kutools_PDL9_1" localSheetId="10">INDEX([46]PDL!$T$28:$T$30,IFERROR(MATCH([46]KKO!$D$16,[46]PDL!$S$28:$S$29,),3))</definedName>
    <definedName name="Kutools_PDL9_1" localSheetId="11">INDEX([46]PDL!$T$28:$T$30,IFERROR(MATCH([46]KKO!$D$16,[46]PDL!$S$28:$S$29,),3))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6" i="11" l="1"/>
  <c r="E116" i="11"/>
  <c r="D116" i="11"/>
  <c r="J116" i="11" s="1"/>
  <c r="G115" i="11"/>
  <c r="E115" i="11"/>
  <c r="D115" i="11"/>
  <c r="J115" i="11" s="1"/>
  <c r="G114" i="11"/>
  <c r="E114" i="11"/>
  <c r="D114" i="11"/>
  <c r="G112" i="11"/>
  <c r="E112" i="11"/>
  <c r="D112" i="11"/>
  <c r="H112" i="11" s="1"/>
  <c r="G111" i="11"/>
  <c r="E111" i="11"/>
  <c r="D111" i="11"/>
  <c r="J111" i="11" s="1"/>
  <c r="G110" i="11"/>
  <c r="E110" i="11"/>
  <c r="D110" i="11"/>
  <c r="G109" i="11"/>
  <c r="E109" i="11"/>
  <c r="D109" i="11"/>
  <c r="G108" i="11"/>
  <c r="E108" i="11"/>
  <c r="D108" i="11"/>
  <c r="J108" i="11" s="1"/>
  <c r="A108" i="11"/>
  <c r="G107" i="11"/>
  <c r="E107" i="11"/>
  <c r="D107" i="11"/>
  <c r="J107" i="11" s="1"/>
  <c r="A107" i="11"/>
  <c r="G106" i="11"/>
  <c r="E106" i="11"/>
  <c r="D106" i="11"/>
  <c r="J106" i="11" s="1"/>
  <c r="A106" i="11"/>
  <c r="G105" i="11"/>
  <c r="E105" i="11"/>
  <c r="D105" i="11"/>
  <c r="J105" i="11" s="1"/>
  <c r="G104" i="11"/>
  <c r="E104" i="11"/>
  <c r="D104" i="11"/>
  <c r="J104" i="11" s="1"/>
  <c r="A104" i="11"/>
  <c r="G103" i="11"/>
  <c r="E103" i="11"/>
  <c r="D103" i="11"/>
  <c r="A103" i="11"/>
  <c r="D102" i="11"/>
  <c r="G101" i="11"/>
  <c r="E101" i="11"/>
  <c r="D101" i="11"/>
  <c r="J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31" i="11"/>
  <c r="D131" i="11"/>
  <c r="I131" i="11" s="1"/>
  <c r="G130" i="11"/>
  <c r="E130" i="11"/>
  <c r="D130" i="11"/>
  <c r="H130" i="11" s="1"/>
  <c r="G129" i="11"/>
  <c r="E129" i="11"/>
  <c r="D129" i="11"/>
  <c r="I129" i="11" s="1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J82" i="11" s="1"/>
  <c r="A82" i="11"/>
  <c r="E81" i="11"/>
  <c r="D81" i="11"/>
  <c r="H81" i="11" s="1"/>
  <c r="E80" i="11"/>
  <c r="D80" i="11"/>
  <c r="A80" i="11"/>
  <c r="E79" i="11"/>
  <c r="D79" i="11"/>
  <c r="J79" i="11" s="1"/>
  <c r="E78" i="11"/>
  <c r="D78" i="11"/>
  <c r="J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H75" i="11" s="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G122" i="11"/>
  <c r="G128" i="11"/>
  <c r="G133" i="11"/>
  <c r="G134" i="11"/>
  <c r="G141" i="11"/>
  <c r="E122" i="11"/>
  <c r="E123" i="11"/>
  <c r="E124" i="11"/>
  <c r="E125" i="11"/>
  <c r="E126" i="11"/>
  <c r="E127" i="11"/>
  <c r="E128" i="11"/>
  <c r="E133" i="11"/>
  <c r="E134" i="11"/>
  <c r="E135" i="11"/>
  <c r="E136" i="11"/>
  <c r="E137" i="11"/>
  <c r="E138" i="11"/>
  <c r="E139" i="11"/>
  <c r="E140" i="11"/>
  <c r="E141" i="11"/>
  <c r="D142" i="11"/>
  <c r="J142" i="11" s="1"/>
  <c r="D121" i="11"/>
  <c r="D122" i="11"/>
  <c r="H122" i="11" s="1"/>
  <c r="D123" i="11"/>
  <c r="H123" i="11" s="1"/>
  <c r="D124" i="11"/>
  <c r="J124" i="11" s="1"/>
  <c r="D125" i="11"/>
  <c r="D126" i="11"/>
  <c r="H126" i="11" s="1"/>
  <c r="D127" i="11"/>
  <c r="H127" i="11" s="1"/>
  <c r="D128" i="11"/>
  <c r="I128" i="11" s="1"/>
  <c r="D133" i="11"/>
  <c r="H133" i="11" s="1"/>
  <c r="D134" i="11"/>
  <c r="J134" i="11" s="1"/>
  <c r="D135" i="11"/>
  <c r="D136" i="11"/>
  <c r="J136" i="11" s="1"/>
  <c r="D137" i="11"/>
  <c r="J137" i="11" s="1"/>
  <c r="D138" i="11"/>
  <c r="D139" i="11"/>
  <c r="H139" i="11" s="1"/>
  <c r="D140" i="11"/>
  <c r="J140" i="11" s="1"/>
  <c r="D141" i="11"/>
  <c r="H141" i="11" s="1"/>
  <c r="E97" i="11"/>
  <c r="E117" i="1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/>
  <c r="D18" i="59"/>
  <c r="D7" i="60" s="1"/>
  <c r="D9" i="60" s="1"/>
  <c r="D21" i="59"/>
  <c r="K7" i="60"/>
  <c r="K9" i="60" s="1"/>
  <c r="K16" i="60" s="1"/>
  <c r="K20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J47" i="11" s="1"/>
  <c r="A47" i="11"/>
  <c r="E46" i="11"/>
  <c r="D46" i="11"/>
  <c r="A46" i="11"/>
  <c r="E45" i="11"/>
  <c r="D45" i="11"/>
  <c r="A45" i="11"/>
  <c r="E43" i="11"/>
  <c r="D43" i="11"/>
  <c r="H43" i="11" s="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J64" i="11" s="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H60" i="11" s="1"/>
  <c r="A60" i="11"/>
  <c r="E59" i="11"/>
  <c r="D59" i="11"/>
  <c r="H59" i="11" s="1"/>
  <c r="A59" i="11"/>
  <c r="E58" i="11"/>
  <c r="D58" i="11"/>
  <c r="J58" i="11" s="1"/>
  <c r="A58" i="11"/>
  <c r="E57" i="11"/>
  <c r="D57" i="11"/>
  <c r="J57" i="11" s="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142" i="11"/>
  <c r="E142" i="11"/>
  <c r="A123" i="11"/>
  <c r="A122" i="11"/>
  <c r="E120" i="11"/>
  <c r="D120" i="11"/>
  <c r="A120" i="11"/>
  <c r="E119" i="11"/>
  <c r="D119" i="11"/>
  <c r="H119" i="11" s="1"/>
  <c r="E118" i="11"/>
  <c r="D118" i="11"/>
  <c r="A118" i="11"/>
  <c r="D117" i="11"/>
  <c r="E96" i="11"/>
  <c r="D96" i="11"/>
  <c r="J96" i="11" s="1"/>
  <c r="A96" i="11"/>
  <c r="E95" i="11"/>
  <c r="D95" i="11"/>
  <c r="A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/>
  <c r="F3" i="54"/>
  <c r="D8" i="59"/>
  <c r="D9" i="59" s="1"/>
  <c r="K7" i="54" s="1"/>
  <c r="C7" i="54"/>
  <c r="H7" i="54" s="1"/>
  <c r="C8" i="54"/>
  <c r="H8" i="54" s="1"/>
  <c r="G15" i="11"/>
  <c r="E15" i="11"/>
  <c r="D15" i="11"/>
  <c r="J15" i="11" s="1"/>
  <c r="A15" i="11"/>
  <c r="E17" i="11"/>
  <c r="D17" i="11"/>
  <c r="A17" i="11"/>
  <c r="G97" i="11"/>
  <c r="D97" i="11"/>
  <c r="J97" i="11" s="1"/>
  <c r="D18" i="11"/>
  <c r="H18" i="11" s="1"/>
  <c r="E18" i="11"/>
  <c r="D14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25" i="11"/>
  <c r="A126" i="11"/>
  <c r="A127" i="11"/>
  <c r="G143" i="11"/>
  <c r="E143" i="11"/>
  <c r="D143" i="11"/>
  <c r="H143" i="11" s="1"/>
  <c r="E144" i="11"/>
  <c r="D145" i="11"/>
  <c r="H145" i="11" s="1"/>
  <c r="E145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4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9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23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19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40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31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24" i="11"/>
  <c r="I578" i="10"/>
  <c r="I670" i="10"/>
  <c r="G127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8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2" i="11"/>
  <c r="I1220" i="10"/>
  <c r="I1219" i="10"/>
  <c r="I9" i="10"/>
  <c r="G135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37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25" i="11"/>
  <c r="G72" i="11"/>
  <c r="G24" i="11"/>
  <c r="G78" i="11"/>
  <c r="N1362" i="10"/>
  <c r="N1357" i="10"/>
  <c r="N1349" i="10"/>
  <c r="N1332" i="10"/>
  <c r="N1316" i="10"/>
  <c r="N1309" i="10"/>
  <c r="N1258" i="10"/>
  <c r="G144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26" i="11"/>
  <c r="G73" i="11"/>
  <c r="N1430" i="10"/>
  <c r="N1390" i="10"/>
  <c r="N1352" i="10"/>
  <c r="N1344" i="10"/>
  <c r="N1337" i="10"/>
  <c r="N1307" i="10"/>
  <c r="N146" i="10"/>
  <c r="G120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36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37" i="11"/>
  <c r="G92" i="11"/>
  <c r="A91" i="11" s="1"/>
  <c r="G117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F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118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D8" i="54"/>
  <c r="C9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F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E8" i="54"/>
  <c r="L8" i="54"/>
  <c r="M8" i="54" s="1"/>
  <c r="I9" i="54"/>
  <c r="H9" i="54"/>
  <c r="C10" i="54"/>
  <c r="I10" i="54" s="1"/>
  <c r="D9" i="54"/>
  <c r="E9" i="54" s="1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F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F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D7" i="54"/>
  <c r="E7" i="54" s="1"/>
  <c r="E858" i="41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7" i="54" l="1"/>
  <c r="M7" i="54" s="1"/>
  <c r="L9" i="54"/>
  <c r="M9" i="54" s="1"/>
  <c r="I114" i="11"/>
  <c r="H125" i="11"/>
  <c r="I110" i="11"/>
  <c r="E241" i="29"/>
  <c r="H82" i="11"/>
  <c r="E862" i="41"/>
  <c r="E831" i="41"/>
  <c r="F58" i="39"/>
  <c r="E761" i="41"/>
  <c r="E751" i="41"/>
  <c r="E757" i="41"/>
  <c r="F809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I7" i="54"/>
  <c r="D10" i="54"/>
  <c r="E10" i="54" s="1"/>
  <c r="C11" i="54"/>
  <c r="I8" i="54"/>
  <c r="H10" i="54"/>
  <c r="H77" i="11"/>
  <c r="J103" i="11"/>
  <c r="H109" i="11"/>
  <c r="I78" i="11"/>
  <c r="I31" i="11"/>
  <c r="F834" i="41"/>
  <c r="J52" i="11"/>
  <c r="E269" i="29"/>
  <c r="I26" i="11"/>
  <c r="I36" i="11"/>
  <c r="I97" i="11"/>
  <c r="H36" i="11"/>
  <c r="H97" i="11"/>
  <c r="F352" i="29"/>
  <c r="J36" i="39"/>
  <c r="E748" i="41"/>
  <c r="F718" i="41"/>
  <c r="I41" i="11"/>
  <c r="I38" i="11"/>
  <c r="E351" i="29"/>
  <c r="J39" i="11"/>
  <c r="F806" i="41"/>
  <c r="F826" i="41"/>
  <c r="I74" i="11"/>
  <c r="F824" i="41"/>
  <c r="J65" i="11"/>
  <c r="J45" i="11"/>
  <c r="I124" i="11"/>
  <c r="H23" i="11"/>
  <c r="H24" i="11"/>
  <c r="I82" i="11"/>
  <c r="K82" i="11" s="1"/>
  <c r="J118" i="11"/>
  <c r="H79" i="11"/>
  <c r="I109" i="11"/>
  <c r="I28" i="11"/>
  <c r="I95" i="11"/>
  <c r="I91" i="11"/>
  <c r="J51" i="11"/>
  <c r="I37" i="11"/>
  <c r="H25" i="11"/>
  <c r="J109" i="11"/>
  <c r="H111" i="11"/>
  <c r="J114" i="11"/>
  <c r="J110" i="11"/>
  <c r="I112" i="11"/>
  <c r="F781" i="41"/>
  <c r="J23" i="11"/>
  <c r="E743" i="41"/>
  <c r="H110" i="11"/>
  <c r="I111" i="11"/>
  <c r="J112" i="11"/>
  <c r="H100" i="11"/>
  <c r="H101" i="11"/>
  <c r="H105" i="11"/>
  <c r="H106" i="11"/>
  <c r="H107" i="11"/>
  <c r="H108" i="11"/>
  <c r="I43" i="11"/>
  <c r="H98" i="11"/>
  <c r="H99" i="11"/>
  <c r="I100" i="11"/>
  <c r="I101" i="11"/>
  <c r="H103" i="11"/>
  <c r="H104" i="11"/>
  <c r="I105" i="11"/>
  <c r="I106" i="11"/>
  <c r="I107" i="11"/>
  <c r="I108" i="11"/>
  <c r="H116" i="11"/>
  <c r="F304" i="29"/>
  <c r="I98" i="11"/>
  <c r="I99" i="11"/>
  <c r="I103" i="11"/>
  <c r="I104" i="11"/>
  <c r="H115" i="11"/>
  <c r="I116" i="11"/>
  <c r="I80" i="11"/>
  <c r="H142" i="11"/>
  <c r="H114" i="11"/>
  <c r="I115" i="11"/>
  <c r="I118" i="11"/>
  <c r="F762" i="41"/>
  <c r="E766" i="41"/>
  <c r="E823" i="41"/>
  <c r="H118" i="1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J131" i="11"/>
  <c r="E319" i="29"/>
  <c r="F225" i="29"/>
  <c r="E1227" i="41"/>
  <c r="I145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I96" i="1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F835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137" i="11"/>
  <c r="J95" i="11"/>
  <c r="J92" i="11"/>
  <c r="I125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120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H95" i="11"/>
  <c r="E1320" i="41"/>
  <c r="E1234" i="41"/>
  <c r="E838" i="41"/>
  <c r="F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F349" i="29"/>
  <c r="E330" i="29"/>
  <c r="I18" i="11"/>
  <c r="I58" i="11"/>
  <c r="J18" i="11"/>
  <c r="H16" i="11"/>
  <c r="J41" i="11"/>
  <c r="I137" i="11"/>
  <c r="F242" i="29"/>
  <c r="F298" i="29"/>
  <c r="I77" i="11"/>
  <c r="E276" i="29"/>
  <c r="J145" i="11"/>
  <c r="I126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K81" i="11" s="1"/>
  <c r="J130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F803" i="41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H124" i="11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F780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119" i="11"/>
  <c r="I69" i="11"/>
  <c r="H129" i="11"/>
  <c r="H96" i="11"/>
  <c r="J59" i="11"/>
  <c r="J24" i="11"/>
  <c r="E64" i="39"/>
  <c r="J69" i="11"/>
  <c r="I140" i="11"/>
  <c r="J66" i="11"/>
  <c r="I70" i="11"/>
  <c r="I72" i="11"/>
  <c r="I141" i="11"/>
  <c r="J128" i="11"/>
  <c r="H71" i="11"/>
  <c r="J29" i="11"/>
  <c r="F240" i="29"/>
  <c r="I52" i="11"/>
  <c r="I66" i="11"/>
  <c r="J48" i="11"/>
  <c r="J125" i="11"/>
  <c r="H70" i="11"/>
  <c r="F228" i="29"/>
  <c r="E263" i="29"/>
  <c r="F277" i="29"/>
  <c r="I94" i="11"/>
  <c r="J93" i="11"/>
  <c r="H140" i="11"/>
  <c r="I130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1292" i="41" s="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F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F290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H134" i="11"/>
  <c r="I134" i="11"/>
  <c r="J33" i="11"/>
  <c r="H33" i="11"/>
  <c r="F226" i="29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J139" i="11"/>
  <c r="I76" i="11"/>
  <c r="F286" i="29"/>
  <c r="E246" i="29"/>
  <c r="I119" i="11"/>
  <c r="I122" i="11"/>
  <c r="H128" i="11"/>
  <c r="J129" i="11"/>
  <c r="E66" i="39"/>
  <c r="F266" i="29"/>
  <c r="F60" i="39"/>
  <c r="J83" i="11"/>
  <c r="I139" i="11"/>
  <c r="H20" i="11"/>
  <c r="H91" i="11"/>
  <c r="I133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J122" i="11"/>
  <c r="E1193" i="41"/>
  <c r="E889" i="41"/>
  <c r="E976" i="41"/>
  <c r="E1090" i="41"/>
  <c r="E1142" i="41"/>
  <c r="E839" i="41"/>
  <c r="F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F1143" i="41" s="1"/>
  <c r="E910" i="41"/>
  <c r="E1178" i="41"/>
  <c r="E893" i="41"/>
  <c r="E1020" i="41"/>
  <c r="F741" i="41"/>
  <c r="E982" i="41"/>
  <c r="E924" i="41"/>
  <c r="F348" i="29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F300" i="29"/>
  <c r="E232" i="29"/>
  <c r="F232" i="29"/>
  <c r="H117" i="11"/>
  <c r="J117" i="11"/>
  <c r="I117" i="11"/>
  <c r="F357" i="29"/>
  <c r="F345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67" i="39" s="1"/>
  <c r="F271" i="29"/>
  <c r="E250" i="29"/>
  <c r="F250" i="29"/>
  <c r="E244" i="29"/>
  <c r="H138" i="11"/>
  <c r="J138" i="11"/>
  <c r="I138" i="11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I123" i="11"/>
  <c r="J123" i="11"/>
  <c r="J94" i="11"/>
  <c r="H94" i="11"/>
  <c r="H49" i="11"/>
  <c r="I49" i="11"/>
  <c r="J127" i="11"/>
  <c r="I127" i="11"/>
  <c r="J30" i="11"/>
  <c r="H30" i="11"/>
  <c r="I30" i="11"/>
  <c r="E283" i="29"/>
  <c r="F283" i="29"/>
  <c r="K15" i="29"/>
  <c r="J141" i="11"/>
  <c r="I136" i="11"/>
  <c r="H136" i="11"/>
  <c r="E288" i="29"/>
  <c r="F288" i="29"/>
  <c r="H57" i="11"/>
  <c r="I57" i="11"/>
  <c r="H67" i="11"/>
  <c r="J67" i="11"/>
  <c r="H45" i="11"/>
  <c r="I45" i="11"/>
  <c r="J135" i="11"/>
  <c r="H135" i="11"/>
  <c r="I13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143" i="11"/>
  <c r="I143" i="11"/>
  <c r="I120" i="11"/>
  <c r="H120" i="11"/>
  <c r="H80" i="11"/>
  <c r="J80" i="11"/>
  <c r="E313" i="29"/>
  <c r="J75" i="11"/>
  <c r="I20" i="11"/>
  <c r="I142" i="11"/>
  <c r="H55" i="11"/>
  <c r="J126" i="11"/>
  <c r="J74" i="11"/>
  <c r="J91" i="11"/>
  <c r="J133" i="11"/>
  <c r="H131" i="11"/>
  <c r="F373" i="29" l="1"/>
  <c r="F1089" i="41"/>
  <c r="F65" i="39"/>
  <c r="F69" i="39"/>
  <c r="F372" i="29"/>
  <c r="F1158" i="41"/>
  <c r="F1052" i="41"/>
  <c r="F371" i="29"/>
  <c r="F940" i="41"/>
  <c r="F369" i="29"/>
  <c r="K68" i="11"/>
  <c r="K85" i="11"/>
  <c r="K88" i="11"/>
  <c r="K79" i="11"/>
  <c r="K124" i="11"/>
  <c r="K77" i="11"/>
  <c r="K78" i="11"/>
  <c r="H11" i="54"/>
  <c r="I11" i="54"/>
  <c r="D11" i="54"/>
  <c r="C12" i="54"/>
  <c r="E11" i="54"/>
  <c r="K36" i="39"/>
  <c r="K65" i="11"/>
  <c r="L10" i="54"/>
  <c r="M10" i="54" s="1"/>
  <c r="K96" i="11"/>
  <c r="K126" i="11"/>
  <c r="K31" i="11"/>
  <c r="K36" i="11"/>
  <c r="K131" i="11"/>
  <c r="K26" i="11"/>
  <c r="F852" i="41"/>
  <c r="K137" i="1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97" i="11"/>
  <c r="K109" i="11"/>
  <c r="K110" i="11"/>
  <c r="K112" i="11"/>
  <c r="K28" i="11"/>
  <c r="K114" i="11"/>
  <c r="K103" i="11"/>
  <c r="K106" i="11"/>
  <c r="K23" i="11"/>
  <c r="K53" i="11"/>
  <c r="K74" i="11"/>
  <c r="K55" i="11"/>
  <c r="K43" i="11"/>
  <c r="K142" i="11"/>
  <c r="K50" i="11"/>
  <c r="K76" i="11"/>
  <c r="K116" i="11"/>
  <c r="K101" i="11"/>
  <c r="K111" i="11"/>
  <c r="K99" i="11"/>
  <c r="K104" i="11"/>
  <c r="K107" i="11"/>
  <c r="K100" i="11"/>
  <c r="K115" i="11"/>
  <c r="K98" i="11"/>
  <c r="K128" i="11"/>
  <c r="K48" i="11"/>
  <c r="K90" i="11"/>
  <c r="K118" i="11"/>
  <c r="K108" i="11"/>
  <c r="K87" i="11"/>
  <c r="K35" i="11"/>
  <c r="K69" i="11"/>
  <c r="K105" i="11"/>
  <c r="K27" i="11"/>
  <c r="K39" i="11"/>
  <c r="K24" i="11"/>
  <c r="K95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45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129" i="11"/>
  <c r="K66" i="11"/>
  <c r="K140" i="11"/>
  <c r="K141" i="11"/>
  <c r="K130" i="11"/>
  <c r="K119" i="11"/>
  <c r="K93" i="11"/>
  <c r="K125" i="11"/>
  <c r="K72" i="11"/>
  <c r="K136" i="11"/>
  <c r="K18" i="11"/>
  <c r="K70" i="11"/>
  <c r="K37" i="11"/>
  <c r="K122" i="11"/>
  <c r="K133" i="11"/>
  <c r="K94" i="11"/>
  <c r="K91" i="11"/>
  <c r="K44" i="11"/>
  <c r="K134" i="11"/>
  <c r="K33" i="11"/>
  <c r="K127" i="11"/>
  <c r="K139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143" i="11"/>
  <c r="K135" i="11"/>
  <c r="K38" i="11"/>
  <c r="F347" i="29"/>
  <c r="K19" i="11"/>
  <c r="K46" i="11"/>
  <c r="K120" i="11"/>
  <c r="K67" i="11"/>
  <c r="K30" i="11"/>
  <c r="K42" i="11"/>
  <c r="K56" i="11"/>
  <c r="K57" i="11"/>
  <c r="K138" i="11"/>
  <c r="K117" i="11"/>
  <c r="H147" i="11"/>
  <c r="F828" i="41"/>
  <c r="F802" i="41"/>
  <c r="K123" i="11"/>
  <c r="K61" i="11"/>
  <c r="F312" i="29"/>
  <c r="F233" i="29"/>
  <c r="I147" i="11"/>
  <c r="K15" i="11"/>
  <c r="K25" i="11"/>
  <c r="H12" i="54" l="1"/>
  <c r="C13" i="54"/>
  <c r="I12" i="54"/>
  <c r="D12" i="54"/>
  <c r="E12" i="54"/>
  <c r="L11" i="54"/>
  <c r="M11" i="54" s="1"/>
  <c r="C19" i="39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F129" i="29"/>
  <c r="F140" i="29"/>
  <c r="F36" i="29"/>
  <c r="F105" i="29"/>
  <c r="F35" i="29"/>
  <c r="F599" i="41"/>
  <c r="C380" i="41"/>
  <c r="G380" i="41" s="1"/>
  <c r="C513" i="4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C117" i="41"/>
  <c r="G117" i="41" s="1"/>
  <c r="F154" i="41"/>
  <c r="F407" i="41"/>
  <c r="F70" i="41"/>
  <c r="F363" i="41"/>
  <c r="F352" i="41"/>
  <c r="C544" i="41"/>
  <c r="D544" i="41" s="1"/>
  <c r="C61" i="29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G513" i="41"/>
  <c r="D513" i="41"/>
  <c r="L513" i="41"/>
  <c r="B513" i="41"/>
  <c r="L370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48" i="11"/>
  <c r="H149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G554" i="41"/>
  <c r="B554" i="41"/>
  <c r="L554" i="41"/>
  <c r="B25" i="41"/>
  <c r="G25" i="41"/>
  <c r="D25" i="41"/>
  <c r="L25" i="41"/>
  <c r="B495" i="41"/>
  <c r="D495" i="41"/>
  <c r="L495" i="41"/>
  <c r="G495" i="41"/>
  <c r="C148" i="41"/>
  <c r="C182" i="41"/>
  <c r="B21" i="39"/>
  <c r="E21" i="39" s="1"/>
  <c r="G21" i="39"/>
  <c r="D21" i="39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D19" i="39"/>
  <c r="B19" i="39"/>
  <c r="E19" i="39" s="1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B61" i="29"/>
  <c r="E61" i="29" s="1"/>
  <c r="D61" i="29"/>
  <c r="G61" i="29"/>
  <c r="L260" i="41"/>
  <c r="B260" i="41"/>
  <c r="G260" i="41"/>
  <c r="D260" i="41"/>
  <c r="L496" i="41"/>
  <c r="B241" i="41"/>
  <c r="D241" i="41"/>
  <c r="G241" i="41"/>
  <c r="L241" i="41"/>
  <c r="D106" i="29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G398" i="41"/>
  <c r="B398" i="41"/>
  <c r="L398" i="41"/>
  <c r="D398" i="41"/>
  <c r="L191" i="41"/>
  <c r="B191" i="41"/>
  <c r="D191" i="41"/>
  <c r="G191" i="41"/>
  <c r="D86" i="29"/>
  <c r="I148" i="11"/>
  <c r="I149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02" i="41"/>
  <c r="L202" i="41"/>
  <c r="D202" i="41"/>
  <c r="G202" i="41"/>
  <c r="G339" i="41"/>
  <c r="D339" i="41"/>
  <c r="B339" i="41"/>
  <c r="L339" i="41"/>
  <c r="D43" i="29"/>
  <c r="D599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B22" i="39"/>
  <c r="E22" i="39" s="1"/>
  <c r="D22" i="39"/>
  <c r="G22" i="3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B66" i="29"/>
  <c r="E66" i="29" s="1"/>
  <c r="D66" i="29"/>
  <c r="G66" i="29"/>
  <c r="G20" i="39"/>
  <c r="G503" i="41"/>
  <c r="G412" i="41"/>
  <c r="B412" i="41"/>
  <c r="L412" i="41"/>
  <c r="D412" i="41"/>
  <c r="J144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L503" i="41" l="1"/>
  <c r="D603" i="41"/>
  <c r="B503" i="41"/>
  <c r="K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L12" i="54"/>
  <c r="M12" i="54" s="1"/>
  <c r="G97" i="29"/>
  <c r="L468" i="41"/>
  <c r="B171" i="41"/>
  <c r="H171" i="41" s="1"/>
  <c r="B21" i="29"/>
  <c r="E21" i="29" s="1"/>
  <c r="C14" i="54"/>
  <c r="D13" i="54"/>
  <c r="E13" i="54" s="1"/>
  <c r="I13" i="54"/>
  <c r="H13" i="54"/>
  <c r="H30" i="39"/>
  <c r="B29" i="39"/>
  <c r="E29" i="39" s="1"/>
  <c r="B23" i="39"/>
  <c r="E23" i="39" s="1"/>
  <c r="D35" i="39"/>
  <c r="J35" i="39" s="1"/>
  <c r="D13" i="41"/>
  <c r="D23" i="39"/>
  <c r="J23" i="39" s="1"/>
  <c r="G13" i="41"/>
  <c r="D29" i="29"/>
  <c r="J29" i="29" s="1"/>
  <c r="B133" i="41"/>
  <c r="J133" i="41" s="1"/>
  <c r="G133" i="41"/>
  <c r="B164" i="4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I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D370" i="41"/>
  <c r="B272" i="41"/>
  <c r="E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H513" i="41"/>
  <c r="K513" i="41"/>
  <c r="J513" i="41"/>
  <c r="E513" i="41"/>
  <c r="I513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J553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E554" i="41"/>
  <c r="H554" i="41"/>
  <c r="I554" i="41"/>
  <c r="K554" i="41"/>
  <c r="J554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I503" i="41"/>
  <c r="J503" i="41"/>
  <c r="H503" i="41"/>
  <c r="D34" i="41"/>
  <c r="G34" i="41"/>
  <c r="L34" i="41"/>
  <c r="B34" i="41"/>
  <c r="I22" i="39"/>
  <c r="J22" i="39"/>
  <c r="H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44" i="11"/>
  <c r="K147" i="11" s="1"/>
  <c r="J147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H202" i="41"/>
  <c r="E202" i="41"/>
  <c r="I202" i="41"/>
  <c r="K202" i="41"/>
  <c r="J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K65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H130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I398" i="41"/>
  <c r="E398" i="41"/>
  <c r="K398" i="41"/>
  <c r="J398" i="41"/>
  <c r="H398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I23" i="39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K521" i="41"/>
  <c r="E521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K592" i="41"/>
  <c r="E592" i="41"/>
  <c r="I592" i="41"/>
  <c r="H592" i="41"/>
  <c r="J592" i="4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J500" i="41"/>
  <c r="E500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J66" i="29"/>
  <c r="I66" i="29"/>
  <c r="H66" i="29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K164" i="41"/>
  <c r="E164" i="41"/>
  <c r="I164" i="41"/>
  <c r="H164" i="41"/>
  <c r="J164" i="41"/>
  <c r="E39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H18" i="39"/>
  <c r="J18" i="39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H407" i="41"/>
  <c r="J407" i="41"/>
  <c r="E407" i="41"/>
  <c r="I407" i="41"/>
  <c r="K407" i="41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E327" i="41"/>
  <c r="J327" i="41"/>
  <c r="H327" i="41"/>
  <c r="I327" i="41"/>
  <c r="K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H87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H263" i="41"/>
  <c r="I263" i="41"/>
  <c r="E263" i="41"/>
  <c r="K263" i="41"/>
  <c r="J263" i="4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K272" i="41"/>
  <c r="I272" i="41"/>
  <c r="H272" i="41"/>
  <c r="J272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K426" i="41"/>
  <c r="I426" i="41"/>
  <c r="H426" i="41"/>
  <c r="E426" i="41"/>
  <c r="J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J21" i="39"/>
  <c r="H21" i="39"/>
  <c r="I21" i="39"/>
  <c r="K495" i="41"/>
  <c r="H495" i="41"/>
  <c r="I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I87" i="29" l="1"/>
  <c r="J521" i="41"/>
  <c r="H23" i="39"/>
  <c r="K23" i="39" s="1"/>
  <c r="E503" i="41"/>
  <c r="K133" i="41"/>
  <c r="I521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L13" i="54"/>
  <c r="M13" i="54" s="1"/>
  <c r="E176" i="41"/>
  <c r="H14" i="54"/>
  <c r="D14" i="54"/>
  <c r="C15" i="54"/>
  <c r="I14" i="54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K130" i="29" s="1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K22" i="39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87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K21" i="39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K66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18" i="39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48" i="11"/>
  <c r="J149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48" i="11"/>
  <c r="K149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60" i="29" l="1"/>
  <c r="K31" i="39"/>
  <c r="K28" i="39"/>
  <c r="K16" i="29"/>
  <c r="K35" i="39"/>
  <c r="K20" i="39"/>
  <c r="K29" i="29"/>
  <c r="K60" i="29"/>
  <c r="K162" i="29"/>
  <c r="K34" i="29"/>
  <c r="K104" i="29"/>
  <c r="K113" i="29"/>
  <c r="L14" i="54"/>
  <c r="M14" i="54" s="1"/>
  <c r="H38" i="39"/>
  <c r="H39" i="39" s="1"/>
  <c r="H40" i="39" s="1"/>
  <c r="E14" i="54"/>
  <c r="H15" i="54"/>
  <c r="I15" i="54"/>
  <c r="C16" i="54"/>
  <c r="D15" i="54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0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D16" i="54" l="1"/>
  <c r="C17" i="54"/>
  <c r="H16" i="54"/>
  <c r="I16" i="54"/>
  <c r="E15" i="54"/>
  <c r="L15" i="54" s="1"/>
  <c r="M15" i="54" s="1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D17" i="54" l="1"/>
  <c r="E17" i="54"/>
  <c r="C18" i="54"/>
  <c r="H17" i="54"/>
  <c r="I17" i="54"/>
  <c r="E16" i="54"/>
  <c r="L16" i="54" s="1"/>
  <c r="M16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N13" i="54" s="1"/>
  <c r="P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J14" i="54" s="1"/>
  <c r="N14" i="54" s="1"/>
  <c r="P14" i="54" s="1"/>
  <c r="G16" i="54"/>
  <c r="J16" i="54" s="1"/>
  <c r="G12" i="54"/>
  <c r="J12" i="54" s="1"/>
  <c r="N12" i="54" s="1"/>
  <c r="P12" i="54" s="1"/>
  <c r="G25" i="54"/>
  <c r="G20" i="54"/>
  <c r="G18" i="54"/>
  <c r="G15" i="54"/>
  <c r="J15" i="54" s="1"/>
  <c r="N15" i="54" s="1"/>
  <c r="P15" i="54" s="1"/>
  <c r="G17" i="54"/>
  <c r="G28" i="54"/>
  <c r="G19" i="54"/>
  <c r="G7" i="54"/>
  <c r="J7" i="54" s="1"/>
  <c r="G26" i="54"/>
  <c r="G21" i="54"/>
  <c r="G27" i="54"/>
  <c r="G30" i="54"/>
  <c r="G29" i="54"/>
  <c r="N16" i="54" l="1"/>
  <c r="P16" i="54" s="1"/>
  <c r="I18" i="54"/>
  <c r="H18" i="54"/>
  <c r="J18" i="54" s="1"/>
  <c r="D18" i="54"/>
  <c r="C19" i="54"/>
  <c r="J17" i="54"/>
  <c r="L17" i="54"/>
  <c r="M17" i="54" s="1"/>
  <c r="N7" i="54"/>
  <c r="N17" i="54" l="1"/>
  <c r="P17" i="54" s="1"/>
  <c r="E18" i="54"/>
  <c r="L18" i="54" s="1"/>
  <c r="M18" i="54" s="1"/>
  <c r="N18" i="54" s="1"/>
  <c r="D19" i="54"/>
  <c r="C20" i="54"/>
  <c r="E19" i="54"/>
  <c r="H19" i="54"/>
  <c r="J19" i="54" s="1"/>
  <c r="I19" i="54"/>
  <c r="P7" i="54"/>
  <c r="Q7" i="54" s="1"/>
  <c r="P18" i="54" l="1"/>
  <c r="H20" i="54"/>
  <c r="I20" i="54"/>
  <c r="D20" i="54"/>
  <c r="E20" i="54" s="1"/>
  <c r="C21" i="54"/>
  <c r="L19" i="54"/>
  <c r="M19" i="54" s="1"/>
  <c r="N19" i="54" s="1"/>
  <c r="S7" i="54"/>
  <c r="Q8" i="54"/>
  <c r="P19" i="54" l="1"/>
  <c r="L20" i="54"/>
  <c r="M20" i="54" s="1"/>
  <c r="J20" i="54"/>
  <c r="H21" i="54"/>
  <c r="J21" i="54" s="1"/>
  <c r="I21" i="54"/>
  <c r="C22" i="54"/>
  <c r="D21" i="54"/>
  <c r="Q9" i="54"/>
  <c r="S8" i="54"/>
  <c r="E21" i="54" l="1"/>
  <c r="L21" i="54" s="1"/>
  <c r="M21" i="54" s="1"/>
  <c r="N21" i="54" s="1"/>
  <c r="P21" i="54" s="1"/>
  <c r="N20" i="54"/>
  <c r="I22" i="54"/>
  <c r="H22" i="54"/>
  <c r="C23" i="54"/>
  <c r="D22" i="54"/>
  <c r="S9" i="54"/>
  <c r="Q10" i="54"/>
  <c r="T9" i="54"/>
  <c r="J22" i="54" l="1"/>
  <c r="E22" i="54"/>
  <c r="L22" i="54" s="1"/>
  <c r="M22" i="54" s="1"/>
  <c r="I23" i="54"/>
  <c r="H23" i="54"/>
  <c r="D23" i="54"/>
  <c r="C24" i="54"/>
  <c r="E23" i="54"/>
  <c r="P20" i="54"/>
  <c r="Q11" i="54"/>
  <c r="S10" i="54"/>
  <c r="T10" i="54"/>
  <c r="N22" i="54" l="1"/>
  <c r="P22" i="54" s="1"/>
  <c r="D24" i="54"/>
  <c r="E24" i="54"/>
  <c r="C25" i="54"/>
  <c r="H24" i="54"/>
  <c r="I24" i="54"/>
  <c r="L23" i="54"/>
  <c r="M23" i="54" s="1"/>
  <c r="J23" i="54"/>
  <c r="S11" i="54"/>
  <c r="Q12" i="54"/>
  <c r="T11" i="54"/>
  <c r="J24" i="54" l="1"/>
  <c r="N23" i="54"/>
  <c r="H25" i="54"/>
  <c r="I25" i="54"/>
  <c r="C26" i="54"/>
  <c r="D25" i="54"/>
  <c r="L24" i="54"/>
  <c r="M24" i="54" s="1"/>
  <c r="S12" i="54"/>
  <c r="Q13" i="54"/>
  <c r="T12" i="54"/>
  <c r="N24" i="54" l="1"/>
  <c r="P24" i="54" s="1"/>
  <c r="J25" i="54"/>
  <c r="D26" i="54"/>
  <c r="E26" i="54" s="1"/>
  <c r="C27" i="54"/>
  <c r="I26" i="54"/>
  <c r="H26" i="54"/>
  <c r="J26" i="54" s="1"/>
  <c r="E25" i="54"/>
  <c r="L25" i="54" s="1"/>
  <c r="M25" i="54" s="1"/>
  <c r="P23" i="54"/>
  <c r="S13" i="54"/>
  <c r="Q14" i="54"/>
  <c r="T13" i="54"/>
  <c r="I27" i="54" l="1"/>
  <c r="H27" i="54"/>
  <c r="J27" i="54" s="1"/>
  <c r="D27" i="54"/>
  <c r="C28" i="54"/>
  <c r="L26" i="54"/>
  <c r="M26" i="54" s="1"/>
  <c r="N26" i="54" s="1"/>
  <c r="P26" i="54" s="1"/>
  <c r="N25" i="54"/>
  <c r="P25" i="54" s="1"/>
  <c r="T16" i="54"/>
  <c r="S14" i="54"/>
  <c r="Q15" i="54"/>
  <c r="T14" i="54"/>
  <c r="E27" i="54" l="1"/>
  <c r="L27" i="54" s="1"/>
  <c r="M27" i="54" s="1"/>
  <c r="N27" i="54" s="1"/>
  <c r="P27" i="54" s="1"/>
  <c r="I28" i="54"/>
  <c r="C29" i="54"/>
  <c r="D28" i="54"/>
  <c r="H28" i="54"/>
  <c r="Q16" i="54"/>
  <c r="T17" i="54"/>
  <c r="S15" i="54"/>
  <c r="T15" i="54"/>
  <c r="J28" i="54" l="1"/>
  <c r="H29" i="54"/>
  <c r="I29" i="54"/>
  <c r="C30" i="54"/>
  <c r="D29" i="54"/>
  <c r="E29" i="54" s="1"/>
  <c r="E28" i="54"/>
  <c r="L28" i="54" s="1"/>
  <c r="M28" i="54" s="1"/>
  <c r="S16" i="54"/>
  <c r="Q17" i="54"/>
  <c r="T18" i="54"/>
  <c r="N28" i="54" l="1"/>
  <c r="P28" i="54" s="1"/>
  <c r="J29" i="54"/>
  <c r="L29" i="54"/>
  <c r="M29" i="54" s="1"/>
  <c r="I30" i="54"/>
  <c r="H30" i="54"/>
  <c r="J30" i="54" s="1"/>
  <c r="C31" i="54"/>
  <c r="D30" i="54"/>
  <c r="E30" i="54" s="1"/>
  <c r="S17" i="54"/>
  <c r="Q18" i="54"/>
  <c r="T19" i="54"/>
  <c r="N29" i="54" l="1"/>
  <c r="P29" i="54" s="1"/>
  <c r="L30" i="54"/>
  <c r="M30" i="54" s="1"/>
  <c r="N30" i="54" s="1"/>
  <c r="P30" i="54" s="1"/>
  <c r="D31" i="54"/>
  <c r="C32" i="54"/>
  <c r="H31" i="54"/>
  <c r="I31" i="54"/>
  <c r="E31" i="54"/>
  <c r="S18" i="54"/>
  <c r="Q19" i="54"/>
  <c r="T20" i="54"/>
  <c r="J31" i="54" l="1"/>
  <c r="D32" i="54"/>
  <c r="H32" i="54"/>
  <c r="E32" i="54"/>
  <c r="I32" i="54"/>
  <c r="L31" i="54"/>
  <c r="M31" i="54" s="1"/>
  <c r="S19" i="54"/>
  <c r="Q20" i="54"/>
  <c r="T21" i="54"/>
  <c r="N31" i="54" l="1"/>
  <c r="P31" i="54" s="1"/>
  <c r="J32" i="54"/>
  <c r="L32" i="54"/>
  <c r="M32" i="54" s="1"/>
  <c r="M33" i="54" s="1"/>
  <c r="T22" i="54"/>
  <c r="Q21" i="54"/>
  <c r="S20" i="54"/>
  <c r="N32" i="54" l="1"/>
  <c r="J33" i="54"/>
  <c r="Q36" i="54" s="1"/>
  <c r="Q22" i="54"/>
  <c r="T23" i="54"/>
  <c r="S21" i="54"/>
  <c r="P32" i="54" l="1"/>
  <c r="Q34" i="54"/>
  <c r="Q37" i="54"/>
  <c r="Q38" i="54"/>
  <c r="T24" i="54"/>
  <c r="S22" i="54"/>
  <c r="Q23" i="54"/>
  <c r="S23" i="54" l="1"/>
  <c r="Q24" i="54"/>
  <c r="T25" i="54"/>
  <c r="T26" i="54" l="1"/>
  <c r="Q25" i="54"/>
  <c r="S24" i="54"/>
  <c r="Q26" i="54" l="1"/>
  <c r="T27" i="54"/>
  <c r="S25" i="54"/>
  <c r="S26" i="54" l="1"/>
  <c r="Q27" i="54"/>
  <c r="T28" i="54"/>
  <c r="T29" i="54" l="1"/>
  <c r="S27" i="54"/>
  <c r="Q28" i="54"/>
  <c r="T30" i="54" l="1"/>
  <c r="S28" i="54"/>
  <c r="Q29" i="54"/>
  <c r="Q30" i="54" l="1"/>
  <c r="S29" i="54"/>
  <c r="T31" i="54"/>
  <c r="T32" i="54" l="1"/>
  <c r="Q35" i="54" s="1"/>
  <c r="Q31" i="54"/>
  <c r="S30" i="54"/>
  <c r="S31" i="54" l="1"/>
  <c r="Q32" i="54"/>
  <c r="S32" i="54" s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<sst xmlns="http://schemas.openxmlformats.org/spreadsheetml/2006/main" count="4842" uniqueCount="1656">
  <si>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</si>
  <si>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</si>
  <si>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</si>
  <si>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</si>
  <si>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</si>
  <si>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</si>
  <si>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</si>
  <si>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</si>
  <si>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</si>
  <si>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</si>
  <si>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</si>
  <si>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</si>
  <si>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</si>
  <si>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</si>
  <si>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</si>
  <si>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</si>
  <si>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</si>
  <si>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</si>
  <si>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</si>
  <si>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</si>
  <si>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</si>
  <si>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</si>
  <si>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</si>
  <si>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</si>
  <si>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</si>
  <si>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</si>
  <si>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</si>
  <si>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</si>
  <si>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</si>
  <si>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</si>
  <si>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</si>
  <si>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</si>
  <si>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</si>
  <si>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</si>
  <si>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</si>
  <si>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</si>
  <si>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</si>
  <si>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</si>
  <si>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</si>
  <si>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</si>
  <si>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</si>
  <si>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</si>
  <si>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</si>
  <si>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</si>
  <si>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</si>
  <si>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</si>
  <si>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</si>
  <si>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</si>
  <si>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</si>
  <si>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</si>
  <si>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</si>
  <si>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</si>
  <si>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</si>
  <si>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</si>
  <si>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</si>
  <si>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</si>
  <si>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</si>
  <si>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</si>
  <si>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</si>
  <si>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</si>
  <si>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</si>
  <si>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</si>
  <si>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</si>
  <si>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</si>
  <si>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</si>
  <si>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</si>
  <si>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</si>
  <si>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</si>
  <si>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</si>
  <si>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</si>
  <si>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</si>
  <si>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</si>
  <si>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</si>
  <si>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</si>
  <si>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</si>
  <si>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</si>
  <si>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</si>
  <si>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</si>
  <si>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</si>
  <si>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</si>
  <si>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</si>
  <si>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</si>
  <si>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</si>
  <si>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</si>
  <si>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</si>
  <si>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</si>
  <si>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</si>
  <si>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</si>
  <si>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</si>
  <si>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</si>
  <si>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</si>
  <si>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</si>
  <si>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</si>
  <si>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</si>
  <si>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</si>
  <si>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</si>
  <si>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</si>
  <si>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</si>
  <si>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</si>
  <si>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</si>
  <si>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</si>
  <si>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</si>
  <si>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</si>
  <si>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</si>
  <si>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</si>
  <si>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</si>
  <si>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</si>
  <si>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</si>
  <si>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</si>
  <si>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</si>
  <si>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</si>
  <si>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</si>
  <si>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</si>
  <si>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</si>
  <si>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</si>
  <si>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</si>
  <si>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</si>
  <si>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</si>
  <si>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</si>
  <si>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</si>
  <si>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</si>
  <si>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</si>
  <si>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</si>
  <si>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</si>
  <si>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</si>
  <si>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</si>
  <si>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</si>
  <si>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</si>
  <si>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</si>
  <si>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</si>
  <si>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</si>
  <si>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</si>
  <si>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</si>
  <si>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</si>
  <si>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</si>
  <si>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</si>
  <si>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</si>
  <si>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</si>
  <si>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</si>
  <si>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</si>
  <si>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</si>
  <si>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</si>
  <si>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</si>
  <si>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</si>
  <si>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</si>
  <si>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</si>
  <si>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</si>
  <si>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</si>
  <si>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</si>
  <si>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</si>
  <si>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</si>
  <si>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</si>
  <si>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</si>
  <si>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</si>
  <si>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</si>
  <si>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</si>
  <si>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</si>
  <si>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</si>
  <si>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</si>
  <si>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</si>
  <si>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</si>
  <si>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</si>
  <si>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</si>
  <si>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</si>
  <si>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</si>
  <si>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</si>
  <si>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</si>
  <si>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</si>
  <si>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</si>
  <si>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</si>
  <si>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</si>
  <si>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</si>
  <si>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</si>
  <si>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</si>
  <si>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</si>
  <si>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</si>
  <si>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</si>
  <si>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</si>
  <si>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</si>
  <si>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</si>
  <si>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</si>
  <si>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</si>
  <si>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</si>
  <si>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</si>
  <si>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</si>
  <si>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</si>
  <si>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</si>
  <si>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</si>
  <si>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</si>
  <si>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</si>
  <si>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</si>
  <si>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</si>
  <si>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</si>
  <si>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</si>
  <si>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</si>
  <si>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</si>
  <si>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</si>
  <si>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</si>
  <si>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</si>
  <si>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</si>
  <si>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</si>
  <si>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</si>
  <si>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</si>
  <si>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</si>
  <si>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</si>
  <si>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</si>
  <si>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</si>
  <si>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</si>
  <si>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</si>
  <si>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</si>
  <si>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</si>
  <si>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</si>
  <si>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</si>
  <si>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</si>
  <si>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</si>
  <si>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</si>
  <si>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</si>
  <si>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</si>
  <si>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</si>
  <si>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</si>
  <si>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</si>
  <si>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</si>
  <si>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</si>
  <si>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</si>
  <si>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</si>
  <si>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</si>
  <si>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</si>
  <si>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</si>
  <si>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</si>
  <si>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</si>
  <si>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</si>
  <si>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</si>
  <si>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</si>
  <si>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</si>
  <si>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</si>
  <si>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</si>
  <si>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</si>
  <si>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</si>
  <si>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</si>
  <si>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</si>
  <si>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</si>
  <si>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</si>
  <si>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</si>
  <si>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</si>
  <si>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</si>
  <si>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</si>
  <si>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</si>
  <si>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</si>
  <si>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</si>
  <si>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</si>
  <si>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</si>
  <si>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</si>
  <si>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</si>
  <si>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</si>
  <si>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</si>
  <si>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</si>
  <si>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</si>
  <si>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</si>
  <si>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</si>
  <si>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</si>
  <si>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</si>
  <si>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</si>
  <si>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</si>
  <si>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</si>
  <si>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</si>
  <si>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</si>
  <si>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</si>
  <si>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</si>
  <si>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</si>
  <si>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</si>
  <si>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</si>
  <si>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</si>
  <si>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</si>
  <si>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</si>
  <si>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</si>
  <si>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</si>
  <si>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</si>
  <si>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</si>
  <si>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</si>
  <si>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</si>
  <si>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</si>
  <si>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</si>
  <si>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</si>
  <si>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</si>
  <si>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</si>
  <si>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</si>
  <si>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</si>
  <si>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</si>
  <si>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</si>
  <si>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</si>
  <si>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</si>
  <si>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</si>
  <si>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</si>
  <si>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</si>
  <si>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</si>
  <si>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</si>
  <si>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</si>
  <si>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</si>
  <si>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</si>
  <si>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</si>
  <si>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</si>
  <si>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</si>
  <si>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</si>
  <si>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</si>
  <si>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</si>
  <si>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</si>
  <si>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</si>
  <si>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</si>
  <si>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</si>
  <si>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</si>
  <si>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</si>
  <si>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</si>
  <si>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</si>
  <si>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</si>
  <si>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</si>
  <si>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</si>
  <si>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</si>
  <si>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</si>
  <si>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</si>
  <si>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</si>
  <si>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</si>
  <si>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</si>
  <si>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</si>
  <si>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</si>
  <si>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</si>
  <si>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</si>
  <si>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</si>
  <si>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</si>
  <si>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</si>
  <si>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</si>
  <si>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</si>
  <si>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</si>
  <si>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</si>
  <si>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</si>
  <si>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</si>
  <si>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</si>
  <si>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</si>
  <si>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</si>
  <si>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</si>
  <si>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</si>
  <si>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</si>
  <si>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</si>
  <si>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</si>
  <si>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</si>
  <si>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</si>
  <si>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</si>
  <si>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</si>
  <si>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</si>
  <si>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</si>
  <si>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</si>
  <si>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</si>
  <si>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</si>
  <si>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</si>
  <si>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</si>
  <si>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</si>
  <si>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</si>
  <si>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</si>
  <si>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</si>
  <si>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</si>
  <si>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</si>
  <si>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</si>
  <si>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</si>
  <si>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</si>
  <si>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</si>
  <si>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</si>
  <si>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</si>
  <si>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</si>
  <si>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</si>
  <si>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</si>
  <si>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</si>
  <si>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</si>
  <si>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</si>
  <si>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</si>
  <si>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</si>
  <si>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</si>
  <si>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</si>
  <si>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</si>
  <si>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</si>
  <si>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</si>
  <si>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</si>
  <si>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</si>
  <si>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</si>
  <si>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</si>
  <si>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</si>
  <si>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</si>
  <si>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</si>
  <si>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</si>
  <si>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</si>
  <si>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</si>
  <si>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</si>
  <si>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</si>
  <si>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</si>
  <si>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</si>
  <si>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</si>
  <si>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</si>
  <si>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</si>
  <si>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</si>
  <si>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</si>
  <si>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</si>
  <si>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</si>
  <si>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</si>
  <si>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</si>
  <si>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</si>
  <si>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</si>
  <si>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</si>
  <si>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</si>
  <si>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</si>
  <si>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</si>
  <si>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</si>
  <si>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</si>
  <si>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</si>
  <si>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</si>
  <si>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</si>
  <si>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</si>
  <si>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</si>
  <si>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</si>
  <si>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</si>
  <si>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</si>
  <si>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</si>
  <si>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</si>
  <si>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</si>
  <si>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</si>
  <si>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</si>
  <si>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</si>
  <si>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</si>
  <si>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</si>
  <si>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</si>
  <si>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</si>
  <si>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</si>
  <si>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</si>
  <si>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</si>
  <si>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</si>
  <si>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</si>
  <si>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</si>
  <si>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</si>
  <si>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</si>
  <si>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</si>
  <si>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</si>
  <si>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</si>
  <si>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</si>
  <si>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</si>
  <si>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</si>
  <si>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</si>
  <si>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</si>
  <si>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</si>
  <si>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</si>
  <si>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</si>
  <si>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</si>
  <si>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</si>
  <si>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</si>
  <si>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</si>
  <si>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</si>
  <si>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</si>
  <si>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</si>
  <si>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</si>
  <si>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</si>
  <si>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</si>
  <si>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</si>
  <si>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</si>
  <si>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</si>
  <si>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</si>
  <si>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</si>
  <si>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</si>
  <si>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</si>
  <si>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</si>
  <si>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</si>
  <si>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</si>
  <si>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</si>
  <si>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</si>
  <si>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</si>
  <si>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</si>
  <si>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</si>
  <si>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</si>
  <si>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</si>
  <si>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</si>
  <si>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</si>
  <si>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</si>
  <si>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</si>
  <si>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</si>
  <si>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</si>
  <si>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</si>
  <si>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</si>
  <si>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</si>
  <si>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</si>
  <si>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</si>
  <si>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</si>
  <si>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</si>
  <si>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</si>
  <si>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</si>
  <si>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</si>
  <si>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</si>
  <si>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</si>
  <si>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</si>
  <si>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</si>
  <si>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</si>
  <si>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</si>
  <si>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</si>
  <si>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</si>
  <si>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</si>
  <si>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</si>
  <si>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</si>
  <si>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</si>
  <si>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</si>
  <si>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</si>
  <si>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</si>
  <si>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</si>
  <si>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</si>
  <si>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</si>
  <si>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</si>
  <si>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</si>
  <si>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</si>
  <si>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</si>
  <si>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</si>
  <si>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</si>
  <si>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</si>
  <si>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</si>
  <si>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</si>
  <si>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</si>
  <si>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</si>
  <si>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</si>
  <si>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</si>
  <si>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</si>
  <si>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</si>
  <si>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</si>
  <si>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</si>
  <si>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</si>
  <si>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</si>
  <si>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</si>
  <si>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</si>
  <si>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</si>
  <si>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</si>
  <si>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</si>
  <si>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</si>
  <si>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</si>
  <si>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</si>
  <si>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</si>
  <si>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</si>
  <si>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</si>
  <si>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</si>
  <si>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</si>
  <si>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</si>
  <si>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</si>
  <si>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</si>
  <si>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</si>
  <si>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</si>
  <si>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</si>
  <si>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</si>
  <si>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</si>
  <si>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</si>
  <si>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</si>
  <si>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</si>
  <si>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</si>
  <si>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</si>
  <si>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</si>
  <si>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</si>
  <si>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</si>
  <si>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</si>
  <si>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</si>
  <si>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</si>
  <si>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</si>
  <si>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</si>
  <si>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</si>
  <si>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</si>
  <si>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</si>
  <si>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</si>
  <si>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</si>
  <si>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</si>
  <si>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</si>
  <si>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</si>
  <si>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</si>
  <si>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</si>
  <si>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</si>
  <si>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</si>
  <si>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</si>
  <si>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</si>
  <si>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</si>
  <si>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</si>
  <si>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</si>
  <si>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</si>
  <si>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</si>
  <si>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</si>
  <si>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</si>
  <si>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</si>
  <si>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</si>
  <si>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</si>
  <si>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</si>
  <si>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</si>
  <si>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</si>
  <si>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</si>
  <si>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</si>
  <si>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</si>
  <si>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</si>
  <si>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</si>
  <si>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</si>
  <si>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</si>
  <si>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</si>
  <si>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</si>
  <si>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</si>
  <si>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</si>
  <si>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</si>
  <si>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</si>
  <si>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</si>
  <si>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</si>
  <si>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</si>
  <si>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</si>
  <si>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</si>
  <si>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</si>
  <si>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</si>
  <si>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</si>
  <si>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</si>
  <si>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</si>
  <si>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</si>
  <si>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</si>
  <si>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</si>
  <si>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</si>
  <si>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</si>
  <si>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</si>
  <si>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</si>
  <si>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</si>
  <si>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</si>
  <si>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</si>
  <si>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</si>
  <si>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</si>
  <si>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</si>
  <si>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</si>
  <si>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</si>
  <si>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</si>
  <si>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</si>
  <si>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</si>
  <si>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</si>
  <si>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</si>
  <si>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</si>
  <si>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</si>
  <si>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</si>
  <si>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</si>
  <si>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</si>
  <si>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</si>
  <si>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</si>
  <si>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</si>
  <si>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</si>
  <si>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</si>
  <si>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</si>
  <si>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</si>
  <si>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</si>
  <si>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</si>
  <si>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</si>
  <si>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</si>
  <si>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</si>
  <si>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</si>
  <si>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</si>
  <si>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</si>
  <si>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</si>
  <si>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</si>
  <si>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</si>
  <si>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</si>
  <si>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</si>
  <si>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</si>
  <si>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</si>
  <si>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</si>
  <si>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</si>
  <si>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</si>
  <si>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</si>
  <si>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</si>
  <si>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</si>
  <si>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</si>
  <si>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</si>
  <si>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</si>
  <si>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</si>
  <si>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</si>
  <si>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</si>
  <si>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</si>
  <si>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</si>
  <si>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</si>
  <si>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</si>
  <si>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</si>
  <si>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</si>
  <si>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</si>
  <si>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</si>
  <si>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</si>
  <si>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</si>
  <si>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</si>
  <si>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</si>
  <si>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</si>
  <si>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</si>
  <si>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</si>
  <si>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</si>
  <si>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</si>
  <si>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</si>
  <si>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</si>
  <si>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</si>
  <si>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</si>
  <si>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</si>
  <si>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</si>
  <si>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</si>
  <si>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</si>
  <si>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</si>
  <si>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</si>
  <si>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</si>
  <si>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</si>
  <si>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</si>
  <si>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</si>
  <si>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</si>
  <si>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</si>
  <si>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</si>
  <si>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</si>
  <si>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</si>
  <si>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</si>
  <si>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</si>
  <si>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</si>
  <si>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</si>
  <si>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</si>
  <si>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</si>
  <si>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</si>
  <si>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</si>
  <si>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</si>
  <si>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</si>
  <si>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</si>
  <si>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</si>
  <si>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</si>
  <si>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</si>
  <si>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</si>
  <si>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</si>
  <si>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</si>
  <si>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</si>
  <si>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</si>
  <si>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</si>
  <si>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</si>
  <si>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</si>
  <si>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</si>
  <si>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</si>
  <si>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</si>
  <si>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</si>
  <si>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</si>
  <si>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</si>
  <si>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</si>
  <si>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</si>
  <si>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</si>
  <si>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</si>
  <si>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</si>
  <si>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</si>
  <si>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</si>
  <si>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</si>
  <si>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</si>
  <si>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</si>
  <si>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</si>
  <si>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</si>
  <si>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</si>
  <si>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</si>
  <si>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</si>
  <si>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</si>
  <si>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</si>
  <si>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</si>
  <si>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</si>
  <si>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</si>
  <si>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</si>
  <si>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</si>
  <si>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</si>
  <si>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</si>
  <si>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</si>
  <si>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</si>
  <si>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</si>
  <si>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</si>
  <si>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</si>
  <si>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</si>
  <si>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</si>
  <si>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</si>
  <si>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</si>
  <si>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</si>
  <si>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</si>
  <si>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</si>
  <si>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</si>
  <si>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</si>
  <si>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</si>
  <si>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</si>
  <si>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</si>
  <si>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</si>
  <si>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</si>
  <si>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</si>
  <si>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</si>
  <si>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</si>
  <si>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</si>
  <si>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</si>
  <si>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</si>
  <si>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</si>
  <si>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</si>
  <si>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</si>
  <si>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</si>
  <si>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</si>
  <si>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</si>
  <si>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</si>
  <si>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</si>
  <si>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</si>
  <si>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</si>
  <si>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</si>
  <si>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</si>
  <si>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</si>
  <si>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</si>
  <si>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</si>
  <si>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</si>
  <si>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</si>
  <si>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</si>
  <si>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</si>
  <si>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</si>
  <si>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</si>
  <si>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</si>
  <si>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</si>
  <si>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</si>
  <si>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</si>
  <si>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</si>
  <si>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</si>
  <si>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</si>
  <si>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</si>
  <si>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</si>
  <si>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</si>
  <si>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</si>
  <si>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</si>
  <si>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</si>
  <si>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</si>
  <si>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</si>
  <si>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</si>
  <si>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</si>
  <si>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</si>
  <si>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</si>
  <si>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</si>
  <si>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</si>
  <si>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</si>
  <si>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</si>
  <si>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</si>
  <si>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</si>
  <si>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</si>
  <si>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</si>
  <si>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</si>
  <si>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</si>
  <si>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</si>
  <si>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</si>
  <si>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</si>
  <si>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</si>
  <si>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</si>
  <si>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</si>
  <si>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</si>
  <si>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</si>
  <si>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</si>
  <si>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</si>
  <si>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</si>
  <si>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</si>
  <si>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</si>
  <si>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</si>
  <si>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</si>
  <si>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</si>
  <si>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</si>
  <si>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</si>
  <si>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</si>
  <si>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</si>
  <si>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</si>
  <si>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</si>
  <si>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</si>
  <si>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</si>
  <si>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</si>
  <si>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</si>
  <si>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</si>
  <si>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</si>
  <si>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</si>
  <si>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</si>
  <si>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</si>
  <si>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</si>
  <si>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</si>
  <si>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</si>
  <si>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</si>
  <si>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</si>
  <si>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</si>
  <si>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</si>
  <si>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</si>
  <si>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</si>
  <si>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</si>
  <si>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</si>
  <si>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</si>
  <si>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</si>
  <si>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</si>
  <si>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</si>
  <si>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</si>
  <si>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</si>
  <si>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</si>
  <si>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</si>
  <si>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</si>
  <si>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</si>
  <si>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</si>
  <si>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</si>
  <si>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</si>
  <si>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</si>
  <si>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</si>
  <si>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</si>
  <si>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</si>
  <si>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</si>
  <si>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</si>
  <si>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</si>
  <si>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</si>
  <si>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</si>
  <si>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</si>
  <si>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</si>
  <si>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</si>
  <si>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</si>
  <si>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</si>
  <si>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</si>
  <si>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</si>
  <si>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</si>
  <si>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</si>
  <si>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</si>
  <si>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</si>
  <si>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</si>
  <si>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</si>
  <si>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</si>
  <si>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</si>
  <si>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</si>
  <si>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</si>
  <si>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</si>
  <si>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</si>
  <si>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</si>
  <si>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</si>
  <si>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</si>
  <si>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</si>
  <si>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</si>
  <si>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</si>
  <si>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</si>
  <si>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</si>
  <si>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</si>
  <si>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</si>
  <si>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</si>
  <si>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</si>
  <si>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</si>
  <si>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</si>
  <si>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</si>
  <si>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</si>
  <si>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</si>
  <si>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</si>
  <si>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</si>
  <si>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</si>
  <si>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</si>
  <si>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</si>
  <si>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</si>
  <si>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</si>
  <si>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</si>
  <si>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</si>
  <si>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</si>
  <si>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</si>
  <si>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</si>
  <si>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</si>
  <si>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</si>
  <si>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</si>
  <si>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</si>
  <si>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</si>
  <si>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</si>
  <si>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</si>
  <si>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</si>
  <si>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</si>
  <si>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</si>
  <si>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</si>
  <si>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</si>
  <si>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</si>
  <si>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</si>
  <si>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</si>
  <si>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</si>
  <si>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</si>
  <si>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</si>
  <si>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</si>
  <si>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</si>
  <si>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</si>
  <si>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</si>
  <si>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</si>
  <si>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</si>
  <si>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</si>
  <si>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</si>
  <si>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</si>
  <si>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</si>
  <si>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</si>
  <si>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</si>
  <si>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</si>
  <si>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</si>
  <si>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</si>
  <si>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</si>
  <si>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</si>
  <si>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</si>
  <si>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</si>
  <si>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</si>
  <si>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</si>
  <si>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</si>
  <si>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</si>
  <si>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</si>
  <si>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</si>
  <si>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</si>
  <si>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</si>
  <si>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</si>
  <si>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</si>
  <si>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</si>
  <si>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</si>
  <si>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</si>
  <si>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</si>
  <si>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</si>
  <si>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</si>
  <si>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</si>
  <si>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</si>
  <si>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</si>
  <si>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</si>
  <si>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</si>
  <si>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</si>
  <si>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</si>
  <si>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</si>
  <si>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</si>
  <si>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</si>
  <si>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</si>
  <si>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</si>
  <si>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</si>
  <si>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</si>
  <si>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</si>
  <si>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</si>
  <si>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</si>
  <si>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</si>
  <si>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</si>
  <si>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</si>
  <si>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</si>
  <si>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</si>
  <si>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</si>
  <si>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</si>
  <si>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</si>
  <si>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</si>
  <si>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</si>
  <si>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</si>
  <si>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</si>
  <si>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</si>
  <si>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</si>
  <si>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</si>
  <si>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</si>
  <si>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</si>
  <si>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</si>
  <si>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</si>
  <si>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</si>
  <si>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</si>
  <si>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</si>
  <si>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</si>
  <si>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</si>
  <si>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</si>
  <si>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</si>
  <si>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</si>
  <si>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</si>
  <si>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</si>
  <si>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</si>
  <si>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</si>
  <si>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</si>
  <si>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</si>
  <si>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</si>
  <si>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</si>
  <si>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</si>
  <si>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</si>
  <si>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</si>
  <si>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</si>
  <si>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</si>
  <si>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</si>
  <si>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</si>
  <si>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</si>
  <si>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</si>
  <si>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</si>
  <si>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</si>
  <si>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</si>
  <si>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</si>
  <si>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</si>
  <si>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</si>
  <si>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</si>
  <si>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</si>
  <si>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</si>
  <si>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</si>
  <si>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</si>
  <si>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</si>
  <si>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</si>
  <si>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</si>
  <si>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</si>
  <si>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</si>
  <si>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</si>
  <si>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</si>
  <si>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</si>
  <si>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</si>
  <si>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</si>
  <si>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</si>
  <si>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</si>
  <si>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</si>
  <si>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</si>
  <si>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</si>
  <si>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</si>
  <si>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</si>
  <si>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</si>
  <si>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</si>
  <si>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</si>
  <si>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</si>
  <si>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</si>
  <si>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</si>
  <si>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</si>
  <si>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</si>
  <si>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</si>
  <si>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</si>
  <si>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</si>
  <si>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</si>
  <si>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</si>
  <si>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</si>
  <si>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</si>
  <si>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</si>
  <si>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</si>
  <si>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</si>
  <si>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</si>
  <si>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</si>
  <si>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</si>
  <si>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</si>
  <si>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</si>
  <si>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</si>
  <si>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</si>
  <si>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</si>
  <si>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</si>
  <si>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</si>
  <si>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</si>
  <si>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</si>
  <si>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</si>
  <si>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</si>
  <si>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</si>
  <si>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</si>
  <si>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</si>
  <si>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</si>
  <si>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</si>
  <si>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</si>
  <si>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</si>
  <si>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</si>
  <si>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</si>
  <si>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</si>
  <si>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</si>
  <si>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</si>
  <si>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</si>
  <si>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</si>
  <si>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</si>
  <si>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</si>
  <si>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</si>
  <si>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</si>
  <si>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</si>
  <si>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</si>
  <si>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</si>
  <si>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</si>
  <si>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</si>
  <si>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</si>
  <si>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</si>
  <si>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</si>
  <si>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</si>
  <si>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</si>
  <si>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</si>
  <si>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</si>
  <si>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</si>
  <si>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</si>
  <si>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</si>
  <si>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</si>
  <si>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</si>
  <si>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</si>
  <si>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</si>
  <si>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</si>
  <si>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</si>
  <si>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</si>
  <si>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</si>
  <si>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</si>
  <si>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</si>
  <si>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</si>
  <si>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</si>
  <si>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</si>
  <si>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</si>
  <si>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</si>
  <si>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</si>
  <si>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</si>
  <si>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</si>
  <si>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</si>
  <si>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</si>
  <si>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</si>
  <si>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</si>
  <si>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</si>
  <si>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</si>
  <si>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</si>
  <si>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</si>
  <si>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</si>
  <si>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</si>
  <si>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</si>
  <si>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</si>
  <si>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</si>
  <si>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</si>
  <si>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</si>
  <si>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</si>
  <si>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</si>
  <si>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</si>
  <si>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</si>
  <si>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</si>
  <si>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</si>
  <si>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</si>
  <si>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</si>
  <si>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</si>
  <si>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</si>
  <si>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</si>
  <si>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</si>
  <si>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</si>
  <si>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</si>
  <si>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</si>
  <si>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</si>
  <si>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</si>
  <si>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</si>
  <si>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</si>
  <si>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</si>
  <si>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</si>
  <si>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</si>
  <si>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</si>
  <si>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</si>
  <si>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</si>
  <si>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</si>
  <si>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</si>
  <si>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</si>
  <si>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</si>
  <si>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</si>
  <si>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</si>
  <si>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</si>
  <si>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</si>
  <si>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</si>
  <si>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</si>
  <si>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</si>
  <si>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</si>
  <si>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</si>
  <si>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</si>
  <si>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</si>
  <si>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</si>
  <si>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</si>
  <si>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</si>
  <si>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</si>
  <si>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</si>
  <si>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</si>
  <si>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</si>
  <si>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</si>
  <si>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</si>
  <si>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</si>
  <si>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</si>
  <si>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</si>
  <si>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</si>
  <si>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</si>
  <si>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</si>
  <si>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</si>
  <si>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</si>
  <si>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</si>
  <si>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</si>
  <si>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</si>
  <si>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</si>
  <si>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</si>
  <si>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</si>
  <si>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</si>
  <si>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</si>
  <si>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</si>
  <si>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</si>
  <si>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</si>
  <si>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</si>
  <si>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</si>
  <si>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</si>
  <si>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</si>
  <si>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</si>
  <si>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</si>
  <si>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</si>
  <si>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</si>
  <si>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</si>
  <si>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</si>
  <si>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</si>
  <si>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</si>
  <si>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</si>
  <si>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</si>
  <si>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</si>
  <si>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</si>
  <si>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</si>
  <si>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</si>
  <si>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</si>
  <si>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</si>
  <si>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</si>
  <si>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</si>
  <si>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</si>
  <si>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</si>
  <si>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</si>
  <si>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</si>
  <si>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</si>
  <si>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</si>
  <si>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</si>
  <si>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</si>
  <si>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</si>
  <si>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</si>
  <si>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</si>
  <si>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</si>
  <si>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</si>
  <si>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</si>
  <si>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</si>
  <si>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</si>
  <si>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</si>
  <si>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</si>
  <si>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</si>
  <si>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</si>
  <si>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</si>
  <si>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</si>
  <si>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</si>
  <si>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</si>
  <si>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</si>
  <si>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</si>
  <si>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</si>
  <si>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</si>
  <si>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</si>
  <si>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</si>
  <si>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</si>
  <si>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</si>
  <si>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</si>
  <si>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</si>
  <si>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</si>
  <si>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</si>
  <si>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</si>
  <si>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</si>
  <si>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</si>
  <si>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</si>
  <si>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</si>
  <si>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</si>
  <si>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</si>
  <si>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</si>
  <si>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</si>
  <si>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</si>
  <si>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</si>
  <si>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</si>
  <si>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</si>
  <si>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</si>
  <si>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</si>
  <si>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</si>
  <si>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</si>
  <si>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</si>
  <si>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</si>
  <si>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</si>
  <si>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</si>
  <si>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</si>
  <si>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</si>
  <si>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</si>
  <si>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</si>
  <si>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</si>
  <si>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</si>
  <si>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</si>
  <si>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</si>
  <si>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</si>
  <si>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</si>
  <si>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</si>
  <si>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</si>
  <si>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</si>
  <si>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</si>
  <si>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</si>
  <si>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</si>
  <si>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</si>
  <si>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</si>
  <si>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</si>
  <si>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</si>
  <si>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</si>
  <si>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</si>
  <si>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</si>
  <si>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</si>
  <si>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</si>
  <si>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</si>
  <si>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</si>
  <si>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</si>
  <si>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</si>
  <si>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</si>
  <si>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</si>
  <si>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</si>
  <si>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</si>
  <si>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</si>
  <si>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</si>
  <si>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</si>
  <si>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</si>
  <si>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</si>
  <si>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</si>
  <si>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</si>
  <si>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</si>
  <si>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</si>
  <si>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</si>
  <si>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</si>
  <si>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</si>
  <si>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</si>
  <si>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</si>
  <si>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</si>
  <si>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</si>
  <si>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</si>
  <si>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</si>
  <si>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</si>
  <si>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</si>
  <si>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</si>
  <si>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</si>
  <si>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</si>
  <si>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</si>
  <si>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</si>
  <si>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</si>
  <si>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</si>
  <si>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</si>
  <si>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</si>
  <si>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</si>
  <si>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</si>
  <si>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</si>
  <si>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</si>
  <si>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</si>
  <si>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</si>
  <si>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</si>
  <si>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</si>
  <si>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</si>
  <si>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</si>
  <si>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</si>
  <si>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</si>
  <si>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</si>
  <si>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</si>
  <si>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</si>
  <si>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</si>
  <si>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</si>
  <si>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</si>
  <si>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</si>
  <si>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</si>
  <si>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</si>
  <si>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</si>
  <si>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</si>
  <si>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</si>
  <si>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</si>
  <si>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</si>
  <si>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</si>
  <si>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</si>
  <si>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</si>
  <si>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</si>
  <si>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</si>
  <si>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</si>
  <si>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</si>
  <si>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</si>
  <si>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</si>
  <si>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</si>
  <si>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</si>
  <si>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</si>
  <si>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</si>
  <si>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</si>
  <si>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</si>
  <si>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</si>
  <si>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</si>
  <si>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</si>
  <si>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</si>
  <si>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</si>
  <si>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</si>
  <si>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</si>
  <si>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</si>
  <si>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</si>
  <si>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</si>
  <si>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</si>
  <si>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</si>
  <si>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</si>
  <si>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</si>
  <si>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</si>
  <si>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</si>
  <si>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</si>
  <si>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</si>
  <si>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</si>
  <si>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</si>
  <si>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</si>
  <si>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</si>
  <si>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</si>
  <si>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</si>
  <si>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</si>
  <si>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</si>
  <si>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</si>
  <si>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</si>
  <si>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</si>
  <si>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</si>
  <si>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</si>
  <si>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</si>
  <si>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</si>
  <si>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</si>
  <si>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</si>
  <si>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</si>
  <si>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</si>
  <si>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</si>
  <si>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</si>
  <si>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</si>
  <si>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</si>
  <si>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</si>
  <si>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</si>
  <si>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</si>
  <si>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</si>
  <si>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</si>
  <si>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</si>
  <si>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</si>
  <si>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</si>
  <si>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</si>
  <si>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</si>
  <si>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</si>
  <si>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</si>
  <si>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</si>
  <si>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</si>
  <si>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</si>
  <si>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</si>
  <si>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</si>
  <si>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</si>
  <si>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</si>
  <si>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</si>
  <si>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</si>
  <si>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</si>
  <si>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</si>
  <si>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</si>
  <si>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</si>
  <si>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</si>
  <si>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</si>
  <si>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</si>
  <si>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</si>
  <si>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</si>
  <si>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</si>
  <si>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</si>
  <si>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</si>
  <si>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</si>
  <si>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</si>
  <si>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</si>
  <si>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</si>
  <si>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</si>
  <si>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</si>
  <si>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</si>
  <si>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</si>
  <si>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</si>
  <si>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</si>
  <si>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F1-3</t>
  </si>
  <si>
    <t>CE1-3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</si>
  <si>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</si>
  <si>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</si>
  <si>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</si>
  <si>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</si>
  <si>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</si>
  <si>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</si>
  <si>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</si>
  <si>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</si>
  <si>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</si>
  <si>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</si>
  <si>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</si>
  <si>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</si>
  <si>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</si>
  <si>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</si>
  <si>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</si>
  <si>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</si>
  <si>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</si>
  <si>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</si>
  <si>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</si>
  <si>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</si>
  <si>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</si>
  <si>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</si>
  <si>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</si>
  <si>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</si>
  <si>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</si>
  <si>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</si>
  <si>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</si>
  <si>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</si>
  <si>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</si>
  <si>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</si>
  <si>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</si>
  <si>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</si>
  <si>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</si>
  <si>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</si>
  <si>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</si>
  <si>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</si>
  <si>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</si>
  <si>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</si>
  <si>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</si>
  <si>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</si>
  <si>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</si>
  <si>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</si>
  <si>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</si>
  <si>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</si>
  <si>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</si>
  <si>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</si>
  <si>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</si>
  <si>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</si>
  <si>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</si>
  <si>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</si>
  <si>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</si>
  <si>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</si>
  <si>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</si>
  <si>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</si>
  <si>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</si>
  <si>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</si>
  <si>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</si>
  <si>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</si>
  <si>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</si>
  <si>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</si>
  <si>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</si>
  <si>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</si>
  <si>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Trafo 3 Fasa 100 KVA 1 Tiang (G312-A)</t>
  </si>
  <si>
    <t>NFA2X-T 3 x 70 + N 50 mm²</t>
  </si>
  <si>
    <t>CC7</t>
  </si>
  <si>
    <t>Isolator Tarik ( Porcelain ) 20 KV + Primary Dead End Clamp 150-240 mm²</t>
  </si>
  <si>
    <t>PEKERJAAN PEMASANGAN KONDUKTOR</t>
  </si>
  <si>
    <t>PEKERJAAN PEMASANGAN APP</t>
  </si>
  <si>
    <t>Daya 105.000 VA</t>
  </si>
  <si>
    <t>PEMBONGKARAN</t>
  </si>
  <si>
    <t>B2</t>
  </si>
  <si>
    <t xml:space="preserve">Hasil Ukur Trafo 3 Ph 50 KVA ( X ) 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</si>
  <si>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</si>
  <si>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</si>
  <si>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</si>
  <si>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</si>
  <si>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</si>
  <si>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</si>
  <si>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</si>
  <si>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</si>
  <si>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</si>
  <si>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</si>
  <si>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</si>
  <si>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</si>
  <si>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</si>
  <si>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</si>
  <si>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</si>
  <si>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</si>
  <si>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</si>
  <si>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</si>
  <si>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</si>
  <si>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</si>
  <si>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</si>
  <si>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</si>
  <si>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</si>
  <si>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</si>
  <si>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</si>
  <si>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</si>
  <si>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G312-A 100KVA</t>
  </si>
  <si>
    <t>APP 100KVA</t>
  </si>
  <si>
    <t>AAAC 70MM</t>
  </si>
  <si>
    <t>MTR</t>
  </si>
  <si>
    <t>LVTC 3X70+N70</t>
  </si>
  <si>
    <t>BTG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</si>
  <si>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</si>
  <si>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</si>
  <si>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</si>
  <si>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</si>
  <si>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</si>
  <si>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</si>
  <si>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</si>
  <si>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</si>
  <si>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</si>
  <si>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</si>
  <si>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</si>
  <si>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</si>
  <si>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</si>
  <si>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</si>
  <si>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</si>
  <si>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</si>
  <si>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</si>
  <si>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PT. EDOKY NUSA LESTARI</t>
  </si>
  <si>
    <t>DS BRAMBANG</t>
  </si>
  <si>
    <t>CC1-A</t>
  </si>
  <si>
    <t>Isolator Tumpu ( Line Post ) 20 KV</t>
  </si>
  <si>
    <t>Isolator Tumpu ( Pin Post ) 20 KV</t>
  </si>
  <si>
    <t>C12-200</t>
  </si>
  <si>
    <t>Keterangan Tambahan :'-7.045807, 110.582085</t>
  </si>
  <si>
    <t>PT. EDOKY NUSA LESTARI PD 5,5 - 105KVA</t>
  </si>
  <si>
    <t>KOORDINAT LOKASI :  '-7.045807, 110.582085</t>
  </si>
  <si>
    <t>T1-24ZM/249A</t>
  </si>
  <si>
    <t>MGN03</t>
  </si>
  <si>
    <t>TEGOWANU, …...........</t>
  </si>
  <si>
    <t>MANAGER ULP TEGWANU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</si>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</sst>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(* #,##0_);_(* \(#,##0\);_(* &quot;-&quot;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&quot;Rp&quot;#,##0.00_);\(&quot;Rp&quot;#,##0.00\)"/>
    <numFmt numFmtId="170" formatCode="_(* #,##0_);_(* \(#,##0\);_(* &quot;-&quot;??_);_(@_)"/>
    <numFmt numFmtId="171" formatCode="_(&quot;Rp&quot;* #,##0_);_(&quot;Rp&quot;* \(#,##0\);_(&quot;Rp&quot;* &quot;-&quot;???_);_(@_)"/>
    <numFmt numFmtId="172" formatCode="_([$Rp-421]* #,##0_);_([$Rp-421]* \(#,##0\);_([$Rp-421]* &quot;-&quot;??_);_(@_)"/>
    <numFmt numFmtId="173" formatCode="General_)"/>
    <numFmt numFmtId="174" formatCode="0.000000%"/>
    <numFmt numFmtId="175" formatCode="_(&quot;$&quot;* #,##0.0_);_(&quot;$&quot;* \(#,##0.0\);_(&quot;$&quot;* &quot;-&quot;?_);_(@_)"/>
    <numFmt numFmtId="176" formatCode="00000"/>
    <numFmt numFmtId="177" formatCode="m/d"/>
    <numFmt numFmtId="178" formatCode="0.0000000000"/>
    <numFmt numFmtId="179" formatCode="d\ayy"/>
    <numFmt numFmtId="180" formatCode="dd/mm/yy;@"/>
    <numFmt numFmtId="181" formatCode="_-* #,##0.000_-;\-* #,##0.000_-;_-* &quot;-&quot;_-;_-@_-"/>
    <numFmt numFmtId="182" formatCode="0.000"/>
    <numFmt numFmtId="183" formatCode="_(* #,##0.000_);_(* \(#,##0.000\);_(* &quot;-&quot;??_);_(@_)"/>
    <numFmt numFmtId="184" formatCode="[$-409]d\-mmm\-yy;@"/>
    <numFmt numFmtId="185" formatCode="0.0"/>
    <numFmt numFmtId="186" formatCode="_(* #,##0.000_);_(* \(#,##0.000\);_(* &quot;-&quot;_);_(@_)"/>
    <numFmt numFmtId="187" formatCode="&quot;IR£&quot;#,##0.00;[Red]\-&quot;IR£&quot;#,##0.00"/>
    <numFmt numFmtId="188" formatCode="&quot;$&quot;#,##0\ ;\(&quot;$&quot;#,##0\)"/>
    <numFmt numFmtId="189" formatCode="m\o\n\th\ \D\,\ \y\y\y\y"/>
    <numFmt numFmtId="190" formatCode="#."/>
    <numFmt numFmtId="191" formatCode="#,#00"/>
    <numFmt numFmtId="192" formatCode="#,"/>
    <numFmt numFmtId="193" formatCode="_-* #,##0\ _€_-;\-* #,##0\ _€_-;_-* &quot;-&quot;\ _€_-;_-@_-"/>
    <numFmt numFmtId="194" formatCode="&quot;Rp.&quot;#,##0.00;&quot;Rp.&quot;\-#,##0.00"/>
    <numFmt numFmtId="195" formatCode="0.00_)"/>
    <numFmt numFmtId="196" formatCode="[$-421]dd\ mmmm\ yyyy;@"/>
    <numFmt numFmtId="197" formatCode="_([$Rp-421]* #,##0.00_);_([$Rp-421]* \(#,##0.00\);_([$Rp-421]* &quot;-&quot;??_);_(@_)"/>
    <numFmt numFmtId="198" formatCode="_-&quot;£&quot;* #,##0_-;\-&quot;£&quot;* #,##0_-;_-&quot;£&quot;* &quot;-&quot;_-;_-@_-"/>
    <numFmt numFmtId="199" formatCode="_(* #,##0.0000_);_(* \(#,##0.0000\);_(* &quot;-&quot;??_);_(@_)"/>
    <numFmt numFmtId="200" formatCode="[$-409]d\-mmm\-yyyy;@"/>
    <numFmt numFmtId="201" formatCode="#,##0&quot;NT$&quot;;[Red]\-#,##0&quot;NT$&quot;"/>
    <numFmt numFmtId="202" formatCode="mm/dd/yy"/>
    <numFmt numFmtId="203" formatCode="dddd"/>
    <numFmt numFmtId="204" formatCode="ddd"/>
    <numFmt numFmtId="205" formatCode="#.##0_);\(#.##\)"/>
    <numFmt numFmtId="206" formatCode="_(* #,##0.0_);_(* \(#,##0.0\);_(* &quot;-&quot;_);_(@_)"/>
    <numFmt numFmtId="207" formatCode="0.E+00"/>
    <numFmt numFmtId="208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719">
    <xf numFmtId="0" fontId="0" fillId="0" borderId="0"/>
    <xf numFmtId="173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00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8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/>
    <xf numFmtId="186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20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7" fontId="32" fillId="0" borderId="3"/>
    <xf numFmtId="187" fontId="18" fillId="0" borderId="3"/>
    <xf numFmtId="167" fontId="19" fillId="0" borderId="0" applyFont="0" applyFill="0" applyBorder="0" applyAlignment="0" applyProtection="0"/>
    <xf numFmtId="167" fontId="44" fillId="0" borderId="0" applyFont="0" applyFill="0" applyBorder="0" applyAlignment="0" applyProtection="0"/>
    <xf numFmtId="174" fontId="32" fillId="0" borderId="0" applyFont="0" applyFill="0" applyBorder="0" applyAlignment="0" applyProtection="0"/>
    <xf numFmtId="174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66" fillId="0" borderId="0" applyFont="0" applyFill="0" applyBorder="0" applyAlignment="0" applyProtection="0"/>
    <xf numFmtId="189" fontId="68" fillId="0" borderId="0">
      <protection locked="0"/>
    </xf>
    <xf numFmtId="14" fontId="60" fillId="0" borderId="0" applyFill="0" applyBorder="0" applyAlignment="0"/>
    <xf numFmtId="190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1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2" fontId="73" fillId="0" borderId="0">
      <protection locked="0"/>
    </xf>
    <xf numFmtId="192" fontId="73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3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4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4" fontId="32" fillId="0" borderId="0"/>
    <xf numFmtId="194" fontId="18" fillId="0" borderId="0"/>
    <xf numFmtId="194" fontId="32" fillId="0" borderId="0"/>
    <xf numFmtId="194" fontId="18" fillId="0" borderId="0"/>
    <xf numFmtId="194" fontId="32" fillId="0" borderId="0"/>
    <xf numFmtId="194" fontId="18" fillId="0" borderId="0"/>
    <xf numFmtId="194" fontId="18" fillId="0" borderId="0"/>
    <xf numFmtId="194" fontId="32" fillId="0" borderId="0"/>
    <xf numFmtId="173" fontId="79" fillId="0" borderId="0"/>
    <xf numFmtId="173" fontId="80" fillId="0" borderId="0"/>
    <xf numFmtId="173" fontId="80" fillId="0" borderId="0"/>
    <xf numFmtId="0" fontId="62" fillId="0" borderId="0"/>
    <xf numFmtId="0" fontId="107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65" fillId="0" borderId="0"/>
    <xf numFmtId="0" fontId="32" fillId="0" borderId="0"/>
    <xf numFmtId="0" fontId="107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5" fontId="3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7" fillId="0" borderId="0"/>
    <xf numFmtId="183" fontId="80" fillId="0" borderId="0"/>
    <xf numFmtId="0" fontId="80" fillId="0" borderId="0"/>
    <xf numFmtId="196" fontId="80" fillId="0" borderId="0"/>
    <xf numFmtId="197" fontId="80" fillId="0" borderId="0"/>
    <xf numFmtId="0" fontId="80" fillId="0" borderId="0"/>
    <xf numFmtId="198" fontId="80" fillId="0" borderId="0"/>
    <xf numFmtId="198" fontId="80" fillId="0" borderId="0"/>
    <xf numFmtId="198" fontId="80" fillId="0" borderId="0"/>
    <xf numFmtId="196" fontId="80" fillId="0" borderId="0"/>
    <xf numFmtId="0" fontId="80" fillId="0" borderId="0"/>
    <xf numFmtId="0" fontId="32" fillId="0" borderId="0"/>
    <xf numFmtId="0" fontId="18" fillId="0" borderId="0"/>
    <xf numFmtId="183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8" fontId="80" fillId="0" borderId="0"/>
    <xf numFmtId="198" fontId="80" fillId="0" borderId="0"/>
    <xf numFmtId="198" fontId="80" fillId="0" borderId="0"/>
    <xf numFmtId="198" fontId="80" fillId="0" borderId="0"/>
    <xf numFmtId="200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5" fontId="39" fillId="0" borderId="0"/>
    <xf numFmtId="0" fontId="18" fillId="0" borderId="0"/>
    <xf numFmtId="0" fontId="18" fillId="0" borderId="0" applyProtection="0"/>
    <xf numFmtId="0" fontId="107" fillId="0" borderId="0"/>
    <xf numFmtId="0" fontId="107" fillId="0" borderId="0"/>
    <xf numFmtId="0" fontId="107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7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9" fillId="0" borderId="0"/>
    <xf numFmtId="0" fontId="108" fillId="0" borderId="0"/>
    <xf numFmtId="0" fontId="6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5" fontId="39" fillId="0" borderId="0"/>
    <xf numFmtId="195" fontId="39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70" fillId="0" borderId="0"/>
    <xf numFmtId="202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32" fillId="0" borderId="0" applyFill="0" applyBorder="0" applyAlignment="0"/>
    <xf numFmtId="204" fontId="18" fillId="0" borderId="0" applyFill="0" applyBorder="0" applyAlignment="0"/>
    <xf numFmtId="205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165" fontId="18" fillId="0" borderId="0" applyFont="0" applyFill="0" applyBorder="0" applyAlignment="0" applyProtection="0"/>
    <xf numFmtId="9" fontId="139" fillId="0" borderId="0" applyFont="0" applyFill="0" applyBorder="0" applyAlignment="0" applyProtection="0"/>
    <xf numFmtId="165" fontId="15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6" fontId="18" fillId="0" borderId="0" applyFont="0" applyFill="0" applyBorder="0" applyAlignment="0" applyProtection="0"/>
    <xf numFmtId="0" fontId="2" fillId="0" borderId="0"/>
    <xf numFmtId="0" fontId="2" fillId="0" borderId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8" fillId="0" borderId="0" applyFont="0" applyFill="0" applyBorder="0" applyAlignment="0" applyProtection="0"/>
    <xf numFmtId="0" fontId="1" fillId="0" borderId="0"/>
    <xf numFmtId="0" fontId="1" fillId="0" borderId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27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41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41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41" fontId="41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43" fontId="49" fillId="0" borderId="0" xfId="1652" applyNumberFormat="1" applyFont="1"/>
    <xf numFmtId="0" fontId="107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70" fontId="41" fillId="0" borderId="0" xfId="714" applyFont="1" applyFill="1" applyAlignment="1">
      <alignment horizontal="center" wrapText="1"/>
    </xf>
    <xf numFmtId="170" fontId="40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70" fontId="41" fillId="0" borderId="21" xfId="715" applyNumberFormat="1" applyFont="1" applyFill="1" applyBorder="1" applyAlignment="1">
      <alignment horizontal="center" vertical="center" wrapText="1"/>
    </xf>
    <xf numFmtId="170" fontId="41" fillId="0" borderId="21" xfId="714" applyFont="1" applyFill="1" applyBorder="1" applyAlignment="1">
      <alignment horizontal="center" vertical="center" wrapText="1"/>
    </xf>
    <xf numFmtId="170" fontId="41" fillId="0" borderId="33" xfId="714" applyFont="1" applyFill="1" applyBorder="1" applyAlignment="1">
      <alignment horizontal="center" vertical="center" wrapText="1"/>
    </xf>
    <xf numFmtId="43" fontId="40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43" fontId="40" fillId="0" borderId="0" xfId="1615" applyNumberFormat="1" applyFont="1" applyAlignment="1">
      <alignment horizontal="left" vertical="center"/>
    </xf>
    <xf numFmtId="43" fontId="49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8" fontId="41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41" fontId="91" fillId="0" borderId="0" xfId="1448" applyNumberFormat="1" applyFont="1" applyAlignment="1">
      <alignment wrapText="1"/>
    </xf>
    <xf numFmtId="41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70" fontId="41" fillId="0" borderId="21" xfId="717" applyNumberFormat="1" applyFont="1" applyFill="1" applyBorder="1" applyAlignment="1" applyProtection="1">
      <alignment horizontal="center" vertical="center" wrapText="1"/>
    </xf>
    <xf numFmtId="41" fontId="41" fillId="0" borderId="21" xfId="1451" applyNumberFormat="1" applyFont="1" applyBorder="1" applyAlignment="1">
      <alignment horizontal="center" vertical="center" wrapText="1"/>
    </xf>
    <xf numFmtId="170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70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70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70" fontId="40" fillId="0" borderId="3" xfId="715" applyNumberFormat="1" applyFont="1" applyFill="1" applyBorder="1" applyAlignment="1">
      <alignment horizontal="center" vertical="center" wrapText="1"/>
    </xf>
    <xf numFmtId="3" fontId="113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16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43" fontId="112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4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26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41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16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22" fillId="36" borderId="0" xfId="2670" applyFont="1" applyFill="1" applyAlignment="1">
      <alignment horizontal="left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right" vertical="center"/>
    </xf>
    <xf numFmtId="9" fontId="125" fillId="36" borderId="0" xfId="2671" applyFont="1" applyFill="1" applyBorder="1" applyAlignment="1" applyProtection="1">
      <alignment horizontal="right" vertical="center"/>
    </xf>
    <xf numFmtId="43" fontId="124" fillId="36" borderId="0" xfId="2672" applyFont="1" applyFill="1" applyBorder="1" applyAlignment="1" applyProtection="1">
      <alignment horizontal="right" vertical="center"/>
    </xf>
    <xf numFmtId="43" fontId="125" fillId="36" borderId="0" xfId="2672" applyFont="1" applyFill="1" applyBorder="1" applyAlignment="1" applyProtection="1">
      <alignment horizontal="right" vertical="center"/>
    </xf>
    <xf numFmtId="10" fontId="125" fillId="36" borderId="0" xfId="2671" applyNumberFormat="1" applyFont="1" applyFill="1" applyBorder="1" applyAlignment="1" applyProtection="1">
      <alignment horizontal="right" vertical="center"/>
    </xf>
    <xf numFmtId="170" fontId="124" fillId="36" borderId="0" xfId="2672" applyNumberFormat="1" applyFont="1" applyFill="1" applyBorder="1" applyAlignment="1" applyProtection="1">
      <alignment horizontal="right" vertical="center"/>
    </xf>
    <xf numFmtId="0" fontId="118" fillId="0" borderId="0" xfId="2670" applyFont="1" applyAlignment="1">
      <alignment horizontal="left" vertical="center"/>
    </xf>
    <xf numFmtId="0" fontId="12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8" fillId="0" borderId="0" xfId="1538"/>
    <xf numFmtId="43" fontId="108" fillId="0" borderId="0" xfId="1538" applyNumberFormat="1"/>
    <xf numFmtId="0" fontId="58" fillId="0" borderId="0" xfId="1538" applyFont="1"/>
    <xf numFmtId="0" fontId="111" fillId="0" borderId="0" xfId="1538" applyFont="1"/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8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43" fontId="0" fillId="0" borderId="3" xfId="1026" applyFont="1" applyFill="1" applyBorder="1" applyProtection="1"/>
    <xf numFmtId="43" fontId="108" fillId="0" borderId="3" xfId="1538" applyNumberFormat="1" applyBorder="1"/>
    <xf numFmtId="43" fontId="119" fillId="0" borderId="3" xfId="1026" applyFont="1" applyBorder="1" applyProtection="1"/>
    <xf numFmtId="43" fontId="0" fillId="0" borderId="3" xfId="1026" applyFont="1" applyBorder="1" applyProtection="1"/>
    <xf numFmtId="43" fontId="111" fillId="0" borderId="3" xfId="1538" applyNumberFormat="1" applyFont="1" applyBorder="1"/>
    <xf numFmtId="0" fontId="58" fillId="0" borderId="3" xfId="1538" applyFont="1" applyBorder="1"/>
    <xf numFmtId="41" fontId="108" fillId="0" borderId="3" xfId="1538" applyNumberFormat="1" applyBorder="1"/>
    <xf numFmtId="43" fontId="100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43" fontId="46" fillId="0" borderId="3" xfId="1538" applyNumberFormat="1" applyFont="1" applyBorder="1"/>
    <xf numFmtId="0" fontId="108" fillId="29" borderId="0" xfId="1538" applyFill="1"/>
    <xf numFmtId="0" fontId="46" fillId="0" borderId="0" xfId="1538" applyFont="1" applyAlignment="1">
      <alignment horizontal="center"/>
    </xf>
    <xf numFmtId="43" fontId="46" fillId="0" borderId="0" xfId="1538" applyNumberFormat="1" applyFont="1"/>
    <xf numFmtId="0" fontId="108" fillId="29" borderId="3" xfId="1538" applyFill="1" applyBorder="1"/>
    <xf numFmtId="170" fontId="108" fillId="29" borderId="3" xfId="1538" applyNumberFormat="1" applyFill="1" applyBorder="1" applyAlignment="1">
      <alignment horizontal="right"/>
    </xf>
    <xf numFmtId="166" fontId="108" fillId="0" borderId="0" xfId="1538" applyNumberFormat="1"/>
    <xf numFmtId="43" fontId="108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27" fillId="0" borderId="0" xfId="1614" applyFont="1" applyAlignment="1">
      <alignment horizontal="center"/>
    </xf>
    <xf numFmtId="0" fontId="128" fillId="0" borderId="0" xfId="1614" applyFont="1" applyAlignment="1">
      <alignment horizontal="center" vertical="center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0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3" fontId="127" fillId="0" borderId="0" xfId="1614" applyNumberFormat="1" applyFont="1" applyAlignment="1">
      <alignment horizontal="center"/>
    </xf>
    <xf numFmtId="0" fontId="132" fillId="0" borderId="0" xfId="1614" applyFont="1"/>
    <xf numFmtId="43" fontId="132" fillId="0" borderId="0" xfId="1652" applyNumberFormat="1" applyFont="1"/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left" vertical="center"/>
    </xf>
    <xf numFmtId="0" fontId="132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0" fontId="132" fillId="0" borderId="0" xfId="1614" applyFont="1" applyAlignment="1">
      <alignment horizontal="center" vertical="center" wrapText="1"/>
    </xf>
    <xf numFmtId="0" fontId="129" fillId="0" borderId="0" xfId="1614" applyFont="1" applyAlignment="1">
      <alignment horizontal="center" vertical="center" wrapText="1"/>
    </xf>
    <xf numFmtId="3" fontId="128" fillId="0" borderId="0" xfId="1614" applyNumberFormat="1" applyFont="1" applyAlignment="1">
      <alignment vertical="center"/>
    </xf>
    <xf numFmtId="0" fontId="129" fillId="0" borderId="20" xfId="1615" applyFont="1" applyBorder="1" applyAlignment="1">
      <alignment horizontal="center" vertical="center"/>
    </xf>
    <xf numFmtId="0" fontId="129" fillId="0" borderId="21" xfId="1615" applyFont="1" applyBorder="1" applyAlignment="1">
      <alignment horizontal="left" vertical="center" wrapText="1"/>
    </xf>
    <xf numFmtId="0" fontId="128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28" fillId="0" borderId="21" xfId="1614" applyNumberFormat="1" applyFont="1" applyBorder="1" applyAlignment="1">
      <alignment horizontal="center" vertical="center"/>
    </xf>
    <xf numFmtId="3" fontId="128" fillId="0" borderId="22" xfId="1614" applyNumberFormat="1" applyFont="1" applyBorder="1" applyAlignment="1">
      <alignment horizontal="center" vertical="center"/>
    </xf>
    <xf numFmtId="3" fontId="128" fillId="0" borderId="0" xfId="1614" applyNumberFormat="1" applyFont="1" applyAlignment="1">
      <alignment horizontal="center"/>
    </xf>
    <xf numFmtId="3" fontId="127" fillId="0" borderId="0" xfId="1614" applyNumberFormat="1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0" fillId="0" borderId="21" xfId="1653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8" fillId="0" borderId="21" xfId="1451" applyFont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5" fillId="0" borderId="21" xfId="1652" applyFont="1" applyBorder="1" applyAlignment="1">
      <alignment horizontal="center" vertical="center"/>
    </xf>
    <xf numFmtId="0" fontId="135" fillId="0" borderId="44" xfId="1652" applyFont="1" applyBorder="1" applyAlignment="1">
      <alignment horizontal="center" vertical="center"/>
    </xf>
    <xf numFmtId="0" fontId="135" fillId="0" borderId="3" xfId="1652" applyFont="1" applyBorder="1" applyAlignment="1">
      <alignment vertical="center" wrapText="1"/>
    </xf>
    <xf numFmtId="0" fontId="128" fillId="0" borderId="3" xfId="1614" applyFont="1" applyBorder="1" applyAlignment="1">
      <alignment horizontal="center" vertical="center" wrapText="1"/>
    </xf>
    <xf numFmtId="0" fontId="135" fillId="0" borderId="3" xfId="1614" applyFont="1" applyBorder="1" applyAlignment="1">
      <alignment horizontal="center" vertical="center"/>
    </xf>
    <xf numFmtId="0" fontId="135" fillId="0" borderId="3" xfId="1652" applyFont="1" applyBorder="1" applyAlignment="1">
      <alignment horizontal="center" vertical="center"/>
    </xf>
    <xf numFmtId="208" fontId="135" fillId="0" borderId="3" xfId="1614" applyNumberFormat="1" applyFont="1" applyBorder="1" applyAlignment="1">
      <alignment horizontal="center" vertical="center"/>
    </xf>
    <xf numFmtId="3" fontId="128" fillId="0" borderId="3" xfId="1614" applyNumberFormat="1" applyFont="1" applyBorder="1" applyAlignment="1">
      <alignment horizontal="center" vertical="center"/>
    </xf>
    <xf numFmtId="3" fontId="128" fillId="0" borderId="39" xfId="1614" applyNumberFormat="1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28" fillId="0" borderId="23" xfId="1614" applyFont="1" applyBorder="1" applyAlignment="1">
      <alignment horizontal="center" vertical="center"/>
    </xf>
    <xf numFmtId="0" fontId="128" fillId="0" borderId="24" xfId="1614" applyFont="1" applyBorder="1" applyAlignment="1">
      <alignment horizontal="left" vertical="center"/>
    </xf>
    <xf numFmtId="0" fontId="128" fillId="0" borderId="24" xfId="1614" applyFont="1" applyBorder="1" applyAlignment="1">
      <alignment vertical="center"/>
    </xf>
    <xf numFmtId="0" fontId="135" fillId="0" borderId="24" xfId="1614" applyFont="1" applyBorder="1" applyAlignment="1">
      <alignment horizontal="center" vertical="center"/>
    </xf>
    <xf numFmtId="3" fontId="128" fillId="0" borderId="24" xfId="1614" applyNumberFormat="1" applyFont="1" applyBorder="1" applyAlignment="1">
      <alignment horizontal="center" vertical="center"/>
    </xf>
    <xf numFmtId="3" fontId="128" fillId="0" borderId="25" xfId="1614" applyNumberFormat="1" applyFont="1" applyBorder="1" applyAlignment="1">
      <alignment horizontal="center" vertical="center"/>
    </xf>
    <xf numFmtId="0" fontId="130" fillId="0" borderId="26" xfId="1614" applyFont="1" applyBorder="1" applyAlignment="1">
      <alignment horizontal="center" vertical="center"/>
    </xf>
    <xf numFmtId="37" fontId="132" fillId="0" borderId="27" xfId="1614" applyNumberFormat="1" applyFont="1" applyBorder="1" applyAlignment="1">
      <alignment horizontal="center"/>
    </xf>
    <xf numFmtId="37" fontId="130" fillId="0" borderId="27" xfId="1614" applyNumberFormat="1" applyFont="1" applyBorder="1" applyAlignment="1">
      <alignment horizontal="center"/>
    </xf>
    <xf numFmtId="37" fontId="128" fillId="0" borderId="0" xfId="1614" applyNumberFormat="1" applyFont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30" fillId="0" borderId="28" xfId="1614" applyFont="1" applyBorder="1" applyAlignment="1">
      <alignment horizontal="center" vertical="center"/>
    </xf>
    <xf numFmtId="37" fontId="132" fillId="0" borderId="29" xfId="1614" applyNumberFormat="1" applyFont="1" applyBorder="1" applyAlignment="1">
      <alignment horizontal="center"/>
    </xf>
    <xf numFmtId="37" fontId="130" fillId="0" borderId="29" xfId="1614" applyNumberFormat="1" applyFont="1" applyBorder="1" applyAlignment="1">
      <alignment horizontal="center"/>
    </xf>
    <xf numFmtId="37" fontId="136" fillId="0" borderId="0" xfId="1614" applyNumberFormat="1" applyFont="1" applyAlignment="1">
      <alignment horizontal="center"/>
    </xf>
    <xf numFmtId="37" fontId="136" fillId="0" borderId="30" xfId="1614" applyNumberFormat="1" applyFont="1" applyBorder="1" applyAlignment="1">
      <alignment horizontal="center"/>
    </xf>
    <xf numFmtId="37" fontId="136" fillId="0" borderId="32" xfId="1614" applyNumberFormat="1" applyFont="1" applyBorder="1" applyAlignment="1">
      <alignment horizontal="center"/>
    </xf>
    <xf numFmtId="0" fontId="127" fillId="0" borderId="0" xfId="1614" applyFont="1" applyAlignment="1">
      <alignment horizontal="center" vertical="center"/>
    </xf>
    <xf numFmtId="0" fontId="136" fillId="0" borderId="34" xfId="1614" applyFont="1" applyBorder="1" applyAlignment="1">
      <alignment vertical="center"/>
    </xf>
    <xf numFmtId="0" fontId="130" fillId="0" borderId="19" xfId="1614" applyFont="1" applyBorder="1"/>
    <xf numFmtId="0" fontId="130" fillId="0" borderId="19" xfId="1614" applyFont="1" applyBorder="1" applyAlignment="1">
      <alignment horizontal="center"/>
    </xf>
    <xf numFmtId="0" fontId="130" fillId="0" borderId="19" xfId="1614" applyFont="1" applyBorder="1" applyAlignment="1">
      <alignment horizontal="right"/>
    </xf>
    <xf numFmtId="0" fontId="130" fillId="0" borderId="31" xfId="1614" applyFont="1" applyBorder="1" applyAlignment="1">
      <alignment horizontal="right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41" fontId="135" fillId="0" borderId="0" xfId="1652" applyNumberFormat="1" applyFont="1" applyAlignment="1">
      <alignment vertical="center"/>
    </xf>
    <xf numFmtId="0" fontId="130" fillId="0" borderId="0" xfId="1652" applyFont="1" applyAlignment="1">
      <alignment horizontal="right"/>
    </xf>
    <xf numFmtId="0" fontId="137" fillId="0" borderId="0" xfId="1644" applyFont="1" applyAlignment="1">
      <alignment horizontal="center" vertical="center"/>
    </xf>
    <xf numFmtId="0" fontId="135" fillId="0" borderId="0" xfId="1652" applyFont="1" applyAlignment="1">
      <alignment vertical="center"/>
    </xf>
    <xf numFmtId="0" fontId="138" fillId="39" borderId="59" xfId="2670" applyFont="1" applyFill="1" applyBorder="1" applyAlignment="1">
      <alignment horizontal="left" vertical="center"/>
    </xf>
    <xf numFmtId="0" fontId="138" fillId="39" borderId="60" xfId="2670" applyFont="1" applyFill="1" applyBorder="1" applyAlignment="1">
      <alignment horizontal="center" vertical="center"/>
    </xf>
    <xf numFmtId="0" fontId="138" fillId="39" borderId="62" xfId="2670" applyFont="1" applyFill="1" applyBorder="1" applyAlignment="1">
      <alignment horizontal="left" vertical="center"/>
    </xf>
    <xf numFmtId="0" fontId="138" fillId="39" borderId="58" xfId="2670" applyFont="1" applyFill="1" applyBorder="1" applyAlignment="1">
      <alignment horizontal="center" vertical="center"/>
    </xf>
    <xf numFmtId="0" fontId="138" fillId="39" borderId="64" xfId="2670" applyFont="1" applyFill="1" applyBorder="1" applyAlignment="1">
      <alignment horizontal="left" vertical="center"/>
    </xf>
    <xf numFmtId="0" fontId="138" fillId="39" borderId="65" xfId="2670" applyFont="1" applyFill="1" applyBorder="1" applyAlignment="1">
      <alignment horizontal="center" vertical="center"/>
    </xf>
    <xf numFmtId="43" fontId="120" fillId="40" borderId="61" xfId="2672" applyFont="1" applyFill="1" applyBorder="1" applyAlignment="1" applyProtection="1">
      <alignment horizontal="right" vertical="center" wrapText="1"/>
      <protection locked="0"/>
    </xf>
    <xf numFmtId="43" fontId="120" fillId="40" borderId="63" xfId="2672" applyFont="1" applyFill="1" applyBorder="1" applyAlignment="1" applyProtection="1">
      <alignment horizontal="right" vertical="center"/>
      <protection locked="0"/>
    </xf>
    <xf numFmtId="170" fontId="120" fillId="40" borderId="63" xfId="2672" applyNumberFormat="1" applyFont="1" applyFill="1" applyBorder="1" applyAlignment="1" applyProtection="1">
      <alignment horizontal="right" vertical="center"/>
      <protection locked="0"/>
    </xf>
    <xf numFmtId="170" fontId="120" fillId="40" borderId="66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1" xfId="2673" applyFont="1" applyBorder="1" applyAlignment="1">
      <alignment horizontal="center" vertical="center" wrapText="1"/>
    </xf>
    <xf numFmtId="0" fontId="141" fillId="0" borderId="0" xfId="2673" applyFont="1" applyAlignment="1">
      <alignment horizontal="center" vertical="center" wrapText="1"/>
    </xf>
    <xf numFmtId="0" fontId="142" fillId="0" borderId="0" xfId="2673" applyFont="1" applyAlignment="1">
      <alignment vertical="center" wrapText="1"/>
    </xf>
    <xf numFmtId="0" fontId="143" fillId="0" borderId="0" xfId="2673" applyFont="1" applyAlignment="1">
      <alignment vertical="center" wrapText="1"/>
    </xf>
    <xf numFmtId="0" fontId="126" fillId="35" borderId="70" xfId="2673" applyFont="1" applyFill="1" applyBorder="1" applyAlignment="1">
      <alignment vertical="center" wrapText="1"/>
    </xf>
    <xf numFmtId="0" fontId="126" fillId="43" borderId="70" xfId="2673" applyFont="1" applyFill="1" applyBorder="1" applyAlignment="1">
      <alignment vertical="center" wrapText="1"/>
    </xf>
    <xf numFmtId="0" fontId="140" fillId="0" borderId="0" xfId="2673" applyFont="1" applyAlignment="1">
      <alignment vertical="center" wrapText="1"/>
    </xf>
    <xf numFmtId="0" fontId="146" fillId="0" borderId="0" xfId="2673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5" fillId="35" borderId="32" xfId="2673" applyFont="1" applyFill="1" applyBorder="1" applyAlignment="1">
      <alignment vertical="center" wrapText="1"/>
    </xf>
    <xf numFmtId="0" fontId="115" fillId="43" borderId="32" xfId="2673" applyFont="1" applyFill="1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2" fontId="115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2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5" fillId="0" borderId="0" xfId="2675" applyFont="1" applyFill="1" applyBorder="1" applyAlignment="1">
      <alignment horizontal="center" vertical="center" wrapText="1"/>
    </xf>
    <xf numFmtId="1" fontId="115" fillId="0" borderId="45" xfId="2673" applyNumberFormat="1" applyFont="1" applyBorder="1" applyAlignment="1">
      <alignment vertical="center" wrapText="1"/>
    </xf>
    <xf numFmtId="0" fontId="148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2" fontId="148" fillId="0" borderId="0" xfId="2673" applyNumberFormat="1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26" fillId="35" borderId="46" xfId="2673" applyFont="1" applyFill="1" applyBorder="1" applyAlignment="1">
      <alignment vertical="center" wrapText="1"/>
    </xf>
    <xf numFmtId="0" fontId="126" fillId="0" borderId="48" xfId="2673" applyFont="1" applyBorder="1" applyAlignment="1">
      <alignment horizontal="center" vertical="center" wrapText="1"/>
    </xf>
    <xf numFmtId="0" fontId="126" fillId="35" borderId="44" xfId="2673" applyFont="1" applyFill="1" applyBorder="1" applyAlignment="1">
      <alignment vertical="center" wrapText="1"/>
    </xf>
    <xf numFmtId="1" fontId="115" fillId="0" borderId="50" xfId="2673" applyNumberFormat="1" applyFont="1" applyBorder="1" applyAlignment="1">
      <alignment vertical="center" wrapText="1"/>
    </xf>
    <xf numFmtId="0" fontId="115" fillId="35" borderId="44" xfId="2673" applyFont="1" applyFill="1" applyBorder="1" applyAlignment="1">
      <alignment vertical="center" wrapText="1"/>
    </xf>
    <xf numFmtId="0" fontId="115" fillId="35" borderId="74" xfId="2673" applyFont="1" applyFill="1" applyBorder="1" applyAlignment="1">
      <alignment vertical="center" wrapText="1"/>
    </xf>
    <xf numFmtId="0" fontId="102" fillId="0" borderId="52" xfId="2673" applyFont="1" applyBorder="1" applyAlignment="1">
      <alignment horizontal="center" vertical="center" wrapText="1"/>
    </xf>
    <xf numFmtId="0" fontId="126" fillId="0" borderId="46" xfId="2673" applyFont="1" applyBorder="1" applyAlignment="1">
      <alignment vertical="center" wrapText="1"/>
    </xf>
    <xf numFmtId="0" fontId="126" fillId="0" borderId="44" xfId="2673" applyFont="1" applyBorder="1" applyAlignment="1">
      <alignment vertical="center" wrapText="1"/>
    </xf>
    <xf numFmtId="0" fontId="115" fillId="0" borderId="44" xfId="2673" applyFont="1" applyBorder="1" applyAlignment="1">
      <alignment vertical="center" wrapText="1"/>
    </xf>
    <xf numFmtId="0" fontId="115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165" fontId="131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1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8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70" fontId="124" fillId="47" borderId="0" xfId="2672" applyNumberFormat="1" applyFont="1" applyFill="1" applyBorder="1" applyAlignment="1" applyProtection="1">
      <alignment horizontal="right" vertical="center"/>
    </xf>
    <xf numFmtId="3" fontId="135" fillId="48" borderId="21" xfId="1614" applyNumberFormat="1" applyFont="1" applyFill="1" applyBorder="1" applyAlignment="1">
      <alignment horizontal="center" vertical="center"/>
    </xf>
    <xf numFmtId="0" fontId="152" fillId="33" borderId="3" xfId="0" applyFont="1" applyFill="1" applyBorder="1" applyAlignment="1">
      <alignment horizontal="center"/>
    </xf>
    <xf numFmtId="0" fontId="152" fillId="33" borderId="39" xfId="0" applyFont="1" applyFill="1" applyBorder="1" applyAlignment="1">
      <alignment horizontal="center"/>
    </xf>
    <xf numFmtId="0" fontId="152" fillId="33" borderId="7" xfId="0" applyFont="1" applyFill="1" applyBorder="1" applyAlignment="1">
      <alignment horizontal="center" vertical="top" wrapText="1"/>
    </xf>
    <xf numFmtId="0" fontId="152" fillId="33" borderId="78" xfId="0" applyFont="1" applyFill="1" applyBorder="1" applyAlignment="1">
      <alignment horizontal="center" vertical="top" wrapText="1"/>
    </xf>
    <xf numFmtId="0" fontId="159" fillId="33" borderId="83" xfId="0" applyFont="1" applyFill="1" applyBorder="1" applyAlignment="1">
      <alignment horizontal="center" vertical="center"/>
    </xf>
    <xf numFmtId="49" fontId="152" fillId="33" borderId="7" xfId="0" applyNumberFormat="1" applyFont="1" applyFill="1" applyBorder="1" applyAlignment="1">
      <alignment horizontal="center" vertical="top" wrapText="1"/>
    </xf>
    <xf numFmtId="49" fontId="152" fillId="33" borderId="78" xfId="0" applyNumberFormat="1" applyFont="1" applyFill="1" applyBorder="1" applyAlignment="1">
      <alignment horizontal="center" vertical="top" wrapText="1"/>
    </xf>
    <xf numFmtId="0" fontId="156" fillId="33" borderId="18" xfId="0" applyFont="1" applyFill="1" applyBorder="1" applyAlignment="1">
      <alignment horizontal="left"/>
    </xf>
    <xf numFmtId="0" fontId="135" fillId="0" borderId="21" xfId="1615" applyFont="1" applyBorder="1" applyAlignment="1">
      <alignment horizontal="center" vertical="center"/>
    </xf>
    <xf numFmtId="0" fontId="36" fillId="0" borderId="0" xfId="1614" applyFont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29" fillId="0" borderId="20" xfId="1653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134" fillId="0" borderId="20" xfId="1653" applyFont="1" applyBorder="1" applyAlignment="1">
      <alignment horizontal="center" vertical="center"/>
    </xf>
    <xf numFmtId="0" fontId="130" fillId="0" borderId="20" xfId="1653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28" fillId="0" borderId="21" xfId="1615" applyFont="1" applyBorder="1" applyAlignment="1">
      <alignment horizontal="left"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130" fillId="33" borderId="21" xfId="1652" applyFont="1" applyFill="1" applyBorder="1" applyAlignment="1">
      <alignment vertical="center" wrapText="1"/>
    </xf>
    <xf numFmtId="0" fontId="130" fillId="33" borderId="20" xfId="1652" applyFont="1" applyFill="1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10" fillId="0" borderId="21" xfId="1652" applyFont="1" applyBorder="1" applyAlignment="1">
      <alignment vertical="center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  <xf numFmtId="0" fontId="164" fillId="0" borderId="26" xfId="1451" applyFont="1" applyBorder="1"/>
    <xf numFmtId="0" fontId="164" fillId="0" borderId="36" xfId="1451" applyFont="1" applyBorder="1"/>
    <xf numFmtId="0" fontId="164" fillId="0" borderId="43" xfId="1451" applyFont="1" applyBorder="1"/>
    <xf numFmtId="0" fontId="164" fillId="0" borderId="28" xfId="1451" applyFont="1" applyBorder="1"/>
    <xf numFmtId="0" fontId="164" fillId="0" borderId="37" xfId="1451" applyFont="1" applyBorder="1"/>
    <xf numFmtId="0" fontId="156" fillId="0" borderId="37" xfId="1451" applyFont="1" applyBorder="1" applyAlignment="1">
      <alignment vertical="center"/>
    </xf>
    <xf numFmtId="0" fontId="164" fillId="0" borderId="34" xfId="1451" applyFont="1" applyBorder="1"/>
    <xf numFmtId="0" fontId="164" fillId="0" borderId="19" xfId="1451" applyFont="1" applyBorder="1"/>
    <xf numFmtId="0" fontId="156" fillId="0" borderId="19" xfId="1451" applyFont="1" applyBorder="1" applyAlignment="1">
      <alignment vertical="center"/>
    </xf>
    <xf numFmtId="0" fontId="156" fillId="0" borderId="19" xfId="1451" applyFont="1" applyBorder="1" applyAlignment="1">
      <alignment horizontal="center" vertical="center"/>
    </xf>
    <xf numFmtId="0" fontId="156" fillId="0" borderId="31" xfId="1451" applyFont="1" applyBorder="1" applyAlignment="1">
      <alignment vertical="center"/>
    </xf>
    <xf numFmtId="0" fontId="164" fillId="33" borderId="0" xfId="1451" applyFont="1" applyFill="1"/>
    <xf numFmtId="0" fontId="164" fillId="33" borderId="26" xfId="1451" applyFont="1" applyFill="1" applyBorder="1"/>
    <xf numFmtId="0" fontId="164" fillId="33" borderId="36" xfId="1451" applyFont="1" applyFill="1" applyBorder="1"/>
    <xf numFmtId="0" fontId="164" fillId="33" borderId="43" xfId="1451" applyFont="1" applyFill="1" applyBorder="1"/>
    <xf numFmtId="0" fontId="164" fillId="33" borderId="28" xfId="1451" applyFont="1" applyFill="1" applyBorder="1"/>
    <xf numFmtId="0" fontId="164" fillId="33" borderId="37" xfId="1451" applyFont="1" applyFill="1" applyBorder="1"/>
    <xf numFmtId="0" fontId="166" fillId="33" borderId="0" xfId="1451" applyFont="1" applyFill="1" applyAlignment="1">
      <alignment vertical="center"/>
    </xf>
    <xf numFmtId="0" fontId="165" fillId="33" borderId="0" xfId="1451" applyFont="1" applyFill="1" applyAlignment="1">
      <alignment vertical="center"/>
    </xf>
    <xf numFmtId="0" fontId="169" fillId="33" borderId="0" xfId="1451" applyFont="1" applyFill="1" applyAlignment="1">
      <alignment horizontal="center" vertical="center"/>
    </xf>
    <xf numFmtId="0" fontId="170" fillId="33" borderId="0" xfId="1451" applyFont="1" applyFill="1"/>
    <xf numFmtId="0" fontId="171" fillId="33" borderId="0" xfId="1451" applyFont="1" applyFill="1"/>
    <xf numFmtId="0" fontId="156" fillId="33" borderId="0" xfId="1451" applyFont="1" applyFill="1" applyAlignment="1">
      <alignment vertical="center"/>
    </xf>
    <xf numFmtId="0" fontId="156" fillId="33" borderId="37" xfId="1451" applyFont="1" applyFill="1" applyBorder="1" applyAlignment="1">
      <alignment vertical="center"/>
    </xf>
    <xf numFmtId="0" fontId="171" fillId="33" borderId="0" xfId="1451" applyFont="1" applyFill="1" applyAlignment="1">
      <alignment horizontal="center"/>
    </xf>
    <xf numFmtId="0" fontId="156" fillId="33" borderId="0" xfId="1451" applyFont="1" applyFill="1" applyAlignment="1">
      <alignment horizontal="center" vertical="center"/>
    </xf>
    <xf numFmtId="0" fontId="156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64" fillId="33" borderId="34" xfId="1451" applyFont="1" applyFill="1" applyBorder="1"/>
    <xf numFmtId="0" fontId="164" fillId="33" borderId="19" xfId="1451" applyFont="1" applyFill="1" applyBorder="1"/>
    <xf numFmtId="0" fontId="156" fillId="33" borderId="19" xfId="1451" applyFont="1" applyFill="1" applyBorder="1" applyAlignment="1">
      <alignment vertical="center"/>
    </xf>
    <xf numFmtId="0" fontId="156" fillId="33" borderId="19" xfId="1451" applyFont="1" applyFill="1" applyBorder="1" applyAlignment="1">
      <alignment horizontal="center" vertical="center"/>
    </xf>
    <xf numFmtId="0" fontId="156" fillId="33" borderId="31" xfId="1451" applyFont="1" applyFill="1" applyBorder="1" applyAlignment="1">
      <alignment vertical="center"/>
    </xf>
    <xf numFmtId="0" fontId="164" fillId="33" borderId="31" xfId="1451" applyFont="1" applyFill="1" applyBorder="1"/>
    <xf numFmtId="0" fontId="164" fillId="0" borderId="0" xfId="1451" applyFont="1"/>
    <xf numFmtId="0" fontId="166" fillId="0" borderId="0" xfId="1451" applyFont="1" applyAlignment="1">
      <alignment vertical="center"/>
    </xf>
    <xf numFmtId="0" fontId="167" fillId="0" borderId="0" xfId="1451" applyFont="1"/>
    <xf numFmtId="0" fontId="165" fillId="0" borderId="0" xfId="1451" applyFont="1" applyAlignment="1">
      <alignment vertical="center"/>
    </xf>
    <xf numFmtId="0" fontId="169" fillId="0" borderId="0" xfId="1451" applyFont="1" applyAlignment="1">
      <alignment horizontal="center" vertical="center"/>
    </xf>
    <xf numFmtId="0" fontId="170" fillId="0" borderId="0" xfId="1451" applyFont="1"/>
    <xf numFmtId="0" fontId="171" fillId="0" borderId="0" xfId="1451" applyFont="1"/>
    <xf numFmtId="0" fontId="156" fillId="0" borderId="0" xfId="1451" applyFont="1" applyAlignment="1">
      <alignment vertical="center"/>
    </xf>
    <xf numFmtId="0" fontId="156" fillId="0" borderId="0" xfId="1451" applyFont="1" applyAlignment="1">
      <alignment horizontal="center" vertical="center"/>
    </xf>
    <xf numFmtId="0" fontId="164" fillId="0" borderId="0" xfId="1451" applyFont="1" applyAlignment="1">
      <alignment horizontal="center" vertical="center"/>
    </xf>
    <xf numFmtId="0" fontId="164" fillId="0" borderId="0" xfId="1451" applyFont="1" applyAlignment="1">
      <alignment horizontal="center"/>
    </xf>
    <xf numFmtId="0" fontId="165" fillId="35" borderId="0" xfId="1451" applyFont="1" applyFill="1" applyAlignment="1">
      <alignment vertical="center"/>
    </xf>
    <xf numFmtId="0" fontId="171" fillId="0" borderId="19" xfId="1451" applyFont="1" applyBorder="1" applyAlignment="1">
      <alignment horizontal="center"/>
    </xf>
    <xf numFmtId="0" fontId="171" fillId="0" borderId="19" xfId="1451" applyFont="1" applyBorder="1"/>
    <xf numFmtId="0" fontId="154" fillId="0" borderId="0" xfId="2669" applyFont="1" applyAlignment="1">
      <alignment vertical="center"/>
    </xf>
    <xf numFmtId="0" fontId="155" fillId="0" borderId="0" xfId="1450" applyFont="1" applyAlignment="1">
      <alignment horizontal="center"/>
    </xf>
    <xf numFmtId="0" fontId="155" fillId="0" borderId="3" xfId="1450" applyFont="1" applyBorder="1" applyAlignment="1">
      <alignment horizontal="center"/>
    </xf>
    <xf numFmtId="0" fontId="152" fillId="33" borderId="0" xfId="0" applyFont="1" applyFill="1" applyAlignment="1">
      <alignment horizontal="center"/>
    </xf>
    <xf numFmtId="0" fontId="152" fillId="33" borderId="26" xfId="0" applyFont="1" applyFill="1" applyBorder="1" applyAlignment="1">
      <alignment horizontal="center"/>
    </xf>
    <xf numFmtId="0" fontId="152" fillId="33" borderId="36" xfId="0" applyFont="1" applyFill="1" applyBorder="1" applyAlignment="1">
      <alignment horizontal="center"/>
    </xf>
    <xf numFmtId="0" fontId="152" fillId="33" borderId="28" xfId="0" applyFont="1" applyFill="1" applyBorder="1" applyAlignment="1">
      <alignment horizontal="center"/>
    </xf>
    <xf numFmtId="0" fontId="152" fillId="33" borderId="37" xfId="0" applyFont="1" applyFill="1" applyBorder="1" applyAlignment="1">
      <alignment horizontal="center"/>
    </xf>
    <xf numFmtId="0" fontId="155" fillId="33" borderId="0" xfId="0" applyFont="1" applyFill="1" applyAlignment="1">
      <alignment horizontal="center"/>
    </xf>
    <xf numFmtId="0" fontId="157" fillId="33" borderId="28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2" fillId="33" borderId="38" xfId="0" applyFont="1" applyFill="1" applyBorder="1" applyAlignment="1">
      <alignment horizontal="center"/>
    </xf>
    <xf numFmtId="0" fontId="159" fillId="33" borderId="84" xfId="0" applyFont="1" applyFill="1" applyBorder="1" applyAlignment="1">
      <alignment horizontal="center" vertical="center"/>
    </xf>
    <xf numFmtId="0" fontId="152" fillId="33" borderId="3" xfId="0" applyFont="1" applyFill="1" applyBorder="1" applyAlignment="1">
      <alignment horizontal="left" vertical="center"/>
    </xf>
    <xf numFmtId="0" fontId="152" fillId="33" borderId="3" xfId="0" applyFont="1" applyFill="1" applyBorder="1" applyAlignment="1">
      <alignment horizontal="center" vertical="center"/>
    </xf>
    <xf numFmtId="0" fontId="152" fillId="33" borderId="39" xfId="0" applyFont="1" applyFill="1" applyBorder="1" applyAlignment="1">
      <alignment horizontal="center" vertical="center"/>
    </xf>
    <xf numFmtId="0" fontId="161" fillId="33" borderId="87" xfId="0" applyFont="1" applyFill="1" applyBorder="1" applyAlignment="1">
      <alignment horizontal="center" vertical="center"/>
    </xf>
    <xf numFmtId="0" fontId="159" fillId="33" borderId="88" xfId="0" applyFont="1" applyFill="1" applyBorder="1" applyAlignment="1">
      <alignment horizontal="center" vertical="center"/>
    </xf>
    <xf numFmtId="0" fontId="162" fillId="33" borderId="0" xfId="0" applyFont="1" applyFill="1" applyAlignment="1">
      <alignment horizontal="center"/>
    </xf>
    <xf numFmtId="0" fontId="152" fillId="33" borderId="3" xfId="0" applyFont="1" applyFill="1" applyBorder="1" applyAlignment="1">
      <alignment vertical="top" wrapText="1"/>
    </xf>
    <xf numFmtId="0" fontId="152" fillId="33" borderId="39" xfId="0" applyFont="1" applyFill="1" applyBorder="1" applyAlignment="1">
      <alignment vertical="top" wrapText="1"/>
    </xf>
    <xf numFmtId="0" fontId="161" fillId="33" borderId="93" xfId="0" applyFont="1" applyFill="1" applyBorder="1" applyAlignment="1">
      <alignment horizontal="center" vertical="center"/>
    </xf>
    <xf numFmtId="0" fontId="163" fillId="33" borderId="96" xfId="0" applyFont="1" applyFill="1" applyBorder="1" applyAlignment="1">
      <alignment horizontal="center" vertical="top" wrapText="1"/>
    </xf>
    <xf numFmtId="0" fontId="163" fillId="33" borderId="97" xfId="0" applyFont="1" applyFill="1" applyBorder="1" applyAlignment="1">
      <alignment horizontal="center" vertical="top" wrapText="1"/>
    </xf>
    <xf numFmtId="0" fontId="152" fillId="33" borderId="40" xfId="0" applyFont="1" applyFill="1" applyBorder="1" applyAlignment="1">
      <alignment horizontal="center"/>
    </xf>
    <xf numFmtId="0" fontId="152" fillId="33" borderId="41" xfId="0" applyFont="1" applyFill="1" applyBorder="1" applyAlignment="1">
      <alignment vertical="top" wrapText="1"/>
    </xf>
    <xf numFmtId="0" fontId="152" fillId="33" borderId="42" xfId="0" applyFont="1" applyFill="1" applyBorder="1" applyAlignment="1">
      <alignment vertical="top" wrapText="1"/>
    </xf>
    <xf numFmtId="0" fontId="152" fillId="33" borderId="77" xfId="0" applyFont="1" applyFill="1" applyBorder="1" applyAlignment="1">
      <alignment vertical="top" wrapText="1"/>
    </xf>
    <xf numFmtId="0" fontId="163" fillId="33" borderId="28" xfId="0" applyFont="1" applyFill="1" applyBorder="1" applyAlignment="1">
      <alignment horizontal="center"/>
    </xf>
    <xf numFmtId="0" fontId="163" fillId="33" borderId="0" xfId="0" applyFont="1" applyFill="1" applyAlignment="1">
      <alignment horizontal="center"/>
    </xf>
    <xf numFmtId="20" fontId="152" fillId="33" borderId="39" xfId="0" applyNumberFormat="1" applyFont="1" applyFill="1" applyBorder="1" applyAlignment="1">
      <alignment horizontal="center"/>
    </xf>
    <xf numFmtId="0" fontId="152" fillId="33" borderId="40" xfId="0" applyFont="1" applyFill="1" applyBorder="1" applyAlignment="1">
      <alignment horizontal="center" vertical="center" wrapText="1"/>
    </xf>
    <xf numFmtId="0" fontId="163" fillId="33" borderId="34" xfId="0" applyFont="1" applyFill="1" applyBorder="1" applyAlignment="1">
      <alignment horizontal="center"/>
    </xf>
    <xf numFmtId="0" fontId="163" fillId="33" borderId="19" xfId="0" applyFont="1" applyFill="1" applyBorder="1" applyAlignment="1">
      <alignment horizontal="center"/>
    </xf>
    <xf numFmtId="0" fontId="152" fillId="33" borderId="19" xfId="0" applyFont="1" applyFill="1" applyBorder="1" applyAlignment="1">
      <alignment horizontal="center"/>
    </xf>
    <xf numFmtId="0" fontId="152" fillId="33" borderId="98" xfId="0" applyFont="1" applyFill="1" applyBorder="1" applyAlignment="1">
      <alignment horizontal="center"/>
    </xf>
    <xf numFmtId="0" fontId="135" fillId="33" borderId="21" xfId="1615" applyFont="1" applyFill="1" applyBorder="1" applyAlignment="1">
      <alignment horizontal="center" vertical="center"/>
    </xf>
    <xf numFmtId="0" fontId="7" fillId="33" borderId="21" xfId="1614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4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0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55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7" fillId="0" borderId="46" xfId="1614" applyFont="1" applyBorder="1" applyAlignment="1">
      <alignment horizontal="center" vertical="center"/>
    </xf>
    <xf numFmtId="0" fontId="47" fillId="0" borderId="44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48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49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3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70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41" fillId="42" borderId="67" xfId="2673" applyFont="1" applyFill="1" applyBorder="1" applyAlignment="1">
      <alignment horizontal="center" vertical="center" wrapText="1"/>
    </xf>
    <xf numFmtId="0" fontId="141" fillId="42" borderId="68" xfId="2673" applyFont="1" applyFill="1" applyBorder="1" applyAlignment="1">
      <alignment horizontal="center" vertical="center" wrapText="1"/>
    </xf>
    <xf numFmtId="0" fontId="141" fillId="42" borderId="69" xfId="2673" applyFont="1" applyFill="1" applyBorder="1" applyAlignment="1">
      <alignment horizontal="center" vertical="center" wrapText="1"/>
    </xf>
    <xf numFmtId="166" fontId="126" fillId="43" borderId="7" xfId="2673" applyNumberFormat="1" applyFont="1" applyFill="1" applyBorder="1" applyAlignment="1">
      <alignment horizontal="center" vertical="center" wrapText="1"/>
    </xf>
    <xf numFmtId="0" fontId="126" fillId="43" borderId="50" xfId="2673" applyFont="1" applyFill="1" applyBorder="1" applyAlignment="1">
      <alignment horizontal="center" vertical="center" wrapText="1"/>
    </xf>
    <xf numFmtId="1" fontId="115" fillId="43" borderId="7" xfId="2673" applyNumberFormat="1" applyFont="1" applyFill="1" applyBorder="1" applyAlignment="1">
      <alignment horizontal="center" vertical="center" wrapText="1"/>
    </xf>
    <xf numFmtId="1" fontId="115" fillId="43" borderId="50" xfId="2673" applyNumberFormat="1" applyFont="1" applyFill="1" applyBorder="1" applyAlignment="1">
      <alignment horizontal="center" vertical="center" wrapText="1"/>
    </xf>
    <xf numFmtId="0" fontId="115" fillId="43" borderId="7" xfId="2673" applyFont="1" applyFill="1" applyBorder="1" applyAlignment="1">
      <alignment horizontal="center" vertical="center" wrapText="1"/>
    </xf>
    <xf numFmtId="0" fontId="115" fillId="43" borderId="50" xfId="2673" applyFont="1" applyFill="1" applyBorder="1" applyAlignment="1">
      <alignment horizontal="center" vertical="center" wrapText="1"/>
    </xf>
    <xf numFmtId="1" fontId="126" fillId="44" borderId="45" xfId="2673" applyNumberFormat="1" applyFont="1" applyFill="1" applyBorder="1" applyAlignment="1">
      <alignment horizontal="center" vertical="center" wrapText="1"/>
    </xf>
    <xf numFmtId="1" fontId="126" fillId="44" borderId="50" xfId="2673" applyNumberFormat="1" applyFont="1" applyFill="1" applyBorder="1" applyAlignment="1">
      <alignment horizontal="center" vertical="center" wrapText="1"/>
    </xf>
    <xf numFmtId="2" fontId="115" fillId="43" borderId="51" xfId="2673" applyNumberFormat="1" applyFont="1" applyFill="1" applyBorder="1" applyAlignment="1">
      <alignment horizontal="center" vertical="center" wrapText="1"/>
    </xf>
    <xf numFmtId="2" fontId="115" fillId="43" borderId="71" xfId="2673" applyNumberFormat="1" applyFont="1" applyFill="1" applyBorder="1" applyAlignment="1">
      <alignment horizontal="center" vertical="center" wrapText="1"/>
    </xf>
    <xf numFmtId="166" fontId="126" fillId="44" borderId="75" xfId="2673" applyNumberFormat="1" applyFont="1" applyFill="1" applyBorder="1" applyAlignment="1">
      <alignment horizontal="center" vertical="center" wrapText="1"/>
    </xf>
    <xf numFmtId="166" fontId="126" fillId="44" borderId="69" xfId="2673" applyNumberFormat="1" applyFont="1" applyFill="1" applyBorder="1" applyAlignment="1">
      <alignment horizontal="center" vertical="center" wrapText="1"/>
    </xf>
    <xf numFmtId="2" fontId="115" fillId="35" borderId="3" xfId="2673" applyNumberFormat="1" applyFont="1" applyFill="1" applyBorder="1" applyAlignment="1">
      <alignment horizontal="center" vertical="center" wrapText="1"/>
    </xf>
    <xf numFmtId="2" fontId="115" fillId="35" borderId="39" xfId="2673" applyNumberFormat="1" applyFont="1" applyFill="1" applyBorder="1" applyAlignment="1">
      <alignment horizontal="center" vertical="center" wrapText="1"/>
    </xf>
    <xf numFmtId="2" fontId="115" fillId="0" borderId="3" xfId="2673" applyNumberFormat="1" applyFont="1" applyBorder="1" applyAlignment="1">
      <alignment horizontal="center" vertical="center" wrapText="1"/>
    </xf>
    <xf numFmtId="2" fontId="115" fillId="0" borderId="39" xfId="2673" applyNumberFormat="1" applyFont="1" applyBorder="1" applyAlignment="1">
      <alignment horizontal="center" vertical="center" wrapText="1"/>
    </xf>
    <xf numFmtId="0" fontId="144" fillId="0" borderId="45" xfId="2673" applyFont="1" applyBorder="1" applyAlignment="1">
      <alignment horizontal="center" vertical="center" wrapText="1"/>
    </xf>
    <xf numFmtId="0" fontId="144" fillId="0" borderId="50" xfId="2673" applyFont="1" applyBorder="1" applyAlignment="1">
      <alignment horizontal="center" vertical="center" wrapText="1"/>
    </xf>
    <xf numFmtId="0" fontId="144" fillId="44" borderId="3" xfId="2673" applyFont="1" applyFill="1" applyBorder="1" applyAlignment="1">
      <alignment horizontal="center" vertical="center" wrapText="1"/>
    </xf>
    <xf numFmtId="0" fontId="144" fillId="44" borderId="39" xfId="2673" applyFont="1" applyFill="1" applyBorder="1" applyAlignment="1">
      <alignment horizontal="center" vertical="center" wrapText="1"/>
    </xf>
    <xf numFmtId="1" fontId="115" fillId="0" borderId="3" xfId="2673" applyNumberFormat="1" applyFont="1" applyBorder="1" applyAlignment="1">
      <alignment horizontal="center" vertical="center" wrapText="1"/>
    </xf>
    <xf numFmtId="1" fontId="115" fillId="0" borderId="39" xfId="2673" applyNumberFormat="1" applyFont="1" applyBorder="1" applyAlignment="1">
      <alignment horizontal="center" vertical="center" wrapText="1"/>
    </xf>
    <xf numFmtId="2" fontId="115" fillId="45" borderId="3" xfId="2673" applyNumberFormat="1" applyFont="1" applyFill="1" applyBorder="1" applyAlignment="1">
      <alignment horizontal="center" vertical="center" wrapText="1"/>
    </xf>
    <xf numFmtId="2" fontId="115" fillId="45" borderId="39" xfId="2673" applyNumberFormat="1" applyFont="1" applyFill="1" applyBorder="1" applyAlignment="1">
      <alignment horizontal="center" vertical="center" wrapText="1"/>
    </xf>
    <xf numFmtId="0" fontId="5" fillId="0" borderId="72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3" xfId="2673" applyBorder="1" applyAlignment="1">
      <alignment horizontal="center" vertical="center" wrapText="1"/>
    </xf>
    <xf numFmtId="9" fontId="148" fillId="0" borderId="0" xfId="2675" applyFont="1" applyFill="1" applyBorder="1" applyAlignment="1">
      <alignment horizontal="center" vertical="center" wrapText="1"/>
    </xf>
    <xf numFmtId="0" fontId="145" fillId="37" borderId="0" xfId="2673" applyFont="1" applyFill="1" applyAlignment="1">
      <alignment horizontal="left" vertical="center" wrapText="1"/>
    </xf>
    <xf numFmtId="166" fontId="126" fillId="35" borderId="7" xfId="2673" applyNumberFormat="1" applyFont="1" applyFill="1" applyBorder="1" applyAlignment="1">
      <alignment horizontal="center" vertical="center" wrapText="1"/>
    </xf>
    <xf numFmtId="0" fontId="126" fillId="35" borderId="50" xfId="2673" applyFont="1" applyFill="1" applyBorder="1" applyAlignment="1">
      <alignment horizontal="center" vertical="center" wrapText="1"/>
    </xf>
    <xf numFmtId="2" fontId="115" fillId="35" borderId="51" xfId="2673" applyNumberFormat="1" applyFont="1" applyFill="1" applyBorder="1" applyAlignment="1">
      <alignment horizontal="center" vertical="center" wrapText="1"/>
    </xf>
    <xf numFmtId="2" fontId="115" fillId="35" borderId="71" xfId="2673" applyNumberFormat="1" applyFont="1" applyFill="1" applyBorder="1" applyAlignment="1">
      <alignment horizontal="center" vertical="center" wrapText="1"/>
    </xf>
    <xf numFmtId="0" fontId="141" fillId="41" borderId="67" xfId="2673" applyFont="1" applyFill="1" applyBorder="1" applyAlignment="1">
      <alignment horizontal="center" vertical="center" wrapText="1"/>
    </xf>
    <xf numFmtId="0" fontId="141" fillId="41" borderId="68" xfId="2673" applyFont="1" applyFill="1" applyBorder="1" applyAlignment="1">
      <alignment horizontal="center" vertical="center" wrapText="1"/>
    </xf>
    <xf numFmtId="0" fontId="141" fillId="41" borderId="69" xfId="2673" applyFont="1" applyFill="1" applyBorder="1" applyAlignment="1">
      <alignment horizontal="center" vertical="center" wrapText="1"/>
    </xf>
    <xf numFmtId="0" fontId="115" fillId="35" borderId="7" xfId="2673" applyFont="1" applyFill="1" applyBorder="1" applyAlignment="1">
      <alignment horizontal="center" vertical="center" wrapText="1"/>
    </xf>
    <xf numFmtId="0" fontId="115" fillId="35" borderId="50" xfId="2673" applyFont="1" applyFill="1" applyBorder="1" applyAlignment="1">
      <alignment horizontal="center" vertical="center" wrapText="1"/>
    </xf>
    <xf numFmtId="1" fontId="126" fillId="35" borderId="7" xfId="2673" applyNumberFormat="1" applyFont="1" applyFill="1" applyBorder="1" applyAlignment="1">
      <alignment horizontal="center" vertical="center" wrapText="1"/>
    </xf>
    <xf numFmtId="1" fontId="126" fillId="35" borderId="50" xfId="2673" applyNumberFormat="1" applyFont="1" applyFill="1" applyBorder="1" applyAlignment="1">
      <alignment horizontal="center" vertical="center" wrapText="1"/>
    </xf>
    <xf numFmtId="166" fontId="126" fillId="0" borderId="48" xfId="2673" applyNumberFormat="1" applyFont="1" applyBorder="1" applyAlignment="1">
      <alignment horizontal="center" vertical="center" wrapText="1"/>
    </xf>
    <xf numFmtId="0" fontId="126" fillId="0" borderId="49" xfId="2673" applyFont="1" applyBorder="1" applyAlignment="1">
      <alignment horizontal="center" vertical="center" wrapText="1"/>
    </xf>
    <xf numFmtId="9" fontId="115" fillId="0" borderId="52" xfId="2675" applyFont="1" applyFill="1" applyBorder="1" applyAlignment="1">
      <alignment horizontal="center" vertical="center" wrapText="1"/>
    </xf>
    <xf numFmtId="9" fontId="115" fillId="0" borderId="53" xfId="2675" applyFont="1" applyFill="1" applyBorder="1" applyAlignment="1">
      <alignment horizontal="center" vertical="center" wrapText="1"/>
    </xf>
    <xf numFmtId="1" fontId="126" fillId="0" borderId="3" xfId="2673" applyNumberFormat="1" applyFont="1" applyBorder="1" applyAlignment="1">
      <alignment horizontal="center" vertical="center" wrapText="1"/>
    </xf>
    <xf numFmtId="1" fontId="126" fillId="0" borderId="39" xfId="2673" applyNumberFormat="1" applyFont="1" applyBorder="1" applyAlignment="1">
      <alignment horizontal="center" vertical="center" wrapText="1"/>
    </xf>
    <xf numFmtId="9" fontId="115" fillId="35" borderId="52" xfId="2675" applyFont="1" applyFill="1" applyBorder="1" applyAlignment="1">
      <alignment horizontal="center" vertical="center" wrapText="1"/>
    </xf>
    <xf numFmtId="9" fontId="115" fillId="35" borderId="53" xfId="2675" applyFont="1" applyFill="1" applyBorder="1" applyAlignment="1">
      <alignment horizontal="center" vertical="center" wrapText="1"/>
    </xf>
    <xf numFmtId="0" fontId="6" fillId="34" borderId="56" xfId="2670" applyFill="1" applyBorder="1" applyAlignment="1">
      <alignment horizontal="center" vertical="center"/>
    </xf>
    <xf numFmtId="0" fontId="118" fillId="0" borderId="57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9" fillId="0" borderId="42" xfId="1538" applyFont="1" applyBorder="1" applyAlignment="1">
      <alignment horizontal="left"/>
    </xf>
    <xf numFmtId="0" fontId="129" fillId="0" borderId="0" xfId="1644" applyFont="1" applyAlignment="1">
      <alignment horizontal="center" vertical="center"/>
    </xf>
    <xf numFmtId="37" fontId="136" fillId="0" borderId="19" xfId="1614" applyNumberFormat="1" applyFont="1" applyBorder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50" fillId="0" borderId="26" xfId="1614" applyFont="1" applyBorder="1" applyAlignment="1">
      <alignment horizontal="left" vertical="center" wrapText="1"/>
    </xf>
    <xf numFmtId="0" fontId="150" fillId="0" borderId="36" xfId="1614" applyFont="1" applyBorder="1" applyAlignment="1">
      <alignment horizontal="left" vertical="center" wrapText="1"/>
    </xf>
    <xf numFmtId="0" fontId="150" fillId="0" borderId="43" xfId="1614" applyFont="1" applyBorder="1" applyAlignment="1">
      <alignment horizontal="left" vertical="center" wrapText="1"/>
    </xf>
    <xf numFmtId="0" fontId="150" fillId="0" borderId="28" xfId="1614" applyFont="1" applyBorder="1" applyAlignment="1">
      <alignment horizontal="left" vertical="center" wrapText="1"/>
    </xf>
    <xf numFmtId="0" fontId="150" fillId="0" borderId="0" xfId="1614" applyFont="1" applyAlignment="1">
      <alignment horizontal="left" vertical="center" wrapText="1"/>
    </xf>
    <xf numFmtId="0" fontId="150" fillId="0" borderId="37" xfId="1614" applyFont="1" applyBorder="1" applyAlignment="1">
      <alignment horizontal="left" vertical="center" wrapText="1"/>
    </xf>
    <xf numFmtId="0" fontId="135" fillId="0" borderId="0" xfId="1652" applyFont="1" applyAlignment="1">
      <alignment horizontal="center" vertical="center"/>
    </xf>
    <xf numFmtId="0" fontId="130" fillId="0" borderId="0" xfId="1652" applyFont="1" applyAlignment="1">
      <alignment horizontal="center" vertical="center"/>
    </xf>
    <xf numFmtId="0" fontId="132" fillId="30" borderId="3" xfId="1614" applyFont="1" applyFill="1" applyBorder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37" fontId="130" fillId="0" borderId="36" xfId="1614" applyNumberFormat="1" applyFont="1" applyBorder="1" applyAlignment="1">
      <alignment horizontal="center"/>
    </xf>
    <xf numFmtId="0" fontId="134" fillId="35" borderId="46" xfId="1614" applyFont="1" applyFill="1" applyBorder="1" applyAlignment="1">
      <alignment horizontal="center" vertical="center"/>
    </xf>
    <xf numFmtId="0" fontId="134" fillId="35" borderId="44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/>
    </xf>
    <xf numFmtId="0" fontId="134" fillId="35" borderId="21" xfId="1614" applyFont="1" applyFill="1" applyBorder="1" applyAlignment="1">
      <alignment horizontal="center" vertical="center"/>
    </xf>
    <xf numFmtId="0" fontId="134" fillId="35" borderId="33" xfId="1614" applyFont="1" applyFill="1" applyBorder="1" applyAlignment="1">
      <alignment horizontal="center" vertical="center"/>
    </xf>
    <xf numFmtId="0" fontId="134" fillId="35" borderId="48" xfId="1614" applyFont="1" applyFill="1" applyBorder="1" applyAlignment="1">
      <alignment horizontal="center" vertical="center"/>
    </xf>
    <xf numFmtId="0" fontId="134" fillId="35" borderId="3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 wrapText="1"/>
    </xf>
    <xf numFmtId="0" fontId="134" fillId="35" borderId="21" xfId="1614" applyFont="1" applyFill="1" applyBorder="1" applyAlignment="1">
      <alignment horizontal="center" vertical="center" wrapText="1"/>
    </xf>
    <xf numFmtId="0" fontId="134" fillId="35" borderId="33" xfId="1614" applyFont="1" applyFill="1" applyBorder="1" applyAlignment="1">
      <alignment horizontal="center" vertical="center" wrapText="1"/>
    </xf>
    <xf numFmtId="0" fontId="134" fillId="35" borderId="35" xfId="1652" applyFont="1" applyFill="1" applyBorder="1" applyAlignment="1">
      <alignment horizontal="center" vertical="center" wrapText="1"/>
    </xf>
    <xf numFmtId="0" fontId="134" fillId="35" borderId="33" xfId="1652" applyFont="1" applyFill="1" applyBorder="1" applyAlignment="1">
      <alignment horizontal="center" vertical="center" wrapText="1"/>
    </xf>
    <xf numFmtId="0" fontId="134" fillId="35" borderId="49" xfId="1614" applyFont="1" applyFill="1" applyBorder="1" applyAlignment="1">
      <alignment horizontal="center" vertical="center"/>
    </xf>
    <xf numFmtId="0" fontId="134" fillId="35" borderId="39" xfId="1614" applyFont="1" applyFill="1" applyBorder="1" applyAlignment="1">
      <alignment horizontal="center" vertical="center"/>
    </xf>
    <xf numFmtId="0" fontId="152" fillId="33" borderId="51" xfId="0" applyFont="1" applyFill="1" applyBorder="1" applyAlignment="1">
      <alignment horizontal="center"/>
    </xf>
    <xf numFmtId="0" fontId="152" fillId="33" borderId="99" xfId="0" applyFont="1" applyFill="1" applyBorder="1" applyAlignment="1">
      <alignment horizontal="center"/>
    </xf>
    <xf numFmtId="0" fontId="152" fillId="33" borderId="52" xfId="0" applyFont="1" applyFill="1" applyBorder="1" applyAlignment="1">
      <alignment horizontal="center"/>
    </xf>
    <xf numFmtId="0" fontId="152" fillId="33" borderId="53" xfId="0" applyFont="1" applyFill="1" applyBorder="1" applyAlignment="1">
      <alignment horizontal="center"/>
    </xf>
    <xf numFmtId="0" fontId="152" fillId="33" borderId="7" xfId="0" applyFont="1" applyFill="1" applyBorder="1" applyAlignment="1">
      <alignment horizontal="center"/>
    </xf>
    <xf numFmtId="0" fontId="152" fillId="33" borderId="78" xfId="0" applyFont="1" applyFill="1" applyBorder="1" applyAlignment="1">
      <alignment horizontal="center"/>
    </xf>
    <xf numFmtId="0" fontId="152" fillId="33" borderId="3" xfId="0" applyFont="1" applyFill="1" applyBorder="1" applyAlignment="1">
      <alignment horizontal="center"/>
    </xf>
    <xf numFmtId="0" fontId="152" fillId="33" borderId="39" xfId="0" applyFont="1" applyFill="1" applyBorder="1" applyAlignment="1">
      <alignment horizontal="center"/>
    </xf>
    <xf numFmtId="15" fontId="152" fillId="33" borderId="3" xfId="0" applyNumberFormat="1" applyFont="1" applyFill="1" applyBorder="1" applyAlignment="1">
      <alignment horizontal="center"/>
    </xf>
    <xf numFmtId="0" fontId="152" fillId="33" borderId="79" xfId="0" applyFont="1" applyFill="1" applyBorder="1" applyAlignment="1">
      <alignment horizontal="center" vertical="center"/>
    </xf>
    <xf numFmtId="0" fontId="152" fillId="33" borderId="80" xfId="0" applyFont="1" applyFill="1" applyBorder="1" applyAlignment="1">
      <alignment horizontal="center" vertical="center"/>
    </xf>
    <xf numFmtId="0" fontId="152" fillId="33" borderId="0" xfId="0" applyFont="1" applyFill="1" applyAlignment="1">
      <alignment horizontal="center" vertical="center" wrapText="1"/>
    </xf>
    <xf numFmtId="0" fontId="152" fillId="33" borderId="37" xfId="0" applyFont="1" applyFill="1" applyBorder="1" applyAlignment="1">
      <alignment horizontal="center" vertical="center" wrapText="1"/>
    </xf>
    <xf numFmtId="0" fontId="152" fillId="33" borderId="42" xfId="0" applyFont="1" applyFill="1" applyBorder="1" applyAlignment="1">
      <alignment horizontal="center" vertical="center" wrapText="1"/>
    </xf>
    <xf numFmtId="0" fontId="152" fillId="33" borderId="77" xfId="0" applyFont="1" applyFill="1" applyBorder="1" applyAlignment="1">
      <alignment horizontal="center" vertical="center" wrapText="1"/>
    </xf>
    <xf numFmtId="0" fontId="156" fillId="33" borderId="38" xfId="0" applyFont="1" applyFill="1" applyBorder="1" applyAlignment="1">
      <alignment horizontal="left" vertical="top" wrapText="1"/>
    </xf>
    <xf numFmtId="0" fontId="156" fillId="33" borderId="79" xfId="0" applyFont="1" applyFill="1" applyBorder="1" applyAlignment="1">
      <alignment horizontal="left" vertical="top" wrapText="1"/>
    </xf>
    <xf numFmtId="0" fontId="156" fillId="33" borderId="80" xfId="0" applyFont="1" applyFill="1" applyBorder="1" applyAlignment="1">
      <alignment horizontal="left" vertical="top" wrapText="1"/>
    </xf>
    <xf numFmtId="0" fontId="161" fillId="33" borderId="91" xfId="0" applyFont="1" applyFill="1" applyBorder="1" applyAlignment="1">
      <alignment horizontal="center" vertical="center"/>
    </xf>
    <xf numFmtId="0" fontId="161" fillId="33" borderId="92" xfId="0" applyFont="1" applyFill="1" applyBorder="1" applyAlignment="1">
      <alignment horizontal="center" vertical="center"/>
    </xf>
    <xf numFmtId="0" fontId="152" fillId="33" borderId="7" xfId="0" applyFont="1" applyFill="1" applyBorder="1" applyAlignment="1">
      <alignment horizontal="center" vertical="top" wrapText="1"/>
    </xf>
    <xf numFmtId="0" fontId="152" fillId="33" borderId="78" xfId="0" applyFont="1" applyFill="1" applyBorder="1" applyAlignment="1">
      <alignment horizontal="center" vertical="top" wrapText="1"/>
    </xf>
    <xf numFmtId="0" fontId="159" fillId="33" borderId="85" xfId="0" applyFont="1" applyFill="1" applyBorder="1" applyAlignment="1">
      <alignment horizontal="center" vertical="center"/>
    </xf>
    <xf numFmtId="0" fontId="159" fillId="33" borderId="83" xfId="0" applyFont="1" applyFill="1" applyBorder="1" applyAlignment="1">
      <alignment horizontal="center" vertical="center"/>
    </xf>
    <xf numFmtId="0" fontId="163" fillId="33" borderId="94" xfId="0" applyFont="1" applyFill="1" applyBorder="1" applyAlignment="1">
      <alignment horizontal="center" vertical="center" wrapText="1"/>
    </xf>
    <xf numFmtId="0" fontId="163" fillId="33" borderId="95" xfId="0" applyFont="1" applyFill="1" applyBorder="1" applyAlignment="1">
      <alignment horizontal="center" vertical="center" wrapText="1"/>
    </xf>
    <xf numFmtId="0" fontId="159" fillId="33" borderId="81" xfId="0" applyFont="1" applyFill="1" applyBorder="1" applyAlignment="1">
      <alignment horizontal="center" vertical="center"/>
    </xf>
    <xf numFmtId="0" fontId="159" fillId="33" borderId="82" xfId="0" applyFont="1" applyFill="1" applyBorder="1" applyAlignment="1">
      <alignment horizontal="center" vertical="center"/>
    </xf>
    <xf numFmtId="49" fontId="152" fillId="33" borderId="45" xfId="0" applyNumberFormat="1" applyFont="1" applyFill="1" applyBorder="1" applyAlignment="1">
      <alignment horizontal="center" vertical="center"/>
    </xf>
    <xf numFmtId="49" fontId="152" fillId="33" borderId="78" xfId="0" applyNumberFormat="1" applyFont="1" applyFill="1" applyBorder="1" applyAlignment="1">
      <alignment horizontal="center" vertical="center"/>
    </xf>
    <xf numFmtId="0" fontId="159" fillId="33" borderId="89" xfId="0" applyFont="1" applyFill="1" applyBorder="1" applyAlignment="1">
      <alignment horizontal="center" vertical="center"/>
    </xf>
    <xf numFmtId="0" fontId="159" fillId="33" borderId="90" xfId="0" applyFont="1" applyFill="1" applyBorder="1" applyAlignment="1">
      <alignment horizontal="center" vertical="center"/>
    </xf>
    <xf numFmtId="49" fontId="152" fillId="33" borderId="7" xfId="0" applyNumberFormat="1" applyFont="1" applyFill="1" applyBorder="1" applyAlignment="1">
      <alignment horizontal="center" vertical="center"/>
    </xf>
    <xf numFmtId="49" fontId="152" fillId="33" borderId="7" xfId="0" applyNumberFormat="1" applyFont="1" applyFill="1" applyBorder="1" applyAlignment="1">
      <alignment horizontal="center" vertical="top" wrapText="1"/>
    </xf>
    <xf numFmtId="49" fontId="152" fillId="33" borderId="78" xfId="0" applyNumberFormat="1" applyFont="1" applyFill="1" applyBorder="1" applyAlignment="1">
      <alignment horizontal="center" vertical="top" wrapText="1"/>
    </xf>
    <xf numFmtId="0" fontId="159" fillId="33" borderId="81" xfId="0" applyFont="1" applyFill="1" applyBorder="1" applyAlignment="1">
      <alignment horizontal="left" vertical="center"/>
    </xf>
    <xf numFmtId="0" fontId="159" fillId="33" borderId="86" xfId="0" applyFont="1" applyFill="1" applyBorder="1" applyAlignment="1">
      <alignment horizontal="left" vertical="center"/>
    </xf>
    <xf numFmtId="0" fontId="161" fillId="33" borderId="81" xfId="0" applyFont="1" applyFill="1" applyBorder="1" applyAlignment="1">
      <alignment horizontal="left" vertical="center"/>
    </xf>
    <xf numFmtId="0" fontId="161" fillId="33" borderId="82" xfId="0" applyFont="1" applyFill="1" applyBorder="1" applyAlignment="1">
      <alignment horizontal="left" vertical="center"/>
    </xf>
    <xf numFmtId="49" fontId="152" fillId="33" borderId="45" xfId="0" applyNumberFormat="1" applyFont="1" applyFill="1" applyBorder="1" applyAlignment="1">
      <alignment horizontal="left" vertical="center"/>
    </xf>
    <xf numFmtId="49" fontId="152" fillId="33" borderId="78" xfId="0" applyNumberFormat="1" applyFont="1" applyFill="1" applyBorder="1" applyAlignment="1">
      <alignment horizontal="left" vertical="center"/>
    </xf>
    <xf numFmtId="0" fontId="159" fillId="33" borderId="85" xfId="0" applyFont="1" applyFill="1" applyBorder="1" applyAlignment="1">
      <alignment horizontal="left" vertical="center"/>
    </xf>
    <xf numFmtId="0" fontId="159" fillId="33" borderId="83" xfId="0" applyFont="1" applyFill="1" applyBorder="1" applyAlignment="1">
      <alignment horizontal="left" vertical="center"/>
    </xf>
    <xf numFmtId="0" fontId="160" fillId="33" borderId="81" xfId="0" applyFont="1" applyFill="1" applyBorder="1" applyAlignment="1">
      <alignment horizontal="left" vertical="center"/>
    </xf>
    <xf numFmtId="0" fontId="160" fillId="33" borderId="86" xfId="0" applyFont="1" applyFill="1" applyBorder="1" applyAlignment="1">
      <alignment horizontal="left" vertical="center"/>
    </xf>
    <xf numFmtId="0" fontId="152" fillId="33" borderId="79" xfId="0" applyFont="1" applyFill="1" applyBorder="1" applyAlignment="1">
      <alignment horizontal="center"/>
    </xf>
    <xf numFmtId="0" fontId="152" fillId="33" borderId="80" xfId="0" applyFont="1" applyFill="1" applyBorder="1" applyAlignment="1">
      <alignment horizontal="center"/>
    </xf>
    <xf numFmtId="0" fontId="156" fillId="33" borderId="18" xfId="0" applyFont="1" applyFill="1" applyBorder="1" applyAlignment="1">
      <alignment horizontal="left"/>
    </xf>
    <xf numFmtId="0" fontId="156" fillId="33" borderId="0" xfId="0" applyFont="1" applyFill="1" applyAlignment="1">
      <alignment horizontal="left"/>
    </xf>
    <xf numFmtId="0" fontId="156" fillId="33" borderId="37" xfId="0" applyFont="1" applyFill="1" applyBorder="1" applyAlignment="1">
      <alignment horizontal="left"/>
    </xf>
    <xf numFmtId="0" fontId="158" fillId="33" borderId="45" xfId="0" applyFont="1" applyFill="1" applyBorder="1" applyAlignment="1">
      <alignment horizontal="center" vertical="center"/>
    </xf>
    <xf numFmtId="0" fontId="158" fillId="33" borderId="7" xfId="0" applyFont="1" applyFill="1" applyBorder="1" applyAlignment="1">
      <alignment horizontal="center" vertical="center"/>
    </xf>
    <xf numFmtId="0" fontId="158" fillId="33" borderId="78" xfId="0" applyFont="1" applyFill="1" applyBorder="1" applyAlignment="1">
      <alignment horizontal="center" vertical="center"/>
    </xf>
    <xf numFmtId="0" fontId="156" fillId="33" borderId="45" xfId="0" applyFont="1" applyFill="1" applyBorder="1" applyAlignment="1">
      <alignment horizontal="center" vertical="center"/>
    </xf>
    <xf numFmtId="0" fontId="156" fillId="33" borderId="7" xfId="0" applyFont="1" applyFill="1" applyBorder="1" applyAlignment="1">
      <alignment horizontal="center" vertical="center"/>
    </xf>
    <xf numFmtId="0" fontId="156" fillId="33" borderId="50" xfId="0" applyFont="1" applyFill="1" applyBorder="1" applyAlignment="1">
      <alignment horizontal="center" vertical="center"/>
    </xf>
    <xf numFmtId="0" fontId="154" fillId="0" borderId="3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/>
    </xf>
    <xf numFmtId="0" fontId="154" fillId="0" borderId="78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 wrapText="1"/>
    </xf>
    <xf numFmtId="0" fontId="154" fillId="0" borderId="78" xfId="2669" applyFont="1" applyBorder="1" applyAlignment="1">
      <alignment horizontal="center" vertical="center" wrapText="1"/>
    </xf>
    <xf numFmtId="0" fontId="153" fillId="35" borderId="76" xfId="0" applyFont="1" applyFill="1" applyBorder="1" applyAlignment="1">
      <alignment horizontal="center" vertical="center"/>
    </xf>
    <xf numFmtId="0" fontId="153" fillId="35" borderId="36" xfId="0" applyFont="1" applyFill="1" applyBorder="1" applyAlignment="1">
      <alignment horizontal="center" vertical="center"/>
    </xf>
    <xf numFmtId="0" fontId="153" fillId="35" borderId="43" xfId="0" applyFont="1" applyFill="1" applyBorder="1" applyAlignment="1">
      <alignment horizontal="center" vertical="center"/>
    </xf>
    <xf numFmtId="0" fontId="153" fillId="35" borderId="41" xfId="0" applyFont="1" applyFill="1" applyBorder="1" applyAlignment="1">
      <alignment horizontal="center" vertical="center"/>
    </xf>
    <xf numFmtId="0" fontId="153" fillId="35" borderId="42" xfId="0" applyFont="1" applyFill="1" applyBorder="1" applyAlignment="1">
      <alignment horizontal="center" vertical="center"/>
    </xf>
    <xf numFmtId="0" fontId="153" fillId="35" borderId="77" xfId="0" applyFont="1" applyFill="1" applyBorder="1" applyAlignment="1">
      <alignment horizontal="center" vertical="center"/>
    </xf>
    <xf numFmtId="0" fontId="165" fillId="35" borderId="0" xfId="1451" applyFont="1" applyFill="1" applyAlignment="1">
      <alignment horizontal="center" vertical="center"/>
    </xf>
    <xf numFmtId="0" fontId="168" fillId="0" borderId="0" xfId="1451" applyFont="1" applyAlignment="1">
      <alignment horizontal="left"/>
    </xf>
    <xf numFmtId="0" fontId="165" fillId="35" borderId="26" xfId="1451" applyFont="1" applyFill="1" applyBorder="1" applyAlignment="1">
      <alignment horizontal="center" vertical="center"/>
    </xf>
    <xf numFmtId="0" fontId="165" fillId="35" borderId="36" xfId="1451" applyFont="1" applyFill="1" applyBorder="1" applyAlignment="1">
      <alignment horizontal="center" vertical="center"/>
    </xf>
    <xf numFmtId="0" fontId="165" fillId="35" borderId="43" xfId="1451" applyFont="1" applyFill="1" applyBorder="1" applyAlignment="1">
      <alignment horizontal="center" vertical="center"/>
    </xf>
    <xf numFmtId="0" fontId="165" fillId="35" borderId="28" xfId="1451" applyFont="1" applyFill="1" applyBorder="1" applyAlignment="1">
      <alignment horizontal="center" vertical="center"/>
    </xf>
    <xf numFmtId="0" fontId="165" fillId="35" borderId="37" xfId="1451" applyFont="1" applyFill="1" applyBorder="1" applyAlignment="1">
      <alignment horizontal="center" vertical="center"/>
    </xf>
    <xf numFmtId="0" fontId="165" fillId="35" borderId="34" xfId="1451" applyFont="1" applyFill="1" applyBorder="1" applyAlignment="1">
      <alignment horizontal="center" vertical="center"/>
    </xf>
    <xf numFmtId="0" fontId="165" fillId="35" borderId="19" xfId="1451" applyFont="1" applyFill="1" applyBorder="1" applyAlignment="1">
      <alignment horizontal="center" vertical="center"/>
    </xf>
    <xf numFmtId="0" fontId="165" fillId="35" borderId="31" xfId="1451" applyFont="1" applyFill="1" applyBorder="1" applyAlignment="1">
      <alignment horizontal="center" vertical="center"/>
    </xf>
  </cellXfs>
  <cellStyles count="371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15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3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2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5" xr:uid="{3EB6A169-5016-4A63-9058-D9C7E2BBC12C}"/>
    <cellStyle name="Normal 126 3" xfId="3433" xr:uid="{FF1C1214-6A69-4780-B1FC-3F2033DFC0F7}"/>
    <cellStyle name="Normal 126 4" xfId="3694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697" xr:uid="{E422D458-A3BD-45FE-8F31-99F3A5D04B8C}"/>
    <cellStyle name="Normal 134 3" xfId="3435" xr:uid="{BBB3AF98-FE7E-4A5D-980C-A11977824812}"/>
    <cellStyle name="Normal 134 4" xfId="3696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698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699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14" xr:uid="{7FF41EA3-334A-4C08-AAB3-A76CAE899332}"/>
    <cellStyle name="Normal 137 2 3" xfId="3440" xr:uid="{DBFED99F-F201-4435-8350-F0E0B590DF22}"/>
    <cellStyle name="Normal 137 2 4" xfId="3701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3" xr:uid="{74196348-F776-49FA-B22F-2C4A6C508258}"/>
    <cellStyle name="Normal 137 4" xfId="3439" xr:uid="{86D69212-888B-438F-A513-0E0FB5F5D9C4}"/>
    <cellStyle name="Normal 137 5" xfId="3700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4" xr:uid="{908EE8AE-05BC-421A-8F9E-6824FEAD3398}"/>
    <cellStyle name="Normal 2 5 2 3" xfId="3469" xr:uid="{AF499AF9-D28A-4666-877A-12C9AD201220}"/>
    <cellStyle name="Normal 2 5 2 4" xfId="3703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5" xr:uid="{9D7400C9-BA7F-47C4-8587-4AAD41B14224}"/>
    <cellStyle name="Normal 2 5 4" xfId="3468" xr:uid="{029ADF14-BBFF-4F5F-8B90-16227F6E7DA4}"/>
    <cellStyle name="Normal 2 5 5" xfId="3702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07" xr:uid="{E3F076F7-657C-43C2-81CD-380E7EBA2B1E}"/>
    <cellStyle name="Normal 4 5" xfId="3482" xr:uid="{993BBF43-BA77-40E7-9477-5E2DCDF0B1EF}"/>
    <cellStyle name="Normal 4 6" xfId="3706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09" xr:uid="{97E8DBCC-24CA-44AD-937E-62B83A8CB686}"/>
    <cellStyle name="Normal 8 4" xfId="3486" xr:uid="{58900736-645E-4E51-B2D2-7629F0A0E846}"/>
    <cellStyle name="Normal 8 5" xfId="3708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0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1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16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17" xr:uid="{1C9B1E2C-489A-46DE-B13B-7F3EF306E909}"/>
    <cellStyle name="Percent 21" xfId="3718" xr:uid="{8F7485B6-90EB-4CCF-A63F-907FFE8FBDF4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59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59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671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159</xdr:row>
      <xdr:rowOff>81642</xdr:rowOff>
    </xdr:from>
    <xdr:to>
      <xdr:col>12</xdr:col>
      <xdr:colOff>41107</xdr:colOff>
      <xdr:row>162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BEB26410-2121-40F3-9C44-A0A4F546044D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8C16537-EDC0-4402-84F1-E44A66BCECEB}"/>
            </a:ext>
          </a:extLst>
        </xdr:cNvPr>
        <xdr:cNvGrpSpPr/>
      </xdr:nvGrpSpPr>
      <xdr:grpSpPr>
        <a:xfrm>
          <a:off x="10915766" y="815040"/>
          <a:ext cx="1534175" cy="1777253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AB9F46B-8708-4A55-BE44-C0C90E6846D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A9CD6E0F-411C-4B76-AC34-E0F4F6E17C0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5074E9B-7160-4250-A0B1-BE090EE190CA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D4D9BF9B-C308-493C-8CDC-4D20AA24CCED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B353089-B0D6-457A-AAD5-CBDD1CD248B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C8476458-3AFC-4B90-AC2B-7D05B5FB1C5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F47419DF-B9DD-4801-A91E-AE99B6D4666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938FA86A-A9F8-484D-9797-4D1CF15B0893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9F02E844-759C-48E9-8929-3F8992A7B9DF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30E9A6FA-4A5B-449F-B8E1-7600045FF51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00D8F05-DE88-4889-8993-C10CBFB4067F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4BFCBE96-B483-4211-B248-24E531EC0A53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91F5B1B7-6469-4D10-9D6C-9B4584A79DA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49531F10-8513-4454-ABEE-45DEBE0EF6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ABD5352-1481-4C75-A70B-2F584572889F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772614-F69A-47D3-AE7D-A4CD1855CF0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E50F8A15-3BC7-4E4A-BD09-B6E66664C1A9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C6AB2F00-8A9B-48A8-94D9-1876B50FA6C8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AA32D5C-70EF-4AE8-AABA-15BEE75D8DF4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D0E73804-8CDA-46F4-AE1E-5689E65F8BB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EB362BC9-45A2-46EC-8506-95F804903563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76FD038-D989-483E-9B59-9F6405A01E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D57CBA00-A130-41F0-A785-98DCCBE6479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68BB63F-C68C-4D1B-AC62-075898AA0D8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F4067447-915E-442C-AE77-072D72F40151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E592EE8-D3F7-40B1-955B-DF2B450FAB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19144844-1720-4BD9-88D3-E81A9A5E02C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45F894A4-E466-4BFD-9C80-72C8545B6E1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2CC5A88F-223B-4800-A3BA-BF8D601C8AD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DF42556-F427-412F-A35F-705900159918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BC355F23-159E-42F9-830D-E34935C50374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7917589-309D-4787-94F5-D2DEF446291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5345FD47-9C70-4BB7-B999-BEB07412E4A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475E91D4-D963-44CE-AA7C-01D64546033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1F5ED121-5D11-4CD6-9D5A-5F978A496F8B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2FB56460-30F9-45B6-A72A-3D2423D011B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D1D17C1F-2921-4866-90BA-9C92A3A7114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D01F2020-C740-450F-B30C-BA2B12AED18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A5E4BC16-29B0-477A-B656-F09EE3A5881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481F5A16-4E3D-44FE-BB55-119DCF99ACB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C0282349-8DD5-4EC6-9A39-2E14BF4C51E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244D2B91-FCDF-4FF6-B188-00DCD1A2EE7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108BBD5E-5A3D-43C5-B917-6D05F8506ED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5D9F7B8-84C3-47ED-84E2-A7ABA25229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AF8BE759-B8BF-4B59-84B4-D2D7C4A9139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54CBD16C-3DAA-4F61-A7A1-C1000E3F7519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8D9E50D3-F58C-4491-9827-06943C6B424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E33EE82E-7D2C-4AFE-AED6-13E43CB9757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35868743-10F0-4E32-9FFD-EA642140CEC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91B49BED-498B-4DD5-BDAA-2289DD08397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B2C49B8B-32AB-4AC8-BFB6-92B283A5C17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E88D73D6-CD2E-4D2F-A140-89FBA8C8599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383DCC8A-C206-4D4B-8FF7-C6A1F60DC8DB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52EFFF3E-A46D-4760-A647-2472BBA7016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9AB6E466-25E8-4F50-BFDA-A5C818E32E26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9414832D-1D3B-43A8-B4D5-4E79ED7FB829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F28B3B9-DCE0-40E2-B7A2-CA9E7DF5923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FE32192-C92B-4BDB-8E71-A554088E379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AB7ADF5C-1A62-4B1B-BEE2-16652B4013A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5F2060F0-FB00-4A70-A394-0536B293B56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89555FED-35DD-4A1D-BDCE-E456F00A27B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BD88BA88-2727-4024-A193-55AF4306492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1E51488-65DD-4E06-8328-2D4B2B137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16</xdr:col>
      <xdr:colOff>256117</xdr:colOff>
      <xdr:row>26</xdr:row>
      <xdr:rowOff>122766</xdr:rowOff>
    </xdr:from>
    <xdr:to>
      <xdr:col>21</xdr:col>
      <xdr:colOff>13758</xdr:colOff>
      <xdr:row>32</xdr:row>
      <xdr:rowOff>91016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BE9D177-055A-4184-BC03-52614F7196C1}"/>
            </a:ext>
          </a:extLst>
        </xdr:cNvPr>
        <xdr:cNvSpPr txBox="1"/>
      </xdr:nvSpPr>
      <xdr:spPr>
        <a:xfrm rot="5400000">
          <a:off x="6289675" y="3718983"/>
          <a:ext cx="873125" cy="166264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254000</xdr:colOff>
      <xdr:row>32</xdr:row>
      <xdr:rowOff>39694</xdr:rowOff>
    </xdr:from>
    <xdr:to>
      <xdr:col>16</xdr:col>
      <xdr:colOff>76200</xdr:colOff>
      <xdr:row>33</xdr:row>
      <xdr:rowOff>28576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017C00F-33CD-4D22-BFFC-47B7CA2DEC54}"/>
            </a:ext>
          </a:extLst>
        </xdr:cNvPr>
        <xdr:cNvSpPr txBox="1"/>
      </xdr:nvSpPr>
      <xdr:spPr>
        <a:xfrm flipH="1">
          <a:off x="5511800" y="4935544"/>
          <a:ext cx="203200" cy="14128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11</xdr:col>
      <xdr:colOff>76200</xdr:colOff>
      <xdr:row>18</xdr:row>
      <xdr:rowOff>47625</xdr:rowOff>
    </xdr:from>
    <xdr:to>
      <xdr:col>11</xdr:col>
      <xdr:colOff>95250</xdr:colOff>
      <xdr:row>38</xdr:row>
      <xdr:rowOff>28575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BC6DC00E-4676-4F0F-BD33-E84E22A0B074}"/>
            </a:ext>
          </a:extLst>
        </xdr:cNvPr>
        <xdr:cNvCxnSpPr/>
      </xdr:nvCxnSpPr>
      <xdr:spPr>
        <a:xfrm flipV="1">
          <a:off x="3810000" y="2819400"/>
          <a:ext cx="19050" cy="303847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287867</xdr:colOff>
      <xdr:row>30</xdr:row>
      <xdr:rowOff>77258</xdr:rowOff>
    </xdr:from>
    <xdr:to>
      <xdr:col>16</xdr:col>
      <xdr:colOff>49742</xdr:colOff>
      <xdr:row>31</xdr:row>
      <xdr:rowOff>134408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B0E629E-7AA6-4666-AA53-4FE9C3ABE2E7}"/>
            </a:ext>
          </a:extLst>
        </xdr:cNvPr>
        <xdr:cNvSpPr txBox="1"/>
      </xdr:nvSpPr>
      <xdr:spPr>
        <a:xfrm>
          <a:off x="5164667" y="4668308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11</xdr:col>
      <xdr:colOff>16933</xdr:colOff>
      <xdr:row>27</xdr:row>
      <xdr:rowOff>89959</xdr:rowOff>
    </xdr:from>
    <xdr:to>
      <xdr:col>11</xdr:col>
      <xdr:colOff>146629</xdr:colOff>
      <xdr:row>28</xdr:row>
      <xdr:rowOff>59446</xdr:rowOff>
    </xdr:to>
    <xdr:grpSp>
      <xdr:nvGrpSpPr>
        <xdr:cNvPr id="71" name="Group 682">
          <a:extLst>
            <a:ext uri="{FF2B5EF4-FFF2-40B4-BE49-F238E27FC236}">
              <a16:creationId xmlns:a16="http://schemas.microsoft.com/office/drawing/2014/main" id="{6944599E-E789-4ADC-9E41-6D06263CAEFE}"/>
            </a:ext>
          </a:extLst>
        </xdr:cNvPr>
        <xdr:cNvGrpSpPr>
          <a:grpSpLocks/>
        </xdr:cNvGrpSpPr>
      </xdr:nvGrpSpPr>
      <xdr:grpSpPr bwMode="auto">
        <a:xfrm>
          <a:off x="4271433" y="4217459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A94A2DFF-AFDF-48A4-B285-1C4E532F700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2A37380F-70D3-48D3-82F8-6CC0BD893403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182AF8B9-B0CE-48FC-8FBB-4556E9AEBEEA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5" name="Group 2">
          <a:extLst>
            <a:ext uri="{FF2B5EF4-FFF2-40B4-BE49-F238E27FC236}">
              <a16:creationId xmlns:a16="http://schemas.microsoft.com/office/drawing/2014/main" id="{D676A75A-EC3D-49FB-A4B1-E07A22525FA1}"/>
            </a:ext>
          </a:extLst>
        </xdr:cNvPr>
        <xdr:cNvGrpSpPr>
          <a:grpSpLocks/>
        </xdr:cNvGrpSpPr>
      </xdr:nvGrpSpPr>
      <xdr:grpSpPr bwMode="auto">
        <a:xfrm>
          <a:off x="13975123" y="936625"/>
          <a:ext cx="152400" cy="147358"/>
          <a:chOff x="3725636" y="1945820"/>
          <a:chExt cx="153760" cy="144237"/>
        </a:xfrm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6B410A72-DF6B-4660-93F9-5CC177A6B17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C34FCF28-96E1-4C64-89F0-AF5C939F94FD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5F3489F-25B2-4E27-BBA9-426C23806CD8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79" name="Group 6">
          <a:extLst>
            <a:ext uri="{FF2B5EF4-FFF2-40B4-BE49-F238E27FC236}">
              <a16:creationId xmlns:a16="http://schemas.microsoft.com/office/drawing/2014/main" id="{9A58E61C-2694-44B9-A4DA-D884A82FACCB}"/>
            </a:ext>
          </a:extLst>
        </xdr:cNvPr>
        <xdr:cNvGrpSpPr>
          <a:grpSpLocks/>
        </xdr:cNvGrpSpPr>
      </xdr:nvGrpSpPr>
      <xdr:grpSpPr bwMode="auto">
        <a:xfrm>
          <a:off x="14549798" y="927100"/>
          <a:ext cx="203200" cy="147358"/>
          <a:chOff x="3725636" y="1945820"/>
          <a:chExt cx="153760" cy="144237"/>
        </a:xfrm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8B00D02D-9FAC-4C2E-A3C5-4AEB822F60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A9B88F3-BE2D-4DC7-A990-7F621F202DAA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C6CCA4E-F976-4A18-B22E-AD1F3061ACAD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1F5FFB34-6E27-4624-BC0E-C911713DBBC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7C032870-EC7B-43E3-B3A7-BE8E85830F1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0F739AFD-1D41-4B2F-B28B-6753F929689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ACF852A9-FB09-4F2C-93C2-4738AF7EFA6B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22A45F0D-11C8-4A94-AE99-6782A3714DCC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E0A17E72-4367-45DC-9FC8-AB0DCCDAC6CF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DE9247D5-CB83-4820-8276-849E28EC34B4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D9642321-6AF4-4F4E-B2A5-FC8ADB375246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1" name="Group 18">
          <a:extLst>
            <a:ext uri="{FF2B5EF4-FFF2-40B4-BE49-F238E27FC236}">
              <a16:creationId xmlns:a16="http://schemas.microsoft.com/office/drawing/2014/main" id="{46777ED4-916F-4592-A1A2-A98952EFD63D}"/>
            </a:ext>
          </a:extLst>
        </xdr:cNvPr>
        <xdr:cNvGrpSpPr>
          <a:grpSpLocks/>
        </xdr:cNvGrpSpPr>
      </xdr:nvGrpSpPr>
      <xdr:grpSpPr bwMode="auto">
        <a:xfrm>
          <a:off x="14321198" y="2067859"/>
          <a:ext cx="152400" cy="104775"/>
          <a:chOff x="12269933" y="1884219"/>
          <a:chExt cx="148768" cy="97327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6D3B7395-FC09-47F6-A773-CFEFE3E05A4B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CB60D614-378D-425A-B0BA-2B36EAE5BFBB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A5069684-D4D3-4A2C-B649-22650AD4824A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5" name="Group 22">
          <a:extLst>
            <a:ext uri="{FF2B5EF4-FFF2-40B4-BE49-F238E27FC236}">
              <a16:creationId xmlns:a16="http://schemas.microsoft.com/office/drawing/2014/main" id="{4755004B-F51E-4692-9C4B-F10833CA5083}"/>
            </a:ext>
          </a:extLst>
        </xdr:cNvPr>
        <xdr:cNvGrpSpPr>
          <a:grpSpLocks/>
        </xdr:cNvGrpSpPr>
      </xdr:nvGrpSpPr>
      <xdr:grpSpPr bwMode="auto">
        <a:xfrm>
          <a:off x="14311673" y="2234267"/>
          <a:ext cx="161925" cy="95250"/>
          <a:chOff x="12262141" y="2055842"/>
          <a:chExt cx="156559" cy="95595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6E9FC729-05C7-4DED-954E-E97CAF6FC85B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7A8B382A-D9A8-4364-A554-BD1AB1482891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67A5AA37-665A-46B5-94AC-098278B0B4FA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4E65D099-3AE1-4067-AE72-E93412DA826A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D9E8BE42-F932-4A01-B973-5CF75D759003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1" name="Group 28">
          <a:extLst>
            <a:ext uri="{FF2B5EF4-FFF2-40B4-BE49-F238E27FC236}">
              <a16:creationId xmlns:a16="http://schemas.microsoft.com/office/drawing/2014/main" id="{7B2E0134-92B6-4DF3-BE21-B88C77F2CD6D}"/>
            </a:ext>
          </a:extLst>
        </xdr:cNvPr>
        <xdr:cNvGrpSpPr>
          <a:grpSpLocks/>
        </xdr:cNvGrpSpPr>
      </xdr:nvGrpSpPr>
      <xdr:grpSpPr bwMode="auto">
        <a:xfrm>
          <a:off x="14321198" y="2400674"/>
          <a:ext cx="190500" cy="95250"/>
          <a:chOff x="12267508" y="2212225"/>
          <a:chExt cx="192931" cy="101137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969AD6C-4B09-4ADE-B498-E315720B5887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EF57A8D-95EB-4485-B20C-7E3285689267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E68D292-017A-415E-B2F3-96394EC9E296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CC8D7D64-0C1F-4B8F-AFFB-EA94FBC7A54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6" name="Group 33">
          <a:extLst>
            <a:ext uri="{FF2B5EF4-FFF2-40B4-BE49-F238E27FC236}">
              <a16:creationId xmlns:a16="http://schemas.microsoft.com/office/drawing/2014/main" id="{E4441346-DCD6-4AFF-88B3-15E6F5A9A2D0}"/>
            </a:ext>
          </a:extLst>
        </xdr:cNvPr>
        <xdr:cNvGrpSpPr>
          <a:grpSpLocks/>
        </xdr:cNvGrpSpPr>
      </xdr:nvGrpSpPr>
      <xdr:grpSpPr bwMode="auto">
        <a:xfrm>
          <a:off x="14321198" y="2567081"/>
          <a:ext cx="190500" cy="109258"/>
          <a:chOff x="12267336" y="2379518"/>
          <a:chExt cx="192062" cy="99752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B46E36AF-279A-4096-96DC-4C3CD23E66E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E74541ED-5334-456D-B52B-58BD2C0E8EF2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8D102FC0-F53E-4D9B-B218-3AB5E0D3701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45589E3F-E3C8-4159-BC4C-61DE1CA6E43F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27F5417D-0F94-4360-ADA7-E21F6A26BBAA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DBCCBE44-9D92-4372-B0D0-C8C8A1E9A911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205E3D86-BD51-43E6-9C70-412F2464DCE4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FBEAE9E3-E574-4FB9-9E90-7CDF794F5364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5" name="Group 467">
          <a:extLst>
            <a:ext uri="{FF2B5EF4-FFF2-40B4-BE49-F238E27FC236}">
              <a16:creationId xmlns:a16="http://schemas.microsoft.com/office/drawing/2014/main" id="{6BE2D990-AB18-4749-824E-2317F5D3C195}"/>
            </a:ext>
          </a:extLst>
        </xdr:cNvPr>
        <xdr:cNvGrpSpPr>
          <a:grpSpLocks/>
        </xdr:cNvGrpSpPr>
      </xdr:nvGrpSpPr>
      <xdr:grpSpPr bwMode="auto">
        <a:xfrm>
          <a:off x="14051323" y="3527425"/>
          <a:ext cx="787400" cy="304240"/>
          <a:chOff x="1312712" y="2025839"/>
          <a:chExt cx="1349013" cy="348901"/>
        </a:xfrm>
      </xdr:grpSpPr>
      <xdr:sp macro="" textlink="">
        <xdr:nvSpPr>
          <xdr:cNvPr id="116" name="Freeform 44">
            <a:extLst>
              <a:ext uri="{FF2B5EF4-FFF2-40B4-BE49-F238E27FC236}">
                <a16:creationId xmlns:a16="http://schemas.microsoft.com/office/drawing/2014/main" id="{96D9535E-09F2-47C2-97A5-BAB54EF2A16B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D278A767-4190-4E21-A9E4-E06C42A530EA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3E8BC10E-4E5D-4C5B-BBF0-0B084B8F508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6D120C8C-E190-46F9-A754-87D85131785F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0F97DC6C-248D-445D-9214-A4A5590A3A8D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1C490420-C367-478D-A270-FA08CFBB793E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78F8E7E-BA2F-4DD8-A91F-555AA19E2B36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3DDE327-61E7-4EA9-9123-8698E11E6CA7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4" name="Group 114">
          <a:extLst>
            <a:ext uri="{FF2B5EF4-FFF2-40B4-BE49-F238E27FC236}">
              <a16:creationId xmlns:a16="http://schemas.microsoft.com/office/drawing/2014/main" id="{DF7B846D-212B-4165-9538-AA72EE5D5611}"/>
            </a:ext>
          </a:extLst>
        </xdr:cNvPr>
        <xdr:cNvGrpSpPr>
          <a:grpSpLocks/>
        </xdr:cNvGrpSpPr>
      </xdr:nvGrpSpPr>
      <xdr:grpSpPr bwMode="auto">
        <a:xfrm>
          <a:off x="14003698" y="4525870"/>
          <a:ext cx="317500" cy="144182"/>
          <a:chOff x="12001500" y="4327373"/>
          <a:chExt cx="262305" cy="151942"/>
        </a:xfrm>
      </xdr:grpSpPr>
      <xdr:sp macro="" textlink="">
        <xdr:nvSpPr>
          <xdr:cNvPr id="125" name="Isosceles Triangle 124">
            <a:extLst>
              <a:ext uri="{FF2B5EF4-FFF2-40B4-BE49-F238E27FC236}">
                <a16:creationId xmlns:a16="http://schemas.microsoft.com/office/drawing/2014/main" id="{01C93E01-9062-41E3-B75F-B8AF82F207DC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771D9DB6-E898-4AFD-9007-6885B44BA928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7EF30BA2-650F-49D7-9185-E07D5A1CE177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8" name="Group 118">
          <a:extLst>
            <a:ext uri="{FF2B5EF4-FFF2-40B4-BE49-F238E27FC236}">
              <a16:creationId xmlns:a16="http://schemas.microsoft.com/office/drawing/2014/main" id="{CD6DB507-6F73-4E42-9546-97829A74A3BA}"/>
            </a:ext>
          </a:extLst>
        </xdr:cNvPr>
        <xdr:cNvGrpSpPr>
          <a:grpSpLocks/>
        </xdr:cNvGrpSpPr>
      </xdr:nvGrpSpPr>
      <xdr:grpSpPr bwMode="auto">
        <a:xfrm>
          <a:off x="14597423" y="4549402"/>
          <a:ext cx="298450" cy="139700"/>
          <a:chOff x="12446976" y="4345782"/>
          <a:chExt cx="251864" cy="151026"/>
        </a:xfrm>
      </xdr:grpSpPr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E8ECE315-66BC-439F-B94C-35679FE4CDD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BD08B6D0-7975-4336-B75C-9F3E092B1BFA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33F048A1-C4ED-4543-8112-2B69898DCD82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B5D6CA2-97B0-4172-B3E1-C7D29BFFCC23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A5D3EE2F-2627-41A0-932F-0445570719AC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4" name="Group 821">
          <a:extLst>
            <a:ext uri="{FF2B5EF4-FFF2-40B4-BE49-F238E27FC236}">
              <a16:creationId xmlns:a16="http://schemas.microsoft.com/office/drawing/2014/main" id="{8761DC11-9636-4E9A-87AF-CD870E3B7987}"/>
            </a:ext>
          </a:extLst>
        </xdr:cNvPr>
        <xdr:cNvGrpSpPr>
          <a:grpSpLocks/>
        </xdr:cNvGrpSpPr>
      </xdr:nvGrpSpPr>
      <xdr:grpSpPr bwMode="auto">
        <a:xfrm>
          <a:off x="14032273" y="5221381"/>
          <a:ext cx="200025" cy="137833"/>
          <a:chOff x="11451638" y="1557067"/>
          <a:chExt cx="197304" cy="138098"/>
        </a:xfrm>
      </xdr:grpSpPr>
      <xdr:sp macro="" textlink="">
        <xdr:nvSpPr>
          <xdr:cNvPr id="135" name="TextBox 134">
            <a:extLst>
              <a:ext uri="{FF2B5EF4-FFF2-40B4-BE49-F238E27FC236}">
                <a16:creationId xmlns:a16="http://schemas.microsoft.com/office/drawing/2014/main" id="{277802DE-5426-4C3A-B6A4-2F1B6D1F13CF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9991C95D-9F73-45E2-A1D1-ED3E90636A53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7" name="Group 827">
          <a:extLst>
            <a:ext uri="{FF2B5EF4-FFF2-40B4-BE49-F238E27FC236}">
              <a16:creationId xmlns:a16="http://schemas.microsoft.com/office/drawing/2014/main" id="{732C4EE3-C956-4298-985E-B8F82007A90A}"/>
            </a:ext>
          </a:extLst>
        </xdr:cNvPr>
        <xdr:cNvGrpSpPr>
          <a:grpSpLocks/>
        </xdr:cNvGrpSpPr>
      </xdr:nvGrpSpPr>
      <xdr:grpSpPr bwMode="auto">
        <a:xfrm>
          <a:off x="14645048" y="5211856"/>
          <a:ext cx="241300" cy="137833"/>
          <a:chOff x="11451638" y="1557067"/>
          <a:chExt cx="197304" cy="138098"/>
        </a:xfrm>
      </xdr:grpSpPr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59B5A344-3089-40B8-8FE2-E2A06DDA8E01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6876DCD7-B432-42FA-886F-924DC10C023C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4CE4CAA5-3210-4DF4-8627-C48D4B349BA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6F9D466-D85B-4008-A608-1DB661AF788F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15</xdr:col>
      <xdr:colOff>207434</xdr:colOff>
      <xdr:row>29</xdr:row>
      <xdr:rowOff>104777</xdr:rowOff>
    </xdr:from>
    <xdr:to>
      <xdr:col>16</xdr:col>
      <xdr:colOff>93134</xdr:colOff>
      <xdr:row>30</xdr:row>
      <xdr:rowOff>99734</xdr:rowOff>
    </xdr:to>
    <xdr:grpSp>
      <xdr:nvGrpSpPr>
        <xdr:cNvPr id="142" name="Group 114">
          <a:extLst>
            <a:ext uri="{FF2B5EF4-FFF2-40B4-BE49-F238E27FC236}">
              <a16:creationId xmlns:a16="http://schemas.microsoft.com/office/drawing/2014/main" id="{10C6AC9C-6D56-4527-9C1D-E03241C96CCD}"/>
            </a:ext>
          </a:extLst>
        </xdr:cNvPr>
        <xdr:cNvGrpSpPr>
          <a:grpSpLocks/>
        </xdr:cNvGrpSpPr>
      </xdr:nvGrpSpPr>
      <xdr:grpSpPr bwMode="auto">
        <a:xfrm>
          <a:off x="6189134" y="4537077"/>
          <a:ext cx="317500" cy="134657"/>
          <a:chOff x="12001500" y="4327373"/>
          <a:chExt cx="262305" cy="151942"/>
        </a:xfrm>
      </xdr:grpSpPr>
      <xdr:sp macro="" textlink="">
        <xdr:nvSpPr>
          <xdr:cNvPr id="143" name="Isosceles Triangle 142">
            <a:extLst>
              <a:ext uri="{FF2B5EF4-FFF2-40B4-BE49-F238E27FC236}">
                <a16:creationId xmlns:a16="http://schemas.microsoft.com/office/drawing/2014/main" id="{F6ECA580-DC7F-48D9-9A7B-714F951BA6EF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16DCBF95-E5F0-40DA-9503-058986083675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DD03E503-A19F-4E4F-8619-66470B624FD8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11</xdr:col>
      <xdr:colOff>7409</xdr:colOff>
      <xdr:row>19</xdr:row>
      <xdr:rowOff>76200</xdr:rowOff>
    </xdr:from>
    <xdr:to>
      <xdr:col>11</xdr:col>
      <xdr:colOff>137105</xdr:colOff>
      <xdr:row>20</xdr:row>
      <xdr:rowOff>45687</xdr:rowOff>
    </xdr:to>
    <xdr:grpSp>
      <xdr:nvGrpSpPr>
        <xdr:cNvPr id="146" name="Group 682">
          <a:extLst>
            <a:ext uri="{FF2B5EF4-FFF2-40B4-BE49-F238E27FC236}">
              <a16:creationId xmlns:a16="http://schemas.microsoft.com/office/drawing/2014/main" id="{C7AF83CD-5EC5-4828-9A51-054E109C0B12}"/>
            </a:ext>
          </a:extLst>
        </xdr:cNvPr>
        <xdr:cNvGrpSpPr>
          <a:grpSpLocks/>
        </xdr:cNvGrpSpPr>
      </xdr:nvGrpSpPr>
      <xdr:grpSpPr bwMode="auto">
        <a:xfrm>
          <a:off x="4261909" y="29845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96373633-408B-4377-B78A-11A64A25353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EE003D9D-FD4C-4F7B-8C01-B8B6BE08D86F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5C443E8E-26CC-4986-A63D-AAD52C744071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93133</xdr:colOff>
      <xdr:row>26</xdr:row>
      <xdr:rowOff>115358</xdr:rowOff>
    </xdr:from>
    <xdr:to>
      <xdr:col>18</xdr:col>
      <xdr:colOff>361319</xdr:colOff>
      <xdr:row>29</xdr:row>
      <xdr:rowOff>35584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F86B2203-718D-4F51-9271-FB81FE805CA4}"/>
            </a:ext>
          </a:extLst>
        </xdr:cNvPr>
        <xdr:cNvSpPr txBox="1"/>
      </xdr:nvSpPr>
      <xdr:spPr>
        <a:xfrm>
          <a:off x="5350933" y="4106333"/>
          <a:ext cx="1411186" cy="3774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105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35M</a:t>
          </a:r>
        </a:p>
      </xdr:txBody>
    </xdr:sp>
    <xdr:clientData/>
  </xdr:twoCellAnchor>
  <xdr:twoCellAnchor>
    <xdr:from>
      <xdr:col>10</xdr:col>
      <xdr:colOff>23284</xdr:colOff>
      <xdr:row>14</xdr:row>
      <xdr:rowOff>101599</xdr:rowOff>
    </xdr:from>
    <xdr:to>
      <xdr:col>10</xdr:col>
      <xdr:colOff>276226</xdr:colOff>
      <xdr:row>44</xdr:row>
      <xdr:rowOff>103282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F5FBE707-2366-4963-8AC4-1BF505683F85}"/>
            </a:ext>
          </a:extLst>
        </xdr:cNvPr>
        <xdr:cNvSpPr/>
      </xdr:nvSpPr>
      <xdr:spPr>
        <a:xfrm rot="5400000">
          <a:off x="1210951" y="4428907"/>
          <a:ext cx="4583208" cy="25294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9525</xdr:colOff>
      <xdr:row>35</xdr:row>
      <xdr:rowOff>19050</xdr:rowOff>
    </xdr:from>
    <xdr:to>
      <xdr:col>11</xdr:col>
      <xdr:colOff>139221</xdr:colOff>
      <xdr:row>35</xdr:row>
      <xdr:rowOff>140937</xdr:rowOff>
    </xdr:to>
    <xdr:grpSp>
      <xdr:nvGrpSpPr>
        <xdr:cNvPr id="152" name="Group 682">
          <a:extLst>
            <a:ext uri="{FF2B5EF4-FFF2-40B4-BE49-F238E27FC236}">
              <a16:creationId xmlns:a16="http://schemas.microsoft.com/office/drawing/2014/main" id="{4220D1E0-BEF7-46D4-9A22-4ECE1DEE38B9}"/>
            </a:ext>
          </a:extLst>
        </xdr:cNvPr>
        <xdr:cNvGrpSpPr>
          <a:grpSpLocks/>
        </xdr:cNvGrpSpPr>
      </xdr:nvGrpSpPr>
      <xdr:grpSpPr bwMode="auto">
        <a:xfrm>
          <a:off x="4264025" y="53530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CBA80A79-1423-44EB-878B-81BAC96C3E0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4270BB68-E5A0-4C5C-AD88-8A51F61FA5C5}"/>
              </a:ext>
            </a:extLst>
          </xdr:cNvPr>
          <xdr:cNvCxnSpPr>
            <a:stCxn id="153" idx="1"/>
            <a:endCxn id="15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C50957B8-384A-489B-A226-906401FD2924}"/>
              </a:ext>
            </a:extLst>
          </xdr:cNvPr>
          <xdr:cNvCxnSpPr>
            <a:stCxn id="153" idx="3"/>
            <a:endCxn id="15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31</xdr:row>
      <xdr:rowOff>38100</xdr:rowOff>
    </xdr:from>
    <xdr:to>
      <xdr:col>11</xdr:col>
      <xdr:colOff>152400</xdr:colOff>
      <xdr:row>32</xdr:row>
      <xdr:rowOff>33058</xdr:rowOff>
    </xdr:to>
    <xdr:grpSp>
      <xdr:nvGrpSpPr>
        <xdr:cNvPr id="156" name="Group 2">
          <a:extLst>
            <a:ext uri="{FF2B5EF4-FFF2-40B4-BE49-F238E27FC236}">
              <a16:creationId xmlns:a16="http://schemas.microsoft.com/office/drawing/2014/main" id="{F1FB11A6-5E66-47AD-A1CE-949C754F7168}"/>
            </a:ext>
          </a:extLst>
        </xdr:cNvPr>
        <xdr:cNvGrpSpPr>
          <a:grpSpLocks/>
        </xdr:cNvGrpSpPr>
      </xdr:nvGrpSpPr>
      <xdr:grpSpPr bwMode="auto">
        <a:xfrm>
          <a:off x="4254500" y="4762500"/>
          <a:ext cx="152400" cy="147358"/>
          <a:chOff x="3725636" y="1945820"/>
          <a:chExt cx="153760" cy="144237"/>
        </a:xfrm>
      </xdr:grpSpPr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6014F000-8DA3-40B5-B842-BDF25E211D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7C6F0301-8E13-4534-B303-9800F72C19A6}"/>
              </a:ext>
            </a:extLst>
          </xdr:cNvPr>
          <xdr:cNvCxnSpPr>
            <a:stCxn id="157" idx="1"/>
            <a:endCxn id="15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2D0C8CBD-3293-4907-AE7C-71DF2F1ADC2F}"/>
              </a:ext>
            </a:extLst>
          </xdr:cNvPr>
          <xdr:cNvCxnSpPr>
            <a:stCxn id="157" idx="3"/>
            <a:endCxn id="15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152400</xdr:colOff>
      <xdr:row>31</xdr:row>
      <xdr:rowOff>111779</xdr:rowOff>
    </xdr:from>
    <xdr:to>
      <xdr:col>15</xdr:col>
      <xdr:colOff>276225</xdr:colOff>
      <xdr:row>31</xdr:row>
      <xdr:rowOff>149879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AF7C08E4-67CD-4BB7-BFF0-64E073ED0F9E}"/>
            </a:ext>
          </a:extLst>
        </xdr:cNvPr>
        <xdr:cNvCxnSpPr>
          <a:stCxn id="157" idx="6"/>
          <a:endCxn id="169" idx="2"/>
        </xdr:cNvCxnSpPr>
      </xdr:nvCxnSpPr>
      <xdr:spPr>
        <a:xfrm>
          <a:off x="3886200" y="4855229"/>
          <a:ext cx="1647825" cy="381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28575</xdr:colOff>
      <xdr:row>31</xdr:row>
      <xdr:rowOff>142875</xdr:rowOff>
    </xdr:from>
    <xdr:to>
      <xdr:col>16</xdr:col>
      <xdr:colOff>209550</xdr:colOff>
      <xdr:row>32</xdr:row>
      <xdr:rowOff>2199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4956FAC-8C99-48A9-B413-4B7366AFA32E}"/>
            </a:ext>
          </a:extLst>
        </xdr:cNvPr>
        <xdr:cNvCxnSpPr/>
      </xdr:nvCxnSpPr>
      <xdr:spPr>
        <a:xfrm flipV="1">
          <a:off x="5667375" y="4886325"/>
          <a:ext cx="180975" cy="117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219074</xdr:colOff>
      <xdr:row>33</xdr:row>
      <xdr:rowOff>104774</xdr:rowOff>
    </xdr:from>
    <xdr:to>
      <xdr:col>17</xdr:col>
      <xdr:colOff>19049</xdr:colOff>
      <xdr:row>40</xdr:row>
      <xdr:rowOff>104775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64339559-EB22-4E81-A34F-8F3455C7542F}"/>
            </a:ext>
          </a:extLst>
        </xdr:cNvPr>
        <xdr:cNvSpPr txBox="1"/>
      </xdr:nvSpPr>
      <xdr:spPr>
        <a:xfrm>
          <a:off x="5095874" y="5153024"/>
          <a:ext cx="942975" cy="108585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1" u="sng" baseline="0">
              <a:solidFill>
                <a:srgbClr val="FF0000"/>
              </a:solidFill>
            </a:rPr>
            <a:t>T1-24ZM/249C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G312-A 100KVA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SE1-3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</xdr:txBody>
    </xdr:sp>
    <xdr:clientData/>
  </xdr:twoCellAnchor>
  <xdr:twoCellAnchor>
    <xdr:from>
      <xdr:col>8</xdr:col>
      <xdr:colOff>190500</xdr:colOff>
      <xdr:row>30</xdr:row>
      <xdr:rowOff>19050</xdr:rowOff>
    </xdr:from>
    <xdr:to>
      <xdr:col>10</xdr:col>
      <xdr:colOff>323850</xdr:colOff>
      <xdr:row>33</xdr:row>
      <xdr:rowOff>133350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EC87E758-13A0-4C28-8C4D-2900C69682E9}"/>
            </a:ext>
          </a:extLst>
        </xdr:cNvPr>
        <xdr:cNvSpPr txBox="1"/>
      </xdr:nvSpPr>
      <xdr:spPr>
        <a:xfrm>
          <a:off x="2781300" y="4610100"/>
          <a:ext cx="895350" cy="5715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1" u="sng" baseline="0">
              <a:solidFill>
                <a:srgbClr val="FF0000"/>
              </a:solidFill>
            </a:rPr>
            <a:t>T1-24ZM/249A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13</xdr:col>
      <xdr:colOff>171450</xdr:colOff>
      <xdr:row>31</xdr:row>
      <xdr:rowOff>66675</xdr:rowOff>
    </xdr:from>
    <xdr:to>
      <xdr:col>13</xdr:col>
      <xdr:colOff>323850</xdr:colOff>
      <xdr:row>32</xdr:row>
      <xdr:rowOff>61633</xdr:rowOff>
    </xdr:to>
    <xdr:grpSp>
      <xdr:nvGrpSpPr>
        <xdr:cNvPr id="164" name="Group 2">
          <a:extLst>
            <a:ext uri="{FF2B5EF4-FFF2-40B4-BE49-F238E27FC236}">
              <a16:creationId xmlns:a16="http://schemas.microsoft.com/office/drawing/2014/main" id="{27A31948-1817-4758-BEAB-2059EE2DC8F5}"/>
            </a:ext>
          </a:extLst>
        </xdr:cNvPr>
        <xdr:cNvGrpSpPr>
          <a:grpSpLocks/>
        </xdr:cNvGrpSpPr>
      </xdr:nvGrpSpPr>
      <xdr:grpSpPr bwMode="auto">
        <a:xfrm>
          <a:off x="5289550" y="4791075"/>
          <a:ext cx="152400" cy="147358"/>
          <a:chOff x="3725636" y="1945820"/>
          <a:chExt cx="153760" cy="144237"/>
        </a:xfrm>
      </xdr:grpSpPr>
      <xdr:sp macro="" textlink="">
        <xdr:nvSpPr>
          <xdr:cNvPr id="165" name="Oval 164">
            <a:extLst>
              <a:ext uri="{FF2B5EF4-FFF2-40B4-BE49-F238E27FC236}">
                <a16:creationId xmlns:a16="http://schemas.microsoft.com/office/drawing/2014/main" id="{1B9AD7B9-5CC4-4D8F-AF25-75789440DF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A548590C-99AB-4C19-AACC-B5072516AC6B}"/>
              </a:ext>
            </a:extLst>
          </xdr:cNvPr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648E1199-84B5-45F0-9947-0DB08352A5D6}"/>
              </a:ext>
            </a:extLst>
          </xdr:cNvPr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276225</xdr:colOff>
      <xdr:row>31</xdr:row>
      <xdr:rowOff>76200</xdr:rowOff>
    </xdr:from>
    <xdr:to>
      <xdr:col>16</xdr:col>
      <xdr:colOff>47625</xdr:colOff>
      <xdr:row>32</xdr:row>
      <xdr:rowOff>71158</xdr:rowOff>
    </xdr:to>
    <xdr:grpSp>
      <xdr:nvGrpSpPr>
        <xdr:cNvPr id="168" name="Group 2">
          <a:extLst>
            <a:ext uri="{FF2B5EF4-FFF2-40B4-BE49-F238E27FC236}">
              <a16:creationId xmlns:a16="http://schemas.microsoft.com/office/drawing/2014/main" id="{B4BD897C-4BBF-401B-98C8-C47E424DFE1C}"/>
            </a:ext>
          </a:extLst>
        </xdr:cNvPr>
        <xdr:cNvGrpSpPr>
          <a:grpSpLocks/>
        </xdr:cNvGrpSpPr>
      </xdr:nvGrpSpPr>
      <xdr:grpSpPr bwMode="auto">
        <a:xfrm>
          <a:off x="6257925" y="4800600"/>
          <a:ext cx="203200" cy="147358"/>
          <a:chOff x="3725636" y="1945820"/>
          <a:chExt cx="153760" cy="144237"/>
        </a:xfrm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05E29238-38A8-4295-8CE4-270DAF4CC2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57DFEC25-19E9-4EE8-9E42-0DF1DDA891CB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39789E68-FCA8-4C82-86C3-CC7A343F28A0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47625</xdr:colOff>
      <xdr:row>27</xdr:row>
      <xdr:rowOff>28575</xdr:rowOff>
    </xdr:from>
    <xdr:to>
      <xdr:col>14</xdr:col>
      <xdr:colOff>180975</xdr:colOff>
      <xdr:row>31</xdr:row>
      <xdr:rowOff>0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CE355A9-7ED9-4932-A1F5-3E4F305E12C5}"/>
            </a:ext>
          </a:extLst>
        </xdr:cNvPr>
        <xdr:cNvSpPr txBox="1"/>
      </xdr:nvSpPr>
      <xdr:spPr>
        <a:xfrm>
          <a:off x="4162425" y="4171950"/>
          <a:ext cx="895350" cy="5715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1" u="sng" baseline="0">
              <a:solidFill>
                <a:srgbClr val="FF0000"/>
              </a:solidFill>
            </a:rPr>
            <a:t>T1-24ZM/249B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225135</xdr:rowOff>
    </xdr:from>
    <xdr:to>
      <xdr:col>20</xdr:col>
      <xdr:colOff>952500</xdr:colOff>
      <xdr:row>51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0E6CCA-7551-431E-A1F2-34B22195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2885"/>
          <a:ext cx="11487150" cy="7180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1FE0760-0E0C-471C-8C1C-8327E4A3801F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B9A89F5-B766-431A-AD28-29F392C5D74A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</xdr:row>
      <xdr:rowOff>0</xdr:rowOff>
    </xdr:from>
    <xdr:to>
      <xdr:col>26</xdr:col>
      <xdr:colOff>519546</xdr:colOff>
      <xdr:row>60</xdr:row>
      <xdr:rowOff>34636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48C7-1605-4560-B5B5-05BB5253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38250"/>
          <a:ext cx="14064096" cy="84547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4E236F8E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unjun.baheransyah/Downloads/PD%20BANK%20JATENG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LP%20TEGOWANU/Downloads/KKO%20KKF%20PD%20B2%20DIANA%20HK%20EDOKY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5" style="139" customWidth="1"/>
    <col min="4" max="4" width="12.5" style="139" customWidth="1"/>
    <col min="5" max="5" width="8.6640625" style="116" customWidth="1"/>
    <col min="6" max="6" width="12.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" style="117" hidden="1" customWidth="1"/>
    <col min="13" max="16384" width="9.16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1105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32</v>
      </c>
      <c r="E7" s="529" t="s">
        <v>33</v>
      </c>
      <c r="F7" s="529" t="s">
        <v>1106</v>
      </c>
      <c r="G7" s="530" t="s">
        <v>31</v>
      </c>
      <c r="H7" s="526" t="s">
        <v>1013</v>
      </c>
      <c r="I7" s="526" t="s">
        <v>1108</v>
      </c>
      <c r="J7" s="526" t="s">
        <v>997</v>
      </c>
      <c r="K7" s="520" t="s">
        <v>995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509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 ht="16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 ht="16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SUMIFS(RAB!$F$14:$F$143,RAB!$C$14:$C$143,C718)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SUMIFS(RAB!$F$14:$F$143,RAB!$C$14:$C$143,C720)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SUMIFS(RAB!$F$14:$F$143,RAB!$C$14:$C$143,C780)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SUMIFS(RAB!$F$14:$F$143,RAB!$C$14:$C$143,C786)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SUMIFS(RAB!$F$14:$F$143,RAB!$C$14:$C$143,C802)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SUMIFS(RAB!$F$14:$F$143,RAB!$C$14:$C$143,C803)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SUMIFS(RAB!$F$14:$F$143,RAB!$C$14:$C$143,C804)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SUMIFS(RAB!$F$14:$F$143,RAB!$C$14:$C$143,C817)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SUMIFS(RAB!$F$14:$F$143,RAB!$C$14:$C$143,C822)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SUMIFS(RAB!$F$14:$F$143,RAB!$C$14:$C$143,C828)</f>
        <v>509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SUMIFS(RAB!$F$14:$F$143,RAB!$C$14:$C$143,C836)</f>
        <v>35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SUMIFS(RAB!$F$14:$F$143,RAB!$C$14:$C$143,C838)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SUMIFS(RAB!$F$14:$F$143,RAB!$C$14:$C$143,C852)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1098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55" t="str">
        <f>RAB!G6</f>
        <v>PT. EDOKY NUSA LESTARI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BRAMBANG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32</v>
      </c>
      <c r="E11" s="537" t="s">
        <v>33</v>
      </c>
      <c r="F11" s="537" t="s">
        <v>2</v>
      </c>
      <c r="G11" s="539" t="s">
        <v>31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36</v>
      </c>
      <c r="I12" s="546" t="s">
        <v>5</v>
      </c>
      <c r="J12" s="538" t="s">
        <v>37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981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17400000</v>
      </c>
      <c r="J38" s="55">
        <f ca="1">SUM(J14:J37)</f>
        <v>0</v>
      </c>
      <c r="K38" s="55">
        <f ca="1">SUM(K14:K37)</f>
        <v>17400000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452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1740000</v>
      </c>
      <c r="J39" s="60">
        <f ca="1">J38*0.1</f>
        <v>0</v>
      </c>
      <c r="K39" s="60">
        <f ca="1">K38*0.1</f>
        <v>1740000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48" t="s">
        <v>453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19140000</v>
      </c>
      <c r="J40" s="61">
        <f ca="1">SUM(J38:J39)</f>
        <v>0</v>
      </c>
      <c r="K40" s="61">
        <f ca="1">SUM(K38:K39)</f>
        <v>19140000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PROPER([90]!terbilang(K40))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SUMIFS(RAB!$F$14:$F$143,RAB!$C$14:$C$143,'REKAP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SUMIFS(RAB!$F$14:$F$143,RAB!$C$14:$C$143,'REKAP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1005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55" t="str">
        <f>RAB!G6</f>
        <v>PT. EDOKY NUSA LESTARI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BRAMBANG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32</v>
      </c>
      <c r="E11" s="537" t="s">
        <v>33</v>
      </c>
      <c r="F11" s="537" t="s">
        <v>2</v>
      </c>
      <c r="G11" s="539" t="s">
        <v>31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36</v>
      </c>
      <c r="I12" s="546" t="s">
        <v>5</v>
      </c>
      <c r="J12" s="538" t="s">
        <v>37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509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7227800</v>
      </c>
      <c r="I21" s="42">
        <f t="shared" ca="1" si="2"/>
        <v>0</v>
      </c>
      <c r="J21" s="42">
        <f t="shared" ca="1" si="3"/>
        <v>0</v>
      </c>
      <c r="K21" s="43">
        <f t="shared" ca="1" si="0"/>
        <v>7227800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1907500</v>
      </c>
      <c r="I22" s="42">
        <f t="shared" ca="1" si="2"/>
        <v>0</v>
      </c>
      <c r="J22" s="42">
        <f t="shared" ca="1" si="3"/>
        <v>0</v>
      </c>
      <c r="K22" s="43">
        <f t="shared" ca="1" si="0"/>
        <v>1907500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981</v>
      </c>
      <c r="D168" s="556"/>
      <c r="E168" s="556"/>
      <c r="F168" s="556"/>
      <c r="G168" s="77" t="s">
        <v>9</v>
      </c>
      <c r="H168" s="55">
        <f ca="1">SUM(H14:H167)</f>
        <v>86418450</v>
      </c>
      <c r="I168" s="55">
        <f ca="1">SUM(I14:I167)</f>
        <v>0</v>
      </c>
      <c r="J168" s="55">
        <f ca="1">SUM(J14:J167)</f>
        <v>0</v>
      </c>
      <c r="K168" s="55">
        <f ca="1">SUM(K14:K167)</f>
        <v>86418450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452</v>
      </c>
      <c r="D169" s="557"/>
      <c r="E169" s="557"/>
      <c r="F169" s="557"/>
      <c r="G169" s="59" t="s">
        <v>9</v>
      </c>
      <c r="H169" s="60">
        <f ca="1">H168*0.1</f>
        <v>8641845</v>
      </c>
      <c r="I169" s="60">
        <f ca="1">I168*0.1</f>
        <v>0</v>
      </c>
      <c r="J169" s="60">
        <f ca="1">J168*0.1</f>
        <v>0</v>
      </c>
      <c r="K169" s="60">
        <f ca="1">K168*0.1</f>
        <v>8641845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48" t="s">
        <v>453</v>
      </c>
      <c r="D170" s="548"/>
      <c r="E170" s="548"/>
      <c r="F170" s="548"/>
      <c r="G170" s="61" t="s">
        <v>9</v>
      </c>
      <c r="H170" s="78">
        <f ca="1">SUM(H168:H169)</f>
        <v>95060295</v>
      </c>
      <c r="I170" s="78">
        <f ca="1">SUM(I168:I169)</f>
        <v>0</v>
      </c>
      <c r="J170" s="61">
        <f ca="1">SUM(J168:J169)</f>
        <v>0</v>
      </c>
      <c r="K170" s="61">
        <f ca="1">SUM(K168:K169)</f>
        <v>95060295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PROPER([90]!terbilang(K170))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SUMIFS(RAB!$F$14:$F$143,RAB!$C$14:$C$143,C228)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SUMIFS(RAB!$F$14:$F$143,RAB!$C$14:$C$143,C230)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SUMIFS(RAB!$F$14:$F$143,RAB!$C$14:$C$143,C290)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SUMIFS(RAB!$F$14:$F$143,RAB!$C$14:$C$143,C296)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SUMIFS(RAB!$F$14:$F$143,RAB!$C$14:$C$143,C312)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SUMIFS(RAB!$F$14:$F$143,RAB!$C$14:$C$143,C313)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SUMIFS(RAB!$F$14:$F$143,RAB!$C$14:$C$143,C314)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SUMIFS(RAB!$F$14:$F$143,RAB!$C$14:$C$143,C327)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SUMIFS(RAB!$F$14:$F$143,RAB!$C$14:$C$143,C332)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SUMIFS(RAB!$F$14:$F$143,RAB!$C$14:$C$143,C338)</f>
        <v>509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SUMIFS(RAB!$F$14:$F$143,RAB!$C$14:$C$143,C346)</f>
        <v>35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SUMIFS(RAB!$F$14:$F$143,RAB!$C$14:$C$143,C348)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5" customWidth="1"/>
  </cols>
  <sheetData>
    <row r="1" spans="4:4" ht="89.25" customHeight="1"/>
    <row r="3" spans="4:4" ht="50.25" customHeight="1">
      <c r="D3" s="370"/>
    </row>
    <row r="4" spans="4:4" ht="57" customHeight="1">
      <c r="D4" s="370">
        <v>3</v>
      </c>
    </row>
    <row r="5" spans="4:4" ht="57" customHeight="1">
      <c r="D5" s="37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9" t="s">
        <v>31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13</v>
      </c>
      <c r="C4" s="561" t="s">
        <v>983</v>
      </c>
      <c r="D4" s="561" t="s">
        <v>32</v>
      </c>
      <c r="E4" s="560" t="s">
        <v>33</v>
      </c>
      <c r="F4" s="108" t="s">
        <v>1579</v>
      </c>
      <c r="G4" s="108" t="s">
        <v>1578</v>
      </c>
      <c r="H4" s="558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1578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1522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1523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1524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1525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1526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1527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1528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1529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1430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1530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1531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1532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1533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1534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1535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1536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1431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1432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1537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1538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1539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1540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1541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1542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1543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1544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1545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1546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1547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1548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1549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1550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1551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1552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1553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1554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1555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1556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1557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1558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1559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1560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1561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1562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1563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1564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1565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1566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1567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1568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1569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1570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1571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1572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1573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1433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1434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1435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1436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1437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1438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1439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6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6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1440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1441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1442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1443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1444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1445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1446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1447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1448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1449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1450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1451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1452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1453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1454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1455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1456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1457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1458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1459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1460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1461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1462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1463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1464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1465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1466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1467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1468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1469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1470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1471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1472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1473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1474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1475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1476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1477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1478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1479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1480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1481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1482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1483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1484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1485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1486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1487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1488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1490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1489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1574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1575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1576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1491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1492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1493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1494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1495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1496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1497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1498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1577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97">
        <v>2740</v>
      </c>
      <c r="G1433" s="39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8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8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8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8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8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baseColWidth="10" defaultColWidth="9.1640625" defaultRowHeight="15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5" style="191" customWidth="1"/>
    <col min="6" max="6" width="5.5" style="191" customWidth="1"/>
    <col min="7" max="7" width="5.5" style="191" hidden="1" customWidth="1"/>
    <col min="8" max="8" width="5.1640625" style="191" customWidth="1"/>
    <col min="9" max="9" width="34.1640625" style="191" customWidth="1"/>
    <col min="10" max="10" width="3.5" style="191" customWidth="1"/>
    <col min="11" max="11" width="12.6640625" style="191" customWidth="1"/>
    <col min="12" max="12" width="12.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33203125" style="191" customWidth="1"/>
    <col min="17" max="17" width="14.5" style="191" customWidth="1"/>
    <col min="18" max="16384" width="9.1640625" style="191"/>
  </cols>
  <sheetData>
    <row r="2" spans="1:12" s="194" customFormat="1" ht="18.75" customHeight="1">
      <c r="B2" s="593" t="s">
        <v>1428</v>
      </c>
      <c r="C2" s="593"/>
      <c r="D2" s="593"/>
      <c r="E2" s="593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8" t="s">
        <v>1502</v>
      </c>
      <c r="C4" s="599"/>
      <c r="D4" s="599"/>
      <c r="E4" s="600"/>
      <c r="F4" s="352"/>
      <c r="G4" s="352"/>
      <c r="H4" s="353"/>
      <c r="I4" s="562" t="s">
        <v>1503</v>
      </c>
      <c r="J4" s="563"/>
      <c r="K4" s="563"/>
      <c r="L4" s="564"/>
    </row>
    <row r="5" spans="1:12" ht="34.5" customHeight="1">
      <c r="A5" s="193"/>
      <c r="B5" s="355" t="s">
        <v>1350</v>
      </c>
      <c r="C5" s="200" t="s">
        <v>9</v>
      </c>
      <c r="D5" s="594" t="str">
        <f>DATA!D14</f>
        <v>PT. EDOKY NUSA LESTARI</v>
      </c>
      <c r="E5" s="595"/>
      <c r="F5" s="197"/>
      <c r="G5" s="197"/>
      <c r="I5" s="356" t="s">
        <v>1350</v>
      </c>
      <c r="J5" s="200" t="s">
        <v>9</v>
      </c>
      <c r="K5" s="565" t="str">
        <f>D5</f>
        <v>PT. EDOKY NUSA LESTARI</v>
      </c>
      <c r="L5" s="566"/>
    </row>
    <row r="6" spans="1:12" ht="31.5" customHeight="1">
      <c r="A6" s="193"/>
      <c r="B6" s="355" t="s">
        <v>1499</v>
      </c>
      <c r="C6" s="200" t="s">
        <v>9</v>
      </c>
      <c r="D6" s="603">
        <f>DATA!D17*1000</f>
        <v>5500</v>
      </c>
      <c r="E6" s="604"/>
      <c r="F6" s="197"/>
      <c r="G6" s="197"/>
      <c r="I6" s="356" t="s">
        <v>1500</v>
      </c>
      <c r="J6" s="200" t="s">
        <v>9</v>
      </c>
      <c r="K6" s="567">
        <f>DATA!D20*1000</f>
        <v>105000</v>
      </c>
      <c r="L6" s="568"/>
    </row>
    <row r="7" spans="1:12" ht="30.75" customHeight="1">
      <c r="A7" s="193"/>
      <c r="B7" s="355" t="s">
        <v>1412</v>
      </c>
      <c r="C7" s="200" t="s">
        <v>9</v>
      </c>
      <c r="D7" s="601">
        <f>DATA!D18</f>
        <v>1</v>
      </c>
      <c r="E7" s="602"/>
      <c r="F7" s="354" t="s">
        <v>1427</v>
      </c>
      <c r="I7" s="356" t="s">
        <v>1412</v>
      </c>
      <c r="J7" s="200" t="s">
        <v>9</v>
      </c>
      <c r="K7" s="569">
        <f>DATA!D21</f>
        <v>3</v>
      </c>
      <c r="L7" s="570"/>
    </row>
    <row r="8" spans="1:12" ht="51" customHeight="1">
      <c r="A8" s="193"/>
      <c r="B8" s="355" t="s">
        <v>1413</v>
      </c>
      <c r="C8" s="200" t="s">
        <v>9</v>
      </c>
      <c r="D8" s="601">
        <f>DATA!D19</f>
        <v>220</v>
      </c>
      <c r="E8" s="602"/>
      <c r="F8" s="354" t="s">
        <v>1427</v>
      </c>
      <c r="G8" s="349">
        <v>220</v>
      </c>
      <c r="I8" s="356" t="s">
        <v>1413</v>
      </c>
      <c r="J8" s="200" t="s">
        <v>9</v>
      </c>
      <c r="K8" s="569">
        <f>DATA!D22</f>
        <v>380</v>
      </c>
      <c r="L8" s="570"/>
    </row>
    <row r="9" spans="1:12" ht="30" customHeight="1" thickBot="1">
      <c r="A9" s="193"/>
      <c r="B9" s="361" t="s">
        <v>1511</v>
      </c>
      <c r="C9" s="351" t="s">
        <v>9</v>
      </c>
      <c r="D9" s="596">
        <f>IF(D7=1,D6/(380/3^0.5),(D6/(380*3^0.5)))</f>
        <v>25.069156425339013</v>
      </c>
      <c r="E9" s="597"/>
      <c r="F9" s="196"/>
      <c r="G9" s="350">
        <v>380</v>
      </c>
      <c r="I9" s="362" t="s">
        <v>1511</v>
      </c>
      <c r="J9" s="351" t="s">
        <v>9</v>
      </c>
      <c r="K9" s="573">
        <f>IF(K7=1,K6/(380/3^0.5),(K6/(380*3^0.5)))</f>
        <v>159.53099543397556</v>
      </c>
      <c r="L9" s="574"/>
    </row>
    <row r="10" spans="1:12" ht="24.75" customHeight="1">
      <c r="B10" s="363"/>
      <c r="C10" s="360"/>
      <c r="D10" s="364"/>
      <c r="E10" s="364"/>
      <c r="F10" s="196"/>
      <c r="G10" s="350"/>
      <c r="I10" s="363"/>
      <c r="J10" s="360"/>
      <c r="K10" s="364"/>
      <c r="L10" s="364"/>
    </row>
    <row r="11" spans="1:12" ht="18" thickBot="1">
      <c r="B11" s="357" t="s">
        <v>1512</v>
      </c>
      <c r="I11" s="357" t="s">
        <v>1506</v>
      </c>
    </row>
    <row r="12" spans="1:12" ht="34.5" customHeight="1">
      <c r="A12" s="193"/>
      <c r="B12" s="385" t="s">
        <v>1504</v>
      </c>
      <c r="C12" s="379" t="s">
        <v>9</v>
      </c>
      <c r="D12" s="605"/>
      <c r="E12" s="606"/>
      <c r="F12" s="197"/>
      <c r="G12" s="197"/>
      <c r="I12" s="378" t="s">
        <v>1504</v>
      </c>
      <c r="J12" s="379" t="s">
        <v>9</v>
      </c>
      <c r="K12" s="575" t="s">
        <v>1651</v>
      </c>
      <c r="L12" s="576"/>
    </row>
    <row r="13" spans="1:12" ht="31.5" customHeight="1">
      <c r="A13" s="193"/>
      <c r="B13" s="386" t="s">
        <v>1351</v>
      </c>
      <c r="C13" s="366" t="s">
        <v>9</v>
      </c>
      <c r="D13" s="609"/>
      <c r="E13" s="610"/>
      <c r="F13" s="197"/>
      <c r="G13" s="197"/>
      <c r="I13" s="380" t="s">
        <v>1351</v>
      </c>
      <c r="J13" s="366" t="s">
        <v>9</v>
      </c>
      <c r="K13" s="571" t="s">
        <v>1652</v>
      </c>
      <c r="L13" s="572"/>
    </row>
    <row r="14" spans="1:12" ht="30.75" customHeight="1">
      <c r="A14" s="193"/>
      <c r="B14" s="386" t="s">
        <v>1505</v>
      </c>
      <c r="C14" s="366" t="s">
        <v>9</v>
      </c>
      <c r="D14" s="581"/>
      <c r="E14" s="582"/>
      <c r="F14" s="354" t="s">
        <v>1427</v>
      </c>
      <c r="G14" s="358">
        <v>50</v>
      </c>
      <c r="I14" s="380" t="s">
        <v>1505</v>
      </c>
      <c r="J14" s="366" t="s">
        <v>9</v>
      </c>
      <c r="K14" s="583">
        <v>100</v>
      </c>
      <c r="L14" s="584"/>
    </row>
    <row r="15" spans="1:12" ht="57" customHeight="1">
      <c r="A15" s="193"/>
      <c r="B15" s="386" t="s">
        <v>1412</v>
      </c>
      <c r="C15" s="366" t="s">
        <v>9</v>
      </c>
      <c r="D15" s="372"/>
      <c r="E15" s="381"/>
      <c r="F15" s="354" t="s">
        <v>1427</v>
      </c>
      <c r="G15" s="358">
        <v>100</v>
      </c>
      <c r="I15" s="380" t="s">
        <v>1412</v>
      </c>
      <c r="J15" s="366" t="s">
        <v>9</v>
      </c>
      <c r="K15" s="372">
        <v>3</v>
      </c>
      <c r="L15" s="381"/>
    </row>
    <row r="16" spans="1:12" ht="44.25" customHeight="1">
      <c r="A16" s="193"/>
      <c r="B16" s="386" t="s">
        <v>1515</v>
      </c>
      <c r="C16" s="366"/>
      <c r="D16" s="585"/>
      <c r="E16" s="586"/>
      <c r="F16" s="354"/>
      <c r="G16" s="358">
        <v>160</v>
      </c>
      <c r="I16" s="380" t="s">
        <v>1507</v>
      </c>
      <c r="J16" s="366" t="s">
        <v>9</v>
      </c>
      <c r="K16" s="587">
        <f>K9</f>
        <v>159.53099543397556</v>
      </c>
      <c r="L16" s="588"/>
    </row>
    <row r="17" spans="1:12" ht="34.5" customHeight="1">
      <c r="A17" s="193"/>
      <c r="B17" s="386" t="s">
        <v>1508</v>
      </c>
      <c r="C17" s="366" t="s">
        <v>9</v>
      </c>
      <c r="D17" s="579">
        <f>IF(D15=1,D14/(20/3^0.5),(D14/(20*3^0.5)))</f>
        <v>0</v>
      </c>
      <c r="E17" s="580"/>
      <c r="F17" s="354" t="s">
        <v>1427</v>
      </c>
      <c r="G17" s="359">
        <v>200</v>
      </c>
      <c r="I17" s="380" t="s">
        <v>1508</v>
      </c>
      <c r="J17" s="366" t="s">
        <v>9</v>
      </c>
      <c r="K17" s="577">
        <f>IF(K15=1,K14/(20/3^0.5),(K14/(20*3^0.5)))</f>
        <v>2.8867513459481291</v>
      </c>
      <c r="L17" s="578"/>
    </row>
    <row r="18" spans="1:12" ht="34.5" customHeight="1">
      <c r="A18" s="193"/>
      <c r="B18" s="386" t="s">
        <v>1509</v>
      </c>
      <c r="C18" s="366" t="s">
        <v>9</v>
      </c>
      <c r="D18" s="579">
        <f>IF(D15=1,D14/(380/3^0.5),(D14/(380*3^0.5)))*1000</f>
        <v>0</v>
      </c>
      <c r="E18" s="580"/>
      <c r="F18" s="354" t="s">
        <v>1427</v>
      </c>
      <c r="G18" s="359">
        <v>250</v>
      </c>
      <c r="I18" s="380" t="s">
        <v>1509</v>
      </c>
      <c r="J18" s="366" t="s">
        <v>9</v>
      </c>
      <c r="K18" s="577">
        <f>IF(K15=1,K14/(380/3^0.5),(K14/(380*3^0.5)))*1000</f>
        <v>151.93428136569102</v>
      </c>
      <c r="L18" s="578"/>
    </row>
    <row r="19" spans="1:12" ht="30" customHeight="1">
      <c r="A19" s="193"/>
      <c r="B19" s="387" t="s">
        <v>1501</v>
      </c>
      <c r="C19" s="365" t="s">
        <v>9</v>
      </c>
      <c r="D19" s="579">
        <f>IF(D15=1,D13/(380/3^0.5),(D13/(380*3^0.5)))</f>
        <v>0</v>
      </c>
      <c r="E19" s="580"/>
      <c r="F19" s="196"/>
      <c r="G19" s="350"/>
      <c r="I19" s="382" t="s">
        <v>1501</v>
      </c>
      <c r="J19" s="365" t="s">
        <v>9</v>
      </c>
      <c r="K19" s="577" t="e">
        <f>IF(K15=1,K13/(380/3^0.5),(K13/(380*3^0.5)))</f>
        <v>#VALUE!</v>
      </c>
      <c r="L19" s="578"/>
    </row>
    <row r="20" spans="1:12" ht="30" customHeight="1" thickBot="1">
      <c r="A20" s="193"/>
      <c r="B20" s="388" t="s">
        <v>1510</v>
      </c>
      <c r="C20" s="384" t="s">
        <v>9</v>
      </c>
      <c r="D20" s="607" t="e">
        <f>D16/D18</f>
        <v>#DIV/0!</v>
      </c>
      <c r="E20" s="608"/>
      <c r="F20" s="196"/>
      <c r="G20" s="350"/>
      <c r="I20" s="383" t="s">
        <v>1501</v>
      </c>
      <c r="J20" s="384" t="s">
        <v>9</v>
      </c>
      <c r="K20" s="611">
        <f>K16/K18</f>
        <v>1.05</v>
      </c>
      <c r="L20" s="612"/>
    </row>
    <row r="21" spans="1:12" ht="9.75" customHeight="1">
      <c r="A21" s="193"/>
      <c r="B21" s="373" t="s">
        <v>1510</v>
      </c>
      <c r="C21" s="374" t="s">
        <v>9</v>
      </c>
      <c r="D21" s="592">
        <v>1</v>
      </c>
      <c r="E21" s="592"/>
      <c r="F21" s="375"/>
      <c r="G21" s="376"/>
      <c r="H21" s="377"/>
      <c r="I21" s="373" t="s">
        <v>1501</v>
      </c>
      <c r="J21" s="374" t="s">
        <v>9</v>
      </c>
      <c r="K21" s="592">
        <v>1</v>
      </c>
      <c r="L21" s="592"/>
    </row>
    <row r="22" spans="1:12" ht="6.75" customHeight="1">
      <c r="B22" s="363"/>
      <c r="C22" s="360"/>
      <c r="D22" s="371"/>
      <c r="E22" s="371"/>
      <c r="F22" s="196"/>
      <c r="G22" s="350"/>
      <c r="J22" s="360"/>
      <c r="K22" s="371"/>
      <c r="L22" s="371"/>
    </row>
    <row r="23" spans="1:12" ht="16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368"/>
    </row>
    <row r="27" spans="1:12">
      <c r="D27" s="36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Normal="100" workbookViewId="0">
      <selection activeCell="L24" sqref="L24"/>
    </sheetView>
  </sheetViews>
  <sheetFormatPr baseColWidth="10" defaultColWidth="9.1640625" defaultRowHeight="15"/>
  <cols>
    <col min="1" max="1" width="1.33203125" style="210" customWidth="1"/>
    <col min="2" max="2" width="25.1640625" style="210" customWidth="1"/>
    <col min="3" max="3" width="3.33203125" style="210" customWidth="1"/>
    <col min="4" max="4" width="26.33203125" style="224" customWidth="1"/>
    <col min="5" max="5" width="6.5" style="210" customWidth="1"/>
    <col min="6" max="6" width="12" style="210" bestFit="1" customWidth="1"/>
    <col min="7" max="8" width="9.1640625" style="210" hidden="1" customWidth="1"/>
    <col min="9" max="9" width="9.1640625" style="210"/>
    <col min="10" max="10" width="3.83203125" style="210" customWidth="1"/>
    <col min="11" max="11" width="2.6640625" style="210" customWidth="1"/>
    <col min="12" max="16384" width="9.1640625" style="210"/>
  </cols>
  <sheetData>
    <row r="1" spans="2:11" ht="12.75" customHeight="1">
      <c r="B1" s="613"/>
      <c r="C1" s="613"/>
      <c r="D1" s="613"/>
    </row>
    <row r="2" spans="2:11" ht="15.75" customHeight="1">
      <c r="B2" s="211" t="s">
        <v>1417</v>
      </c>
      <c r="C2" s="212"/>
      <c r="D2" s="213"/>
    </row>
    <row r="3" spans="2:11" ht="20" customHeight="1">
      <c r="B3" s="214" t="s">
        <v>1320</v>
      </c>
      <c r="C3" s="215" t="s">
        <v>9</v>
      </c>
      <c r="D3" s="216">
        <v>2022</v>
      </c>
    </row>
    <row r="4" spans="2:11" ht="20" customHeight="1">
      <c r="B4" s="214" t="s">
        <v>1001</v>
      </c>
      <c r="C4" s="215" t="s">
        <v>9</v>
      </c>
      <c r="D4" s="217">
        <v>0.12</v>
      </c>
    </row>
    <row r="5" spans="2:11" ht="20" customHeight="1">
      <c r="B5" s="214" t="s">
        <v>1321</v>
      </c>
      <c r="C5" s="215" t="s">
        <v>9</v>
      </c>
      <c r="D5" s="399">
        <v>1084.1250458865841</v>
      </c>
      <c r="F5" s="395" t="s">
        <v>1580</v>
      </c>
      <c r="K5" s="394"/>
    </row>
    <row r="6" spans="2:11" ht="20" customHeight="1">
      <c r="B6" s="214" t="s">
        <v>1322</v>
      </c>
      <c r="C6" s="215" t="s">
        <v>9</v>
      </c>
      <c r="D6" s="219">
        <v>25</v>
      </c>
      <c r="F6" s="395"/>
    </row>
    <row r="7" spans="2:11" ht="20" customHeight="1">
      <c r="B7" s="214" t="s">
        <v>1323</v>
      </c>
      <c r="C7" s="215" t="s">
        <v>9</v>
      </c>
      <c r="D7" s="220">
        <v>2.2499999999999999E-2</v>
      </c>
    </row>
    <row r="8" spans="2:11" ht="20" customHeight="1">
      <c r="B8" s="214" t="s">
        <v>1418</v>
      </c>
      <c r="C8" s="215" t="s">
        <v>9</v>
      </c>
      <c r="D8" s="221">
        <f>D20-D17</f>
        <v>99.5</v>
      </c>
    </row>
    <row r="9" spans="2:11" ht="20" customHeight="1">
      <c r="B9" s="214" t="s">
        <v>1419</v>
      </c>
      <c r="C9" s="215" t="s">
        <v>9</v>
      </c>
      <c r="D9" s="221">
        <f>(D8*D25)*1000</f>
        <v>93231500</v>
      </c>
    </row>
    <row r="10" spans="2:11" ht="20" customHeight="1">
      <c r="B10" s="214" t="s">
        <v>1420</v>
      </c>
      <c r="C10" s="215" t="s">
        <v>9</v>
      </c>
      <c r="D10" s="221">
        <f ca="1">RAB!K149</f>
        <v>123776980.4261</v>
      </c>
    </row>
    <row r="11" spans="2:11" ht="20" customHeight="1">
      <c r="B11" s="214" t="s">
        <v>1327</v>
      </c>
      <c r="C11" s="215" t="s">
        <v>9</v>
      </c>
      <c r="D11" s="218">
        <f ca="1">2%*D10</f>
        <v>2475539.6085220003</v>
      </c>
    </row>
    <row r="12" spans="2:11" ht="9" customHeight="1">
      <c r="B12" s="614"/>
      <c r="C12" s="614"/>
      <c r="D12" s="614"/>
    </row>
    <row r="13" spans="2:11" ht="15.75" customHeight="1">
      <c r="B13" s="222"/>
      <c r="C13" s="222"/>
      <c r="D13" s="222"/>
    </row>
    <row r="14" spans="2:11" ht="33.75" customHeight="1">
      <c r="B14" s="339" t="s">
        <v>1350</v>
      </c>
      <c r="C14" s="340" t="s">
        <v>9</v>
      </c>
      <c r="D14" s="345" t="s">
        <v>1642</v>
      </c>
      <c r="E14" s="223" t="s">
        <v>1427</v>
      </c>
    </row>
    <row r="15" spans="2:11" ht="20" customHeight="1">
      <c r="B15" s="341" t="s">
        <v>1421</v>
      </c>
      <c r="C15" s="342" t="s">
        <v>9</v>
      </c>
      <c r="D15" s="346" t="s">
        <v>1591</v>
      </c>
      <c r="E15" s="223" t="s">
        <v>1427</v>
      </c>
    </row>
    <row r="16" spans="2:11" ht="20" customHeight="1">
      <c r="B16" s="341" t="s">
        <v>1422</v>
      </c>
      <c r="C16" s="342" t="s">
        <v>9</v>
      </c>
      <c r="D16" s="346" t="s">
        <v>1425</v>
      </c>
      <c r="E16" s="223" t="s">
        <v>1427</v>
      </c>
    </row>
    <row r="17" spans="2:5" ht="20" customHeight="1">
      <c r="B17" s="341" t="s">
        <v>1423</v>
      </c>
      <c r="C17" s="342" t="s">
        <v>9</v>
      </c>
      <c r="D17" s="347">
        <v>5.5</v>
      </c>
      <c r="E17" s="223" t="s">
        <v>1427</v>
      </c>
    </row>
    <row r="18" spans="2:5" ht="20" hidden="1" customHeight="1">
      <c r="B18" s="341" t="s">
        <v>1513</v>
      </c>
      <c r="C18" s="342"/>
      <c r="D18" s="347">
        <f>IF((D17&lt;=11),1,3)</f>
        <v>1</v>
      </c>
      <c r="E18" s="223"/>
    </row>
    <row r="19" spans="2:5" ht="20" hidden="1" customHeight="1">
      <c r="B19" s="341" t="s">
        <v>1514</v>
      </c>
      <c r="C19" s="342"/>
      <c r="D19" s="347">
        <f>IF((D17&lt;=11),220,380)</f>
        <v>220</v>
      </c>
      <c r="E19" s="223"/>
    </row>
    <row r="20" spans="2:5" ht="20" customHeight="1">
      <c r="B20" s="341" t="s">
        <v>1424</v>
      </c>
      <c r="C20" s="342" t="s">
        <v>9</v>
      </c>
      <c r="D20" s="347">
        <v>105</v>
      </c>
      <c r="E20" s="223" t="s">
        <v>1427</v>
      </c>
    </row>
    <row r="21" spans="2:5" ht="20" hidden="1" customHeight="1">
      <c r="B21" s="341" t="s">
        <v>1513</v>
      </c>
      <c r="C21" s="342"/>
      <c r="D21" s="347">
        <f>IF((D20&lt;=11),1,3)</f>
        <v>3</v>
      </c>
      <c r="E21" s="223"/>
    </row>
    <row r="22" spans="2:5" ht="20" hidden="1" customHeight="1">
      <c r="B22" s="341" t="s">
        <v>1514</v>
      </c>
      <c r="C22" s="342"/>
      <c r="D22" s="347">
        <f>IF((D20&lt;=11),220,380)</f>
        <v>380</v>
      </c>
      <c r="E22" s="223"/>
    </row>
    <row r="23" spans="2:5" ht="20" customHeight="1">
      <c r="B23" s="341" t="s">
        <v>1324</v>
      </c>
      <c r="C23" s="342" t="s">
        <v>9</v>
      </c>
      <c r="D23" s="346">
        <v>1444.7</v>
      </c>
      <c r="E23" s="223" t="s">
        <v>1427</v>
      </c>
    </row>
    <row r="24" spans="2:5" ht="20" customHeight="1">
      <c r="B24" s="341" t="s">
        <v>1325</v>
      </c>
      <c r="C24" s="342" t="s">
        <v>9</v>
      </c>
      <c r="D24" s="346">
        <v>1444.7</v>
      </c>
      <c r="E24" s="223" t="s">
        <v>1427</v>
      </c>
    </row>
    <row r="25" spans="2:5" ht="20" customHeight="1">
      <c r="B25" s="341" t="s">
        <v>1426</v>
      </c>
      <c r="C25" s="342" t="s">
        <v>9</v>
      </c>
      <c r="D25" s="347">
        <v>937</v>
      </c>
      <c r="E25" s="223" t="s">
        <v>1427</v>
      </c>
    </row>
    <row r="26" spans="2:5" ht="20" customHeight="1">
      <c r="B26" s="343" t="s">
        <v>1326</v>
      </c>
      <c r="C26" s="344" t="s">
        <v>9</v>
      </c>
      <c r="D26" s="348">
        <v>40</v>
      </c>
      <c r="E26" s="223" t="s">
        <v>1427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E1" zoomScale="85" zoomScaleNormal="85" workbookViewId="0">
      <pane ySplit="6" topLeftCell="A27" activePane="bottomLeft" state="frozen"/>
      <selection activeCell="H1093" sqref="H1093"/>
      <selection pane="bottomLeft" activeCell="C8" sqref="C8"/>
    </sheetView>
  </sheetViews>
  <sheetFormatPr baseColWidth="10" defaultColWidth="9.1640625" defaultRowHeight="15"/>
  <cols>
    <col min="1" max="1" width="5" style="225" customWidth="1"/>
    <col min="2" max="2" width="6.33203125" style="225" customWidth="1"/>
    <col min="3" max="3" width="15.1640625" style="225" customWidth="1"/>
    <col min="4" max="4" width="15" style="225" customWidth="1"/>
    <col min="5" max="5" width="15.1640625" style="225" bestFit="1" customWidth="1"/>
    <col min="6" max="6" width="12.1640625" style="225" bestFit="1" customWidth="1"/>
    <col min="7" max="7" width="10" style="225" bestFit="1" customWidth="1"/>
    <col min="8" max="8" width="15.5" style="225" bestFit="1" customWidth="1"/>
    <col min="9" max="9" width="14.1640625" style="225" bestFit="1" customWidth="1"/>
    <col min="10" max="10" width="13.83203125" style="225" bestFit="1" customWidth="1"/>
    <col min="11" max="11" width="15.5" style="225" customWidth="1"/>
    <col min="12" max="12" width="11.1640625" style="225" bestFit="1" customWidth="1"/>
    <col min="13" max="13" width="13.83203125" style="225" bestFit="1" customWidth="1"/>
    <col min="14" max="14" width="12.83203125" style="225" bestFit="1" customWidth="1"/>
    <col min="15" max="15" width="7" style="225" customWidth="1"/>
    <col min="16" max="17" width="12.83203125" style="225" bestFit="1" customWidth="1"/>
    <col min="18" max="18" width="1.33203125" style="225" hidden="1" customWidth="1"/>
    <col min="19" max="19" width="3" style="227" hidden="1" customWidth="1"/>
    <col min="20" max="16384" width="9.1640625" style="225"/>
  </cols>
  <sheetData>
    <row r="1" spans="1:21">
      <c r="G1" s="226"/>
    </row>
    <row r="2" spans="1:21">
      <c r="G2" s="226"/>
      <c r="K2" s="226"/>
    </row>
    <row r="3" spans="1:21">
      <c r="B3" s="621" t="s">
        <v>1328</v>
      </c>
      <c r="C3" s="621"/>
      <c r="D3" s="621"/>
      <c r="E3" s="621"/>
      <c r="F3" s="228" t="str">
        <f>DATA!D14</f>
        <v>PT. EDOKY NUSA LESTARI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" customHeight="1">
      <c r="B5" s="615" t="s">
        <v>1320</v>
      </c>
      <c r="C5" s="615" t="s">
        <v>1329</v>
      </c>
      <c r="D5" s="620" t="s">
        <v>1330</v>
      </c>
      <c r="E5" s="620" t="s">
        <v>1331</v>
      </c>
      <c r="F5" s="615" t="s">
        <v>1332</v>
      </c>
      <c r="G5" s="615"/>
      <c r="H5" s="615"/>
      <c r="I5" s="615"/>
      <c r="J5" s="615"/>
      <c r="K5" s="615" t="s">
        <v>1333</v>
      </c>
      <c r="L5" s="615"/>
      <c r="M5" s="230"/>
      <c r="N5" s="618" t="s">
        <v>1334</v>
      </c>
      <c r="O5" s="620" t="s">
        <v>1335</v>
      </c>
      <c r="P5" s="620" t="s">
        <v>1336</v>
      </c>
      <c r="Q5" s="620" t="s">
        <v>1337</v>
      </c>
      <c r="R5" s="231"/>
      <c r="S5" s="232"/>
      <c r="T5" s="616" t="s">
        <v>1338</v>
      </c>
      <c r="U5" s="233"/>
    </row>
    <row r="6" spans="1:21" ht="20" customHeight="1">
      <c r="B6" s="615"/>
      <c r="C6" s="615"/>
      <c r="D6" s="615"/>
      <c r="E6" s="615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19"/>
      <c r="O6" s="615"/>
      <c r="P6" s="615"/>
      <c r="Q6" s="615"/>
      <c r="R6" s="231"/>
      <c r="S6" s="232"/>
      <c r="T6" s="615"/>
      <c r="U6" s="235"/>
    </row>
    <row r="7" spans="1:21" ht="20" customHeight="1">
      <c r="A7" s="236">
        <v>0</v>
      </c>
      <c r="B7" s="237">
        <v>2023</v>
      </c>
      <c r="C7" s="389">
        <f>DATA!D8*DATA!D26*8</f>
        <v>31840</v>
      </c>
      <c r="D7" s="239">
        <f>C7*4/24</f>
        <v>5306.666666666667</v>
      </c>
      <c r="E7" s="239">
        <f>C7-D7</f>
        <v>26533.333333333332</v>
      </c>
      <c r="F7" s="240">
        <f ca="1">DATA!D10/1000000</f>
        <v>123.7769804261</v>
      </c>
      <c r="G7" s="241">
        <f ca="1">DATA!$D$11/1000000</f>
        <v>2.4755396085220003</v>
      </c>
      <c r="H7" s="241">
        <f>C7*DATA!$D$5/1000000</f>
        <v>34.518541461028839</v>
      </c>
      <c r="I7" s="241">
        <f>(C7*DATA!$D$5*DATA!$D$7)/1000000</f>
        <v>0.77666718287314884</v>
      </c>
      <c r="J7" s="239">
        <f ca="1">SUM(F7:I7)</f>
        <v>161.54772867852398</v>
      </c>
      <c r="K7" s="242">
        <f>DATA!D9/1000000</f>
        <v>93.231499999999997</v>
      </c>
      <c r="L7" s="239">
        <f>((D7*DATA!$D$23)/1000000)+((E7*DATA!$D$24)/1000000)</f>
        <v>45.999248000000001</v>
      </c>
      <c r="M7" s="239">
        <f>K7+L7</f>
        <v>139.23074800000001</v>
      </c>
      <c r="N7" s="239">
        <f ca="1">M7-J7</f>
        <v>-22.316980678523976</v>
      </c>
      <c r="O7" s="237">
        <v>1</v>
      </c>
      <c r="P7" s="239">
        <f ca="1">O7*N7</f>
        <v>-22.316980678523976</v>
      </c>
      <c r="Q7" s="239">
        <f ca="1">P7</f>
        <v>-22.316980678523976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" customHeight="1">
      <c r="A8" s="236">
        <f>A7+1</f>
        <v>1</v>
      </c>
      <c r="B8" s="237">
        <f>B7+1</f>
        <v>2024</v>
      </c>
      <c r="C8" s="238">
        <f>DATA!D8*DATA!D26*12</f>
        <v>47760</v>
      </c>
      <c r="D8" s="239">
        <f>C8*4/24</f>
        <v>7960</v>
      </c>
      <c r="E8" s="239">
        <f t="shared" ref="E8:E32" si="0">C8-D8</f>
        <v>39800</v>
      </c>
      <c r="F8" s="237"/>
      <c r="G8" s="241">
        <f ca="1">DATA!$D$11/1000000</f>
        <v>2.4755396085220003</v>
      </c>
      <c r="H8" s="241">
        <f>C8*DATA!$D$5/1000000</f>
        <v>51.777812191543262</v>
      </c>
      <c r="I8" s="241">
        <f>(C8*DATA!$D$5*DATA!$D$7)/1000000</f>
        <v>1.1650007743097233</v>
      </c>
      <c r="J8" s="239">
        <f t="shared" ref="J8:J32" ca="1" si="1">SUM(F8:I8)</f>
        <v>55.418352574374985</v>
      </c>
      <c r="K8" s="244"/>
      <c r="L8" s="239">
        <f>((D8*DATA!$D$23)/1000000)+((E8*DATA!$D$24)/1000000)</f>
        <v>68.998872000000006</v>
      </c>
      <c r="M8" s="239">
        <f t="shared" ref="M8:M32" si="2">K8+L8</f>
        <v>68.998872000000006</v>
      </c>
      <c r="N8" s="239">
        <f ca="1">M8-J8</f>
        <v>13.58051942562502</v>
      </c>
      <c r="O8" s="238">
        <f>1/(1+'[92]Asumsi I'!$C$3)^(KKF!A8)</f>
        <v>0.89285714285714279</v>
      </c>
      <c r="P8" s="239">
        <f ca="1">O8*N8</f>
        <v>12.125463772879481</v>
      </c>
      <c r="Q8" s="239">
        <f ca="1">Q7+P8</f>
        <v>-10.191516905644495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" customHeight="1">
      <c r="A9" s="236">
        <f t="shared" ref="A9:B24" si="4">A8+1</f>
        <v>2</v>
      </c>
      <c r="B9" s="237">
        <f t="shared" si="4"/>
        <v>2025</v>
      </c>
      <c r="C9" s="245">
        <f>+C8</f>
        <v>47760</v>
      </c>
      <c r="D9" s="239">
        <f t="shared" ref="D9:D32" si="5">C9*4/24</f>
        <v>7960</v>
      </c>
      <c r="E9" s="239">
        <f t="shared" si="0"/>
        <v>39800</v>
      </c>
      <c r="F9" s="237"/>
      <c r="G9" s="241">
        <f ca="1">DATA!$D$11/1000000</f>
        <v>2.4755396085220003</v>
      </c>
      <c r="H9" s="241">
        <f>C9*DATA!$D$5/1000000</f>
        <v>51.777812191543262</v>
      </c>
      <c r="I9" s="241">
        <f>(C9*DATA!$D$5*DATA!$D$7)/1000000</f>
        <v>1.1650007743097233</v>
      </c>
      <c r="J9" s="239">
        <f t="shared" ca="1" si="1"/>
        <v>55.418352574374985</v>
      </c>
      <c r="K9" s="239"/>
      <c r="L9" s="239">
        <f>((D9*DATA!$D$23)/1000000)+((E9*DATA!$D$24)/1000000)</f>
        <v>68.998872000000006</v>
      </c>
      <c r="M9" s="239">
        <f t="shared" si="2"/>
        <v>68.998872000000006</v>
      </c>
      <c r="N9" s="239">
        <f t="shared" ref="N9:N32" ca="1" si="6">M9-J9</f>
        <v>13.58051942562502</v>
      </c>
      <c r="O9" s="245">
        <f>1/(1+'[92]Asumsi I'!$C$3)^(KKF!A9)</f>
        <v>0.79719387755102034</v>
      </c>
      <c r="P9" s="239">
        <f t="shared" ref="P9:P32" ca="1" si="7">O9*N9</f>
        <v>10.826306940070966</v>
      </c>
      <c r="Q9" s="239">
        <f ca="1">Q8+P9</f>
        <v>0.63479003442647119</v>
      </c>
      <c r="S9" s="227" t="str">
        <f t="shared" ca="1" si="3"/>
        <v/>
      </c>
      <c r="T9" s="243">
        <f ca="1">IF(Q7&gt;=0,"",IF(Q9&lt;0,"",IF(Q9=0,A9,(A9-(Q9/N9)))))</f>
        <v>1.9532573081682951</v>
      </c>
      <c r="U9" s="227"/>
    </row>
    <row r="10" spans="1:21" ht="20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47760</v>
      </c>
      <c r="D10" s="239">
        <f t="shared" si="5"/>
        <v>7960</v>
      </c>
      <c r="E10" s="239">
        <f t="shared" si="0"/>
        <v>39800</v>
      </c>
      <c r="F10" s="237"/>
      <c r="G10" s="241">
        <f ca="1">DATA!$D$11/1000000</f>
        <v>2.4755396085220003</v>
      </c>
      <c r="H10" s="241">
        <f>C10*DATA!$D$5/1000000</f>
        <v>51.777812191543262</v>
      </c>
      <c r="I10" s="241">
        <f>(C10*DATA!$D$5*DATA!$D$7)/1000000</f>
        <v>1.1650007743097233</v>
      </c>
      <c r="J10" s="239">
        <f t="shared" ca="1" si="1"/>
        <v>55.418352574374985</v>
      </c>
      <c r="K10" s="237"/>
      <c r="L10" s="239">
        <f>((D10*DATA!$D$23)/1000000)+((E10*DATA!$D$24)/1000000)</f>
        <v>68.998872000000006</v>
      </c>
      <c r="M10" s="239">
        <f t="shared" si="2"/>
        <v>68.998872000000006</v>
      </c>
      <c r="N10" s="239">
        <f t="shared" ca="1" si="6"/>
        <v>13.58051942562502</v>
      </c>
      <c r="O10" s="238">
        <f>1/(1+'[92]Asumsi I'!$C$3)^(KKF!A10)</f>
        <v>0.71178024781341087</v>
      </c>
      <c r="P10" s="239">
        <f t="shared" ca="1" si="7"/>
        <v>9.6663454822062178</v>
      </c>
      <c r="Q10" s="239">
        <f t="shared" ref="Q10:Q30" ca="1" si="9">Q9+P10</f>
        <v>10.301135516632689</v>
      </c>
      <c r="S10" s="227" t="str">
        <f t="shared" ca="1" si="3"/>
        <v/>
      </c>
      <c r="T10" s="243">
        <f t="shared" ref="T10:T32" ca="1" si="10">IF(Q8&gt;=0,"",IF(Q10&lt;0,"",IF(Q10=0,A10,(A10-(Q10/N10)))))</f>
        <v>2.2414770603548844</v>
      </c>
      <c r="U10" s="227"/>
    </row>
    <row r="11" spans="1:21" ht="20" customHeight="1">
      <c r="A11" s="236">
        <f t="shared" si="4"/>
        <v>4</v>
      </c>
      <c r="B11" s="237">
        <f t="shared" si="4"/>
        <v>2027</v>
      </c>
      <c r="C11" s="238">
        <f>+C10</f>
        <v>47760</v>
      </c>
      <c r="D11" s="239">
        <f t="shared" si="5"/>
        <v>7960</v>
      </c>
      <c r="E11" s="239">
        <f t="shared" si="0"/>
        <v>39800</v>
      </c>
      <c r="F11" s="237"/>
      <c r="G11" s="241">
        <f ca="1">DATA!$D$11/1000000</f>
        <v>2.4755396085220003</v>
      </c>
      <c r="H11" s="241">
        <f>C11*DATA!$D$5/1000000</f>
        <v>51.777812191543262</v>
      </c>
      <c r="I11" s="241">
        <f>(C11*DATA!$D$5*DATA!$D$7)/1000000</f>
        <v>1.1650007743097233</v>
      </c>
      <c r="J11" s="239">
        <f t="shared" ca="1" si="1"/>
        <v>55.418352574374985</v>
      </c>
      <c r="K11" s="237"/>
      <c r="L11" s="239">
        <f>((D11*DATA!$D$23)/1000000)+((E11*DATA!$D$24)/1000000)</f>
        <v>68.998872000000006</v>
      </c>
      <c r="M11" s="239">
        <f t="shared" si="2"/>
        <v>68.998872000000006</v>
      </c>
      <c r="N11" s="239">
        <f t="shared" ca="1" si="6"/>
        <v>13.58051942562502</v>
      </c>
      <c r="O11" s="238">
        <f>1/(1+'[92]Asumsi I'!$C$3)^(KKF!A11)</f>
        <v>0.63551807840483121</v>
      </c>
      <c r="P11" s="239">
        <f t="shared" ca="1" si="7"/>
        <v>8.630665609112695</v>
      </c>
      <c r="Q11" s="239">
        <f t="shared" ca="1" si="9"/>
        <v>18.931801125745384</v>
      </c>
      <c r="S11" s="227" t="str">
        <f t="shared" ca="1" si="3"/>
        <v/>
      </c>
      <c r="T11" s="243" t="str">
        <f t="shared" ca="1" si="10"/>
        <v/>
      </c>
      <c r="U11" s="227"/>
    </row>
    <row r="12" spans="1:21" ht="20" customHeight="1">
      <c r="A12" s="236">
        <f t="shared" si="4"/>
        <v>5</v>
      </c>
      <c r="B12" s="237">
        <f t="shared" si="4"/>
        <v>2028</v>
      </c>
      <c r="C12" s="238">
        <f t="shared" si="8"/>
        <v>47760</v>
      </c>
      <c r="D12" s="239">
        <f t="shared" si="5"/>
        <v>7960</v>
      </c>
      <c r="E12" s="239">
        <f t="shared" si="0"/>
        <v>39800</v>
      </c>
      <c r="F12" s="237"/>
      <c r="G12" s="241">
        <f ca="1">DATA!$D$11/1000000</f>
        <v>2.4755396085220003</v>
      </c>
      <c r="H12" s="241">
        <f>C12*DATA!$D$5/1000000</f>
        <v>51.777812191543262</v>
      </c>
      <c r="I12" s="241">
        <f>(C12*DATA!$D$5*DATA!$D$7)/1000000</f>
        <v>1.1650007743097233</v>
      </c>
      <c r="J12" s="239">
        <f t="shared" ca="1" si="1"/>
        <v>55.418352574374985</v>
      </c>
      <c r="K12" s="237"/>
      <c r="L12" s="239">
        <f>((D12*DATA!$D$23)/1000000)+((E12*DATA!$D$24)/1000000)</f>
        <v>68.998872000000006</v>
      </c>
      <c r="M12" s="239">
        <f t="shared" si="2"/>
        <v>68.998872000000006</v>
      </c>
      <c r="N12" s="239">
        <f t="shared" ca="1" si="6"/>
        <v>13.58051942562502</v>
      </c>
      <c r="O12" s="238">
        <f>1/(1+'[92]Asumsi I'!$C$3)^(KKF!A12)</f>
        <v>0.56742685571859919</v>
      </c>
      <c r="P12" s="239">
        <f t="shared" ca="1" si="7"/>
        <v>7.7059514367077622</v>
      </c>
      <c r="Q12" s="239">
        <f t="shared" ca="1" si="9"/>
        <v>26.637752562453144</v>
      </c>
      <c r="S12" s="227" t="str">
        <f t="shared" ca="1" si="3"/>
        <v/>
      </c>
      <c r="T12" s="243" t="str">
        <f t="shared" ca="1" si="10"/>
        <v/>
      </c>
      <c r="U12" s="227"/>
    </row>
    <row r="13" spans="1:21" ht="20" customHeight="1">
      <c r="A13" s="236">
        <f t="shared" si="4"/>
        <v>6</v>
      </c>
      <c r="B13" s="237">
        <f t="shared" si="4"/>
        <v>2029</v>
      </c>
      <c r="C13" s="238">
        <f t="shared" si="8"/>
        <v>47760</v>
      </c>
      <c r="D13" s="239">
        <f t="shared" si="5"/>
        <v>7960</v>
      </c>
      <c r="E13" s="239">
        <f t="shared" si="0"/>
        <v>39800</v>
      </c>
      <c r="F13" s="237"/>
      <c r="G13" s="241">
        <f ca="1">DATA!$D$11/1000000</f>
        <v>2.4755396085220003</v>
      </c>
      <c r="H13" s="241">
        <f>C13*DATA!$D$5/1000000</f>
        <v>51.777812191543262</v>
      </c>
      <c r="I13" s="241">
        <f>(C13*DATA!$D$5*DATA!$D$7)/1000000</f>
        <v>1.1650007743097233</v>
      </c>
      <c r="J13" s="239">
        <f t="shared" ca="1" si="1"/>
        <v>55.418352574374985</v>
      </c>
      <c r="K13" s="237"/>
      <c r="L13" s="239">
        <f>((D13*DATA!$D$23)/1000000)+((E13*DATA!$D$24)/1000000)</f>
        <v>68.998872000000006</v>
      </c>
      <c r="M13" s="239">
        <f t="shared" si="2"/>
        <v>68.998872000000006</v>
      </c>
      <c r="N13" s="239">
        <f t="shared" ca="1" si="6"/>
        <v>13.58051942562502</v>
      </c>
      <c r="O13" s="238">
        <f>1/(1+'[92]Asumsi I'!$C$3)^(KKF!A13)</f>
        <v>0.50663112117732068</v>
      </c>
      <c r="P13" s="239">
        <f t="shared" ca="1" si="7"/>
        <v>6.8803137827747873</v>
      </c>
      <c r="Q13" s="239">
        <f t="shared" ca="1" si="9"/>
        <v>33.518066345227929</v>
      </c>
      <c r="S13" s="227" t="str">
        <f t="shared" ca="1" si="3"/>
        <v/>
      </c>
      <c r="T13" s="243" t="str">
        <f t="shared" ca="1" si="10"/>
        <v/>
      </c>
      <c r="U13" s="227"/>
    </row>
    <row r="14" spans="1:21" ht="20" customHeight="1">
      <c r="A14" s="236">
        <f t="shared" si="4"/>
        <v>7</v>
      </c>
      <c r="B14" s="237">
        <f t="shared" si="4"/>
        <v>2030</v>
      </c>
      <c r="C14" s="238">
        <f t="shared" si="8"/>
        <v>47760</v>
      </c>
      <c r="D14" s="239">
        <f t="shared" si="5"/>
        <v>7960</v>
      </c>
      <c r="E14" s="239">
        <f t="shared" si="0"/>
        <v>39800</v>
      </c>
      <c r="F14" s="237"/>
      <c r="G14" s="241">
        <f ca="1">DATA!$D$11/1000000</f>
        <v>2.4755396085220003</v>
      </c>
      <c r="H14" s="241">
        <f>C14*DATA!$D$5/1000000</f>
        <v>51.777812191543262</v>
      </c>
      <c r="I14" s="241">
        <f>(C14*DATA!$D$5*DATA!$D$7)/1000000</f>
        <v>1.1650007743097233</v>
      </c>
      <c r="J14" s="239">
        <f t="shared" ca="1" si="1"/>
        <v>55.418352574374985</v>
      </c>
      <c r="K14" s="237"/>
      <c r="L14" s="239">
        <f>((D14*DATA!$D$23)/1000000)+((E14*DATA!$D$24)/1000000)</f>
        <v>68.998872000000006</v>
      </c>
      <c r="M14" s="239">
        <f t="shared" si="2"/>
        <v>68.998872000000006</v>
      </c>
      <c r="N14" s="239">
        <f t="shared" ca="1" si="6"/>
        <v>13.58051942562502</v>
      </c>
      <c r="O14" s="238">
        <f>1/(1+'[92]Asumsi I'!$C$3)^(KKF!A14)</f>
        <v>0.45234921533689343</v>
      </c>
      <c r="P14" s="239">
        <f t="shared" ca="1" si="7"/>
        <v>6.1431373060489163</v>
      </c>
      <c r="Q14" s="239">
        <f t="shared" ca="1" si="9"/>
        <v>39.661203651276843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" customHeight="1">
      <c r="A15" s="236">
        <f t="shared" si="4"/>
        <v>8</v>
      </c>
      <c r="B15" s="237">
        <f t="shared" si="4"/>
        <v>2031</v>
      </c>
      <c r="C15" s="238">
        <f t="shared" si="8"/>
        <v>47760</v>
      </c>
      <c r="D15" s="239">
        <f t="shared" si="5"/>
        <v>7960</v>
      </c>
      <c r="E15" s="239">
        <f t="shared" si="0"/>
        <v>39800</v>
      </c>
      <c r="F15" s="237"/>
      <c r="G15" s="241">
        <f ca="1">DATA!$D$11/1000000</f>
        <v>2.4755396085220003</v>
      </c>
      <c r="H15" s="241">
        <f>C15*DATA!$D$5/1000000</f>
        <v>51.777812191543262</v>
      </c>
      <c r="I15" s="241">
        <f>(C15*DATA!$D$5*DATA!$D$7)/1000000</f>
        <v>1.1650007743097233</v>
      </c>
      <c r="J15" s="239">
        <f t="shared" ca="1" si="1"/>
        <v>55.418352574374985</v>
      </c>
      <c r="K15" s="237"/>
      <c r="L15" s="239">
        <f>((D15*DATA!$D$23)/1000000)+((E15*DATA!$D$24)/1000000)</f>
        <v>68.998872000000006</v>
      </c>
      <c r="M15" s="239">
        <f t="shared" si="2"/>
        <v>68.998872000000006</v>
      </c>
      <c r="N15" s="239">
        <f t="shared" ca="1" si="6"/>
        <v>13.58051942562502</v>
      </c>
      <c r="O15" s="238">
        <f>1/(1+'[92]Asumsi I'!$C$3)^(KKF!A15)</f>
        <v>0.4038832279793691</v>
      </c>
      <c r="P15" s="239">
        <f t="shared" ca="1" si="7"/>
        <v>5.4849440232579605</v>
      </c>
      <c r="Q15" s="239">
        <f t="shared" ca="1" si="9"/>
        <v>45.146147674534802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" customHeight="1">
      <c r="A16" s="236">
        <f t="shared" si="4"/>
        <v>9</v>
      </c>
      <c r="B16" s="237">
        <f t="shared" si="4"/>
        <v>2032</v>
      </c>
      <c r="C16" s="238">
        <f t="shared" si="8"/>
        <v>47760</v>
      </c>
      <c r="D16" s="239">
        <f t="shared" si="5"/>
        <v>7960</v>
      </c>
      <c r="E16" s="239">
        <f t="shared" si="0"/>
        <v>39800</v>
      </c>
      <c r="F16" s="237"/>
      <c r="G16" s="241">
        <f ca="1">DATA!$D$11/1000000</f>
        <v>2.4755396085220003</v>
      </c>
      <c r="H16" s="241">
        <f>C16*DATA!$D$5/1000000</f>
        <v>51.777812191543262</v>
      </c>
      <c r="I16" s="241">
        <f>(C16*DATA!$D$5*DATA!$D$7)/1000000</f>
        <v>1.1650007743097233</v>
      </c>
      <c r="J16" s="239">
        <f t="shared" ca="1" si="1"/>
        <v>55.418352574374985</v>
      </c>
      <c r="K16" s="237"/>
      <c r="L16" s="239">
        <f>((D16*DATA!$D$23)/1000000)+((E16*DATA!$D$24)/1000000)</f>
        <v>68.998872000000006</v>
      </c>
      <c r="M16" s="239">
        <f t="shared" si="2"/>
        <v>68.998872000000006</v>
      </c>
      <c r="N16" s="239">
        <f t="shared" ca="1" si="6"/>
        <v>13.58051942562502</v>
      </c>
      <c r="O16" s="238">
        <f>1/(1+'[92]Asumsi I'!$C$3)^(KKF!A16)</f>
        <v>0.36061002498157957</v>
      </c>
      <c r="P16" s="239">
        <f t="shared" ca="1" si="7"/>
        <v>4.8972714493374649</v>
      </c>
      <c r="Q16" s="239">
        <f t="shared" ca="1" si="9"/>
        <v>50.043419123872269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" customHeight="1">
      <c r="A17" s="236">
        <f t="shared" si="4"/>
        <v>10</v>
      </c>
      <c r="B17" s="237">
        <f t="shared" si="4"/>
        <v>2033</v>
      </c>
      <c r="C17" s="238">
        <f t="shared" si="8"/>
        <v>47760</v>
      </c>
      <c r="D17" s="239">
        <f t="shared" si="5"/>
        <v>7960</v>
      </c>
      <c r="E17" s="239">
        <f t="shared" si="0"/>
        <v>39800</v>
      </c>
      <c r="F17" s="237"/>
      <c r="G17" s="241">
        <f ca="1">DATA!$D$11/1000000</f>
        <v>2.4755396085220003</v>
      </c>
      <c r="H17" s="241">
        <f>C17*DATA!$D$5/1000000</f>
        <v>51.777812191543262</v>
      </c>
      <c r="I17" s="241">
        <f>(C17*DATA!$D$5*DATA!$D$7)/1000000</f>
        <v>1.1650007743097233</v>
      </c>
      <c r="J17" s="239">
        <f t="shared" ca="1" si="1"/>
        <v>55.418352574374985</v>
      </c>
      <c r="K17" s="237"/>
      <c r="L17" s="239">
        <f>((D17*DATA!$D$23)/1000000)+((E17*DATA!$D$24)/1000000)</f>
        <v>68.998872000000006</v>
      </c>
      <c r="M17" s="239">
        <f t="shared" si="2"/>
        <v>68.998872000000006</v>
      </c>
      <c r="N17" s="239">
        <f t="shared" ca="1" si="6"/>
        <v>13.58051942562502</v>
      </c>
      <c r="O17" s="238">
        <f>1/(1+'[92]Asumsi I'!$C$3)^(KKF!A17)</f>
        <v>0.32197323659069599</v>
      </c>
      <c r="P17" s="239">
        <f t="shared" ca="1" si="7"/>
        <v>4.3725637940513078</v>
      </c>
      <c r="Q17" s="239">
        <f t="shared" ca="1" si="9"/>
        <v>54.415982917923579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" customHeight="1">
      <c r="A18" s="236">
        <f t="shared" si="4"/>
        <v>11</v>
      </c>
      <c r="B18" s="237">
        <f t="shared" si="4"/>
        <v>2034</v>
      </c>
      <c r="C18" s="238">
        <f t="shared" si="8"/>
        <v>47760</v>
      </c>
      <c r="D18" s="239">
        <f t="shared" si="5"/>
        <v>7960</v>
      </c>
      <c r="E18" s="239">
        <f t="shared" si="0"/>
        <v>39800</v>
      </c>
      <c r="F18" s="237"/>
      <c r="G18" s="241">
        <f ca="1">DATA!$D$11/1000000</f>
        <v>2.4755396085220003</v>
      </c>
      <c r="H18" s="241">
        <f>C18*DATA!$D$5/1000000</f>
        <v>51.777812191543262</v>
      </c>
      <c r="I18" s="241">
        <f>(C18*DATA!$D$5*DATA!$D$7)/1000000</f>
        <v>1.1650007743097233</v>
      </c>
      <c r="J18" s="239">
        <f t="shared" ca="1" si="1"/>
        <v>55.418352574374985</v>
      </c>
      <c r="K18" s="237"/>
      <c r="L18" s="239">
        <f>((D18*DATA!$D$23)/1000000)+((E18*DATA!$D$24)/1000000)</f>
        <v>68.998872000000006</v>
      </c>
      <c r="M18" s="239">
        <f t="shared" si="2"/>
        <v>68.998872000000006</v>
      </c>
      <c r="N18" s="239">
        <f t="shared" ca="1" si="6"/>
        <v>13.58051942562502</v>
      </c>
      <c r="O18" s="238">
        <f>1/(1+'[92]Asumsi I'!$C$3)^(KKF!A18)</f>
        <v>0.28747610409883567</v>
      </c>
      <c r="P18" s="239">
        <f t="shared" ca="1" si="7"/>
        <v>3.9040748161172383</v>
      </c>
      <c r="Q18" s="239">
        <f t="shared" ca="1" si="9"/>
        <v>58.320057734040816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" customHeight="1">
      <c r="A19" s="236">
        <f t="shared" si="4"/>
        <v>12</v>
      </c>
      <c r="B19" s="237">
        <f t="shared" si="4"/>
        <v>2035</v>
      </c>
      <c r="C19" s="238">
        <f t="shared" si="8"/>
        <v>47760</v>
      </c>
      <c r="D19" s="239">
        <f t="shared" si="5"/>
        <v>7960</v>
      </c>
      <c r="E19" s="239">
        <f t="shared" si="0"/>
        <v>39800</v>
      </c>
      <c r="F19" s="237"/>
      <c r="G19" s="241">
        <f ca="1">DATA!$D$11/1000000</f>
        <v>2.4755396085220003</v>
      </c>
      <c r="H19" s="241">
        <f>C19*DATA!$D$5/1000000</f>
        <v>51.777812191543262</v>
      </c>
      <c r="I19" s="241">
        <f>(C19*DATA!$D$5*DATA!$D$7)/1000000</f>
        <v>1.1650007743097233</v>
      </c>
      <c r="J19" s="239">
        <f t="shared" ca="1" si="1"/>
        <v>55.418352574374985</v>
      </c>
      <c r="K19" s="237"/>
      <c r="L19" s="239">
        <f>((D19*DATA!$D$23)/1000000)+((E19*DATA!$D$24)/1000000)</f>
        <v>68.998872000000006</v>
      </c>
      <c r="M19" s="239">
        <f t="shared" si="2"/>
        <v>68.998872000000006</v>
      </c>
      <c r="N19" s="239">
        <f t="shared" ca="1" si="6"/>
        <v>13.58051942562502</v>
      </c>
      <c r="O19" s="238">
        <f>1/(1+'[92]Asumsi I'!$C$3)^(KKF!A19)</f>
        <v>0.25667509294538904</v>
      </c>
      <c r="P19" s="239">
        <f t="shared" ca="1" si="7"/>
        <v>3.4857810858189633</v>
      </c>
      <c r="Q19" s="239">
        <f t="shared" ca="1" si="9"/>
        <v>61.80583881985978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" customHeight="1">
      <c r="A20" s="236">
        <f t="shared" si="4"/>
        <v>13</v>
      </c>
      <c r="B20" s="237">
        <f t="shared" si="4"/>
        <v>2036</v>
      </c>
      <c r="C20" s="238">
        <f t="shared" si="8"/>
        <v>47760</v>
      </c>
      <c r="D20" s="239">
        <f t="shared" si="5"/>
        <v>7960</v>
      </c>
      <c r="E20" s="239">
        <f t="shared" si="0"/>
        <v>39800</v>
      </c>
      <c r="F20" s="237"/>
      <c r="G20" s="241">
        <f ca="1">DATA!$D$11/1000000</f>
        <v>2.4755396085220003</v>
      </c>
      <c r="H20" s="241">
        <f>C20*DATA!$D$5/1000000</f>
        <v>51.777812191543262</v>
      </c>
      <c r="I20" s="241">
        <f>(C20*DATA!$D$5*DATA!$D$7)/1000000</f>
        <v>1.1650007743097233</v>
      </c>
      <c r="J20" s="239">
        <f t="shared" ca="1" si="1"/>
        <v>55.418352574374985</v>
      </c>
      <c r="K20" s="237"/>
      <c r="L20" s="239">
        <f>((D20*DATA!$D$23)/1000000)+((E20*DATA!$D$24)/1000000)</f>
        <v>68.998872000000006</v>
      </c>
      <c r="M20" s="239">
        <f t="shared" si="2"/>
        <v>68.998872000000006</v>
      </c>
      <c r="N20" s="239">
        <f t="shared" ca="1" si="6"/>
        <v>13.58051942562502</v>
      </c>
      <c r="O20" s="238">
        <f>1/(1+'[92]Asumsi I'!$C$3)^(KKF!A20)</f>
        <v>0.22917419012981158</v>
      </c>
      <c r="P20" s="239">
        <f t="shared" ca="1" si="7"/>
        <v>3.112304540909788</v>
      </c>
      <c r="Q20" s="239">
        <f t="shared" ca="1" si="9"/>
        <v>64.918143360769562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" customHeight="1">
      <c r="A21" s="236">
        <f t="shared" si="4"/>
        <v>14</v>
      </c>
      <c r="B21" s="237">
        <f t="shared" si="4"/>
        <v>2037</v>
      </c>
      <c r="C21" s="238">
        <f t="shared" si="8"/>
        <v>47760</v>
      </c>
      <c r="D21" s="239">
        <f t="shared" si="5"/>
        <v>7960</v>
      </c>
      <c r="E21" s="239">
        <f t="shared" si="0"/>
        <v>39800</v>
      </c>
      <c r="F21" s="237"/>
      <c r="G21" s="241">
        <f ca="1">DATA!$D$11/1000000</f>
        <v>2.4755396085220003</v>
      </c>
      <c r="H21" s="241">
        <f>C21*DATA!$D$5/1000000</f>
        <v>51.777812191543262</v>
      </c>
      <c r="I21" s="241">
        <f>(C21*DATA!$D$5*DATA!$D$7)/1000000</f>
        <v>1.1650007743097233</v>
      </c>
      <c r="J21" s="239">
        <f t="shared" ca="1" si="1"/>
        <v>55.418352574374985</v>
      </c>
      <c r="K21" s="237"/>
      <c r="L21" s="239">
        <f>((D21*DATA!$D$23)/1000000)+((E21*DATA!$D$24)/1000000)</f>
        <v>68.998872000000006</v>
      </c>
      <c r="M21" s="239">
        <f t="shared" si="2"/>
        <v>68.998872000000006</v>
      </c>
      <c r="N21" s="239">
        <f t="shared" ca="1" si="6"/>
        <v>13.58051942562502</v>
      </c>
      <c r="O21" s="238">
        <f>1/(1+'[92]Asumsi I'!$C$3)^(KKF!A21)</f>
        <v>0.20461981261590317</v>
      </c>
      <c r="P21" s="239">
        <f t="shared" ca="1" si="7"/>
        <v>2.7788433400980246</v>
      </c>
      <c r="Q21" s="239">
        <f t="shared" ca="1" si="9"/>
        <v>67.696986700867583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" customHeight="1">
      <c r="A22" s="236">
        <f t="shared" si="4"/>
        <v>15</v>
      </c>
      <c r="B22" s="237">
        <f t="shared" si="4"/>
        <v>2038</v>
      </c>
      <c r="C22" s="238">
        <f t="shared" si="8"/>
        <v>47760</v>
      </c>
      <c r="D22" s="239">
        <f t="shared" si="5"/>
        <v>7960</v>
      </c>
      <c r="E22" s="239">
        <f t="shared" si="0"/>
        <v>39800</v>
      </c>
      <c r="F22" s="237"/>
      <c r="G22" s="241">
        <f ca="1">DATA!$D$11/1000000</f>
        <v>2.4755396085220003</v>
      </c>
      <c r="H22" s="241">
        <f>C22*DATA!$D$5/1000000</f>
        <v>51.777812191543262</v>
      </c>
      <c r="I22" s="241">
        <f>(C22*DATA!$D$5*DATA!$D$7)/1000000</f>
        <v>1.1650007743097233</v>
      </c>
      <c r="J22" s="239">
        <f t="shared" ca="1" si="1"/>
        <v>55.418352574374985</v>
      </c>
      <c r="K22" s="237"/>
      <c r="L22" s="239">
        <f>((D22*DATA!$D$23)/1000000)+((E22*DATA!$D$24)/1000000)</f>
        <v>68.998872000000006</v>
      </c>
      <c r="M22" s="239">
        <f t="shared" si="2"/>
        <v>68.998872000000006</v>
      </c>
      <c r="N22" s="239">
        <f t="shared" ca="1" si="6"/>
        <v>13.58051942562502</v>
      </c>
      <c r="O22" s="238">
        <f>1/(1+'[92]Asumsi I'!$C$3)^(KKF!A22)</f>
        <v>0.18269626126419927</v>
      </c>
      <c r="P22" s="239">
        <f t="shared" ca="1" si="7"/>
        <v>2.4811101250875223</v>
      </c>
      <c r="Q22" s="239">
        <f t="shared" ca="1" si="9"/>
        <v>70.178096825955109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" customHeight="1">
      <c r="A23" s="236">
        <f t="shared" si="4"/>
        <v>16</v>
      </c>
      <c r="B23" s="237">
        <f t="shared" si="4"/>
        <v>2039</v>
      </c>
      <c r="C23" s="238">
        <f t="shared" si="8"/>
        <v>47760</v>
      </c>
      <c r="D23" s="239">
        <f t="shared" si="5"/>
        <v>7960</v>
      </c>
      <c r="E23" s="239">
        <f t="shared" si="0"/>
        <v>39800</v>
      </c>
      <c r="F23" s="237"/>
      <c r="G23" s="241">
        <f ca="1">DATA!$D$11/1000000</f>
        <v>2.4755396085220003</v>
      </c>
      <c r="H23" s="241">
        <f>C23*DATA!$D$5/1000000</f>
        <v>51.777812191543262</v>
      </c>
      <c r="I23" s="241">
        <f>(C23*DATA!$D$5*DATA!$D$7)/1000000</f>
        <v>1.1650007743097233</v>
      </c>
      <c r="J23" s="239">
        <f t="shared" ca="1" si="1"/>
        <v>55.418352574374985</v>
      </c>
      <c r="K23" s="237"/>
      <c r="L23" s="239">
        <f>((D23*DATA!$D$23)/1000000)+((E23*DATA!$D$24)/1000000)</f>
        <v>68.998872000000006</v>
      </c>
      <c r="M23" s="239">
        <f t="shared" si="2"/>
        <v>68.998872000000006</v>
      </c>
      <c r="N23" s="239">
        <f t="shared" ca="1" si="6"/>
        <v>13.58051942562502</v>
      </c>
      <c r="O23" s="238">
        <f>1/(1+'[92]Asumsi I'!$C$3)^(KKF!A23)</f>
        <v>0.16312166184303503</v>
      </c>
      <c r="P23" s="239">
        <f t="shared" ca="1" si="7"/>
        <v>2.2152768973995731</v>
      </c>
      <c r="Q23" s="239">
        <f t="shared" ca="1" si="9"/>
        <v>72.393373723354685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" customHeight="1">
      <c r="A24" s="236">
        <f t="shared" si="4"/>
        <v>17</v>
      </c>
      <c r="B24" s="237">
        <f t="shared" si="4"/>
        <v>2040</v>
      </c>
      <c r="C24" s="238">
        <f t="shared" si="8"/>
        <v>47760</v>
      </c>
      <c r="D24" s="239">
        <f t="shared" si="5"/>
        <v>7960</v>
      </c>
      <c r="E24" s="239">
        <f t="shared" si="0"/>
        <v>39800</v>
      </c>
      <c r="F24" s="237"/>
      <c r="G24" s="241">
        <f ca="1">DATA!$D$11/1000000</f>
        <v>2.4755396085220003</v>
      </c>
      <c r="H24" s="241">
        <f>C24*DATA!$D$5/1000000</f>
        <v>51.777812191543262</v>
      </c>
      <c r="I24" s="241">
        <f>(C24*DATA!$D$5*DATA!$D$7)/1000000</f>
        <v>1.1650007743097233</v>
      </c>
      <c r="J24" s="239">
        <f t="shared" ca="1" si="1"/>
        <v>55.418352574374985</v>
      </c>
      <c r="K24" s="237"/>
      <c r="L24" s="239">
        <f>((D24*DATA!$D$23)/1000000)+((E24*DATA!$D$24)/1000000)</f>
        <v>68.998872000000006</v>
      </c>
      <c r="M24" s="239">
        <f t="shared" si="2"/>
        <v>68.998872000000006</v>
      </c>
      <c r="N24" s="239">
        <f t="shared" ca="1" si="6"/>
        <v>13.58051942562502</v>
      </c>
      <c r="O24" s="238">
        <f>1/(1+'[92]Asumsi I'!$C$3)^(KKF!A24)</f>
        <v>0.14564434093128129</v>
      </c>
      <c r="P24" s="239">
        <f t="shared" ca="1" si="7"/>
        <v>1.9779258012496188</v>
      </c>
      <c r="Q24" s="239">
        <f t="shared" ca="1" si="9"/>
        <v>74.371299524604311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47760</v>
      </c>
      <c r="D25" s="239">
        <f t="shared" si="5"/>
        <v>7960</v>
      </c>
      <c r="E25" s="239">
        <f t="shared" si="0"/>
        <v>39800</v>
      </c>
      <c r="F25" s="237"/>
      <c r="G25" s="241">
        <f ca="1">DATA!$D$11/1000000</f>
        <v>2.4755396085220003</v>
      </c>
      <c r="H25" s="241">
        <f>C25*DATA!$D$5/1000000</f>
        <v>51.777812191543262</v>
      </c>
      <c r="I25" s="241">
        <f>(C25*DATA!$D$5*DATA!$D$7)/1000000</f>
        <v>1.1650007743097233</v>
      </c>
      <c r="J25" s="239">
        <f t="shared" ca="1" si="1"/>
        <v>55.418352574374985</v>
      </c>
      <c r="K25" s="237"/>
      <c r="L25" s="239">
        <f>((D25*DATA!$D$23)/1000000)+((E25*DATA!$D$24)/1000000)</f>
        <v>68.998872000000006</v>
      </c>
      <c r="M25" s="239">
        <f t="shared" si="2"/>
        <v>68.998872000000006</v>
      </c>
      <c r="N25" s="239">
        <f t="shared" ca="1" si="6"/>
        <v>13.58051942562502</v>
      </c>
      <c r="O25" s="238">
        <f>1/(1+'[92]Asumsi I'!$C$3)^(KKF!A25)</f>
        <v>0.13003959011721541</v>
      </c>
      <c r="P25" s="239">
        <f t="shared" ca="1" si="7"/>
        <v>1.7660051796871594</v>
      </c>
      <c r="Q25" s="239">
        <f t="shared" ca="1" si="9"/>
        <v>76.137304704291466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" customHeight="1">
      <c r="A26" s="236">
        <f t="shared" si="11"/>
        <v>19</v>
      </c>
      <c r="B26" s="237">
        <f t="shared" si="11"/>
        <v>2042</v>
      </c>
      <c r="C26" s="238">
        <f t="shared" si="8"/>
        <v>47760</v>
      </c>
      <c r="D26" s="239">
        <f t="shared" si="5"/>
        <v>7960</v>
      </c>
      <c r="E26" s="239">
        <f t="shared" si="0"/>
        <v>39800</v>
      </c>
      <c r="F26" s="237"/>
      <c r="G26" s="241">
        <f ca="1">DATA!$D$11/1000000</f>
        <v>2.4755396085220003</v>
      </c>
      <c r="H26" s="241">
        <f>C26*DATA!$D$5/1000000</f>
        <v>51.777812191543262</v>
      </c>
      <c r="I26" s="241">
        <f>(C26*DATA!$D$5*DATA!$D$7)/1000000</f>
        <v>1.1650007743097233</v>
      </c>
      <c r="J26" s="239">
        <f t="shared" ca="1" si="1"/>
        <v>55.418352574374985</v>
      </c>
      <c r="K26" s="237"/>
      <c r="L26" s="239">
        <f>((D26*DATA!$D$23)/1000000)+((E26*DATA!$D$24)/1000000)</f>
        <v>68.998872000000006</v>
      </c>
      <c r="M26" s="239">
        <f t="shared" si="2"/>
        <v>68.998872000000006</v>
      </c>
      <c r="N26" s="239">
        <f t="shared" ca="1" si="6"/>
        <v>13.58051942562502</v>
      </c>
      <c r="O26" s="238">
        <f>1/(1+'[92]Asumsi I'!$C$3)^(KKF!A26)</f>
        <v>0.1161067768903709</v>
      </c>
      <c r="P26" s="239">
        <f t="shared" ca="1" si="7"/>
        <v>1.5767903390063922</v>
      </c>
      <c r="Q26" s="239">
        <f t="shared" ca="1" si="9"/>
        <v>77.71409504329786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" customHeight="1">
      <c r="A27" s="236">
        <f t="shared" si="11"/>
        <v>20</v>
      </c>
      <c r="B27" s="237">
        <f t="shared" si="11"/>
        <v>2043</v>
      </c>
      <c r="C27" s="238">
        <f t="shared" si="8"/>
        <v>47760</v>
      </c>
      <c r="D27" s="239">
        <f t="shared" si="5"/>
        <v>7960</v>
      </c>
      <c r="E27" s="239">
        <f t="shared" si="0"/>
        <v>39800</v>
      </c>
      <c r="F27" s="237"/>
      <c r="G27" s="241">
        <f ca="1">DATA!$D$11/1000000</f>
        <v>2.4755396085220003</v>
      </c>
      <c r="H27" s="241">
        <f>C27*DATA!$D$5/1000000</f>
        <v>51.777812191543262</v>
      </c>
      <c r="I27" s="241">
        <f>(C27*DATA!$D$5*DATA!$D$7)/1000000</f>
        <v>1.1650007743097233</v>
      </c>
      <c r="J27" s="239">
        <f t="shared" ca="1" si="1"/>
        <v>55.418352574374985</v>
      </c>
      <c r="K27" s="237"/>
      <c r="L27" s="239">
        <f>((D27*DATA!$D$23)/1000000)+((E27*DATA!$D$24)/1000000)</f>
        <v>68.998872000000006</v>
      </c>
      <c r="M27" s="239">
        <f t="shared" si="2"/>
        <v>68.998872000000006</v>
      </c>
      <c r="N27" s="239">
        <f t="shared" ca="1" si="6"/>
        <v>13.58051942562502</v>
      </c>
      <c r="O27" s="238">
        <f>1/(1+'[92]Asumsi I'!$C$3)^(KKF!A27)</f>
        <v>0.1036667650806883</v>
      </c>
      <c r="P27" s="239">
        <f t="shared" ca="1" si="7"/>
        <v>1.407848516969993</v>
      </c>
      <c r="Q27" s="239">
        <f t="shared" ca="1" si="9"/>
        <v>79.121943560267852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" customHeight="1">
      <c r="A28" s="236">
        <f t="shared" si="11"/>
        <v>21</v>
      </c>
      <c r="B28" s="237">
        <f t="shared" si="11"/>
        <v>2044</v>
      </c>
      <c r="C28" s="238">
        <f t="shared" si="8"/>
        <v>47760</v>
      </c>
      <c r="D28" s="239">
        <f t="shared" si="5"/>
        <v>7960</v>
      </c>
      <c r="E28" s="239">
        <f t="shared" si="0"/>
        <v>39800</v>
      </c>
      <c r="F28" s="237"/>
      <c r="G28" s="241">
        <f ca="1">DATA!$D$11/1000000</f>
        <v>2.4755396085220003</v>
      </c>
      <c r="H28" s="241">
        <f>C28*DATA!$D$5/1000000</f>
        <v>51.777812191543262</v>
      </c>
      <c r="I28" s="241">
        <f>(C28*DATA!$D$5*DATA!$D$7)/1000000</f>
        <v>1.1650007743097233</v>
      </c>
      <c r="J28" s="239">
        <f t="shared" ca="1" si="1"/>
        <v>55.418352574374985</v>
      </c>
      <c r="K28" s="237"/>
      <c r="L28" s="239">
        <f>((D28*DATA!$D$23)/1000000)+((E28*DATA!$D$24)/1000000)</f>
        <v>68.998872000000006</v>
      </c>
      <c r="M28" s="239">
        <f t="shared" si="2"/>
        <v>68.998872000000006</v>
      </c>
      <c r="N28" s="239">
        <f t="shared" ca="1" si="6"/>
        <v>13.58051942562502</v>
      </c>
      <c r="O28" s="238">
        <f>1/(1+'[92]Asumsi I'!$C$3)^(KKF!A28)</f>
        <v>9.2559611679185971E-2</v>
      </c>
      <c r="P28" s="239">
        <f t="shared" ca="1" si="7"/>
        <v>1.2570076044374936</v>
      </c>
      <c r="Q28" s="239">
        <f t="shared" ca="1" si="9"/>
        <v>80.378951164705342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" customHeight="1">
      <c r="A29" s="236">
        <f t="shared" si="11"/>
        <v>22</v>
      </c>
      <c r="B29" s="237">
        <f t="shared" si="11"/>
        <v>2045</v>
      </c>
      <c r="C29" s="238">
        <f t="shared" si="8"/>
        <v>47760</v>
      </c>
      <c r="D29" s="239">
        <f t="shared" si="5"/>
        <v>7960</v>
      </c>
      <c r="E29" s="239">
        <f t="shared" si="0"/>
        <v>39800</v>
      </c>
      <c r="F29" s="237"/>
      <c r="G29" s="241">
        <f ca="1">DATA!$D$11/1000000</f>
        <v>2.4755396085220003</v>
      </c>
      <c r="H29" s="241">
        <f>C29*DATA!$D$5/1000000</f>
        <v>51.777812191543262</v>
      </c>
      <c r="I29" s="241">
        <f>(C29*DATA!$D$5*DATA!$D$7)/1000000</f>
        <v>1.1650007743097233</v>
      </c>
      <c r="J29" s="239">
        <f t="shared" ca="1" si="1"/>
        <v>55.418352574374985</v>
      </c>
      <c r="K29" s="237"/>
      <c r="L29" s="239">
        <f>((D29*DATA!$D$23)/1000000)+((E29*DATA!$D$24)/1000000)</f>
        <v>68.998872000000006</v>
      </c>
      <c r="M29" s="239">
        <f t="shared" si="2"/>
        <v>68.998872000000006</v>
      </c>
      <c r="N29" s="239">
        <f t="shared" ca="1" si="6"/>
        <v>13.58051942562502</v>
      </c>
      <c r="O29" s="238">
        <f>1/(1+'[92]Asumsi I'!$C$3)^(KKF!A29)</f>
        <v>8.2642510427844609E-2</v>
      </c>
      <c r="P29" s="239">
        <f t="shared" ca="1" si="7"/>
        <v>1.1223282182477621</v>
      </c>
      <c r="Q29" s="239">
        <f t="shared" ca="1" si="9"/>
        <v>81.501279382953101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" customHeight="1">
      <c r="A30" s="236">
        <f t="shared" si="11"/>
        <v>23</v>
      </c>
      <c r="B30" s="237">
        <f t="shared" si="11"/>
        <v>2046</v>
      </c>
      <c r="C30" s="238">
        <f t="shared" si="8"/>
        <v>47760</v>
      </c>
      <c r="D30" s="239">
        <f t="shared" si="5"/>
        <v>7960</v>
      </c>
      <c r="E30" s="239">
        <f t="shared" si="0"/>
        <v>39800</v>
      </c>
      <c r="F30" s="237"/>
      <c r="G30" s="241">
        <f ca="1">DATA!$D$11/1000000</f>
        <v>2.4755396085220003</v>
      </c>
      <c r="H30" s="241">
        <f>C30*DATA!$D$5/1000000</f>
        <v>51.777812191543262</v>
      </c>
      <c r="I30" s="241">
        <f>(C30*DATA!$D$5*DATA!$D$7)/1000000</f>
        <v>1.1650007743097233</v>
      </c>
      <c r="J30" s="239">
        <f t="shared" ca="1" si="1"/>
        <v>55.418352574374985</v>
      </c>
      <c r="K30" s="237"/>
      <c r="L30" s="239">
        <f>((D30*DATA!$D$23)/1000000)+((E30*DATA!$D$24)/1000000)</f>
        <v>68.998872000000006</v>
      </c>
      <c r="M30" s="239">
        <f t="shared" si="2"/>
        <v>68.998872000000006</v>
      </c>
      <c r="N30" s="239">
        <f t="shared" ca="1" si="6"/>
        <v>13.58051942562502</v>
      </c>
      <c r="O30" s="238">
        <f>1/(1+'[92]Asumsi I'!$C$3)^(KKF!A30)</f>
        <v>7.3787955739146982E-2</v>
      </c>
      <c r="P30" s="239">
        <f t="shared" ca="1" si="7"/>
        <v>1.0020787662926447</v>
      </c>
      <c r="Q30" s="239">
        <f t="shared" ca="1" si="9"/>
        <v>82.503358149245742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" customHeight="1">
      <c r="A31" s="236">
        <f t="shared" si="11"/>
        <v>24</v>
      </c>
      <c r="B31" s="237">
        <f t="shared" si="11"/>
        <v>2047</v>
      </c>
      <c r="C31" s="238">
        <f t="shared" si="8"/>
        <v>47760</v>
      </c>
      <c r="D31" s="239">
        <f t="shared" si="5"/>
        <v>7960</v>
      </c>
      <c r="E31" s="239">
        <f t="shared" si="0"/>
        <v>39800</v>
      </c>
      <c r="F31" s="237"/>
      <c r="G31" s="241">
        <f ca="1">DATA!$D$11/1000000</f>
        <v>2.4755396085220003</v>
      </c>
      <c r="H31" s="241">
        <f>C31*DATA!$D$5/1000000</f>
        <v>51.777812191543262</v>
      </c>
      <c r="I31" s="241">
        <f>(C31*DATA!$D$5*DATA!$D$7)/1000000</f>
        <v>1.1650007743097233</v>
      </c>
      <c r="J31" s="239">
        <f t="shared" ca="1" si="1"/>
        <v>55.418352574374985</v>
      </c>
      <c r="K31" s="237"/>
      <c r="L31" s="239">
        <f>((D31*DATA!$D$23)/1000000)+((E31*DATA!$D$24)/1000000)</f>
        <v>68.998872000000006</v>
      </c>
      <c r="M31" s="239">
        <f t="shared" si="2"/>
        <v>68.998872000000006</v>
      </c>
      <c r="N31" s="239">
        <f t="shared" ca="1" si="6"/>
        <v>13.58051942562502</v>
      </c>
      <c r="O31" s="238">
        <f>1/(1+'[92]Asumsi I'!$C$3)^(KKF!A31)</f>
        <v>6.5882103338524081E-2</v>
      </c>
      <c r="P31" s="239">
        <f t="shared" ca="1" si="7"/>
        <v>0.89471318418986134</v>
      </c>
      <c r="Q31" s="239">
        <f ca="1">Q30+P31</f>
        <v>83.39807133343561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" customHeight="1">
      <c r="A32" s="236">
        <f t="shared" si="11"/>
        <v>25</v>
      </c>
      <c r="B32" s="237">
        <f>B30+1</f>
        <v>2047</v>
      </c>
      <c r="C32" s="238">
        <f t="shared" si="8"/>
        <v>47760</v>
      </c>
      <c r="D32" s="239">
        <f t="shared" si="5"/>
        <v>7960</v>
      </c>
      <c r="E32" s="239">
        <f t="shared" si="0"/>
        <v>39800</v>
      </c>
      <c r="F32" s="237"/>
      <c r="G32" s="241">
        <f ca="1">DATA!$D$11/1000000</f>
        <v>2.4755396085220003</v>
      </c>
      <c r="H32" s="241">
        <f>C32*DATA!$D$5/1000000</f>
        <v>51.777812191543262</v>
      </c>
      <c r="I32" s="241">
        <f>(C32*DATA!$D$5*DATA!$D$7)/1000000</f>
        <v>1.1650007743097233</v>
      </c>
      <c r="J32" s="239">
        <f t="shared" ca="1" si="1"/>
        <v>55.418352574374985</v>
      </c>
      <c r="K32" s="237"/>
      <c r="L32" s="239">
        <f>((D32*DATA!$D$23)/1000000)+((E32*DATA!$D$24)/1000000)</f>
        <v>68.998872000000006</v>
      </c>
      <c r="M32" s="239">
        <f t="shared" si="2"/>
        <v>68.998872000000006</v>
      </c>
      <c r="N32" s="239">
        <f t="shared" ca="1" si="6"/>
        <v>13.58051942562502</v>
      </c>
      <c r="O32" s="238">
        <f>1/(1+'[92]Asumsi I'!$C$3)^(KKF!A32)</f>
        <v>5.8823306552253637E-2</v>
      </c>
      <c r="P32" s="239">
        <f t="shared" ca="1" si="7"/>
        <v>0.79885105731237604</v>
      </c>
      <c r="Q32" s="239">
        <f ca="1">Q31+P32</f>
        <v>84.196922390747986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" customHeight="1">
      <c r="B33" s="246"/>
      <c r="C33" s="246"/>
      <c r="D33" s="246"/>
      <c r="E33" s="246"/>
      <c r="F33" s="617" t="s">
        <v>1345</v>
      </c>
      <c r="G33" s="617"/>
      <c r="H33" s="617"/>
      <c r="I33" s="247"/>
      <c r="J33" s="248">
        <f ca="1">SUM(J7:J32)</f>
        <v>1547.0065430378984</v>
      </c>
      <c r="K33" s="617" t="s">
        <v>1346</v>
      </c>
      <c r="L33" s="617"/>
      <c r="M33" s="248">
        <f>SUM(M7:M32)</f>
        <v>1864.2025480000016</v>
      </c>
      <c r="N33" s="246"/>
      <c r="O33" s="246"/>
      <c r="P33" s="249"/>
      <c r="Q33" s="249"/>
      <c r="S33" s="227">
        <f ca="1">COUNTIF(S7:S32,"a")</f>
        <v>2</v>
      </c>
    </row>
    <row r="34" spans="2:22" ht="20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11.895548588053289</v>
      </c>
      <c r="V34" s="254"/>
    </row>
    <row r="35" spans="2:22" ht="20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>
        <f ca="1">AVERAGE(T7:T32)</f>
        <v>2.0973671842615897</v>
      </c>
    </row>
    <row r="36" spans="2:22" ht="20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1.2050385671538382</v>
      </c>
    </row>
    <row r="37" spans="2:22" ht="20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75.17582356316781</v>
      </c>
    </row>
    <row r="38" spans="2:22" ht="20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0.60852432577439197</v>
      </c>
    </row>
    <row r="39" spans="2:22" ht="20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4"/>
  <sheetViews>
    <sheetView showGridLines="0" tabSelected="1" zoomScale="70" zoomScaleNormal="70" zoomScaleSheetLayoutView="70" workbookViewId="0">
      <pane ySplit="13" topLeftCell="A20" activePane="bottomLeft" state="frozen"/>
      <selection activeCell="H1093" sqref="H1093"/>
      <selection pane="bottomLeft" activeCell="N154" sqref="N154"/>
    </sheetView>
  </sheetViews>
  <sheetFormatPr baseColWidth="10" defaultColWidth="9.1640625" defaultRowHeight="14"/>
  <cols>
    <col min="1" max="1" width="8.33203125" style="259" customWidth="1"/>
    <col min="2" max="2" width="5.1640625" style="260" customWidth="1"/>
    <col min="3" max="3" width="45.6640625" style="333" customWidth="1"/>
    <col min="4" max="4" width="13.6640625" style="333" customWidth="1"/>
    <col min="5" max="5" width="12.5" style="263" customWidth="1"/>
    <col min="6" max="6" width="7.6640625" style="263" customWidth="1"/>
    <col min="7" max="7" width="12.6640625" style="263" customWidth="1"/>
    <col min="8" max="8" width="18.1640625" style="264" customWidth="1"/>
    <col min="9" max="9" width="16.6640625" style="264" customWidth="1"/>
    <col min="10" max="11" width="16.6640625" style="265" customWidth="1"/>
    <col min="12" max="12" width="3.6640625" style="265" customWidth="1"/>
    <col min="13" max="13" width="14" style="265" customWidth="1"/>
    <col min="14" max="14" width="15" style="265" customWidth="1"/>
    <col min="15" max="15" width="9.1640625" style="266" customWidth="1"/>
    <col min="16" max="16" width="12.6640625" style="267" customWidth="1"/>
    <col min="17" max="17" width="12.6640625" style="266" customWidth="1"/>
    <col min="18" max="18" width="2.5" style="266" customWidth="1"/>
    <col min="19" max="22" width="10.6640625" style="266" customWidth="1"/>
    <col min="23" max="24" width="9.1640625" style="266" customWidth="1"/>
    <col min="25" max="16384" width="9.16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33" t="s">
        <v>1007</v>
      </c>
      <c r="P3" s="633"/>
      <c r="Q3" s="269"/>
      <c r="T3" s="267"/>
      <c r="U3" s="268" t="s">
        <v>1012</v>
      </c>
      <c r="V3" s="267"/>
    </row>
    <row r="4" spans="1:22" ht="15.75" customHeight="1">
      <c r="B4" s="634" t="s">
        <v>994</v>
      </c>
      <c r="C4" s="634"/>
      <c r="D4" s="634"/>
      <c r="E4" s="634"/>
      <c r="F4" s="634"/>
      <c r="G4" s="634"/>
      <c r="H4" s="634"/>
      <c r="I4" s="634"/>
      <c r="J4" s="634"/>
      <c r="K4" s="634"/>
      <c r="O4" s="633"/>
      <c r="P4" s="633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55" t="s">
        <v>1642</v>
      </c>
      <c r="H6" s="555"/>
      <c r="I6" s="555"/>
      <c r="J6" s="555"/>
      <c r="K6" s="555"/>
      <c r="T6" s="267"/>
      <c r="U6" s="268"/>
      <c r="V6" s="267"/>
    </row>
    <row r="7" spans="1:22" ht="15">
      <c r="C7" s="270"/>
      <c r="D7" s="262"/>
      <c r="E7" s="271" t="s">
        <v>1009</v>
      </c>
      <c r="F7" s="272" t="s">
        <v>9</v>
      </c>
      <c r="G7" s="106" t="s">
        <v>1643</v>
      </c>
      <c r="H7" s="27"/>
      <c r="I7" s="27"/>
      <c r="J7" s="107"/>
      <c r="K7" s="410"/>
      <c r="T7" s="267"/>
      <c r="U7" s="268"/>
      <c r="V7" s="267"/>
    </row>
    <row r="8" spans="1:22" ht="15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1521</v>
      </c>
      <c r="J9" s="273"/>
      <c r="T9" s="267"/>
      <c r="U9" s="268"/>
      <c r="V9" s="267"/>
    </row>
    <row r="10" spans="1:22" ht="15" thickBot="1">
      <c r="C10" s="262"/>
      <c r="D10" s="262"/>
      <c r="T10" s="267"/>
      <c r="U10" s="267"/>
      <c r="V10" s="267"/>
    </row>
    <row r="11" spans="1:22" ht="21" customHeight="1">
      <c r="B11" s="636" t="s">
        <v>0</v>
      </c>
      <c r="C11" s="638" t="s">
        <v>1</v>
      </c>
      <c r="D11" s="641" t="s">
        <v>32</v>
      </c>
      <c r="E11" s="641" t="s">
        <v>33</v>
      </c>
      <c r="F11" s="641" t="s">
        <v>2</v>
      </c>
      <c r="G11" s="643" t="s">
        <v>31</v>
      </c>
      <c r="H11" s="641" t="s">
        <v>3</v>
      </c>
      <c r="I11" s="641"/>
      <c r="J11" s="641"/>
      <c r="K11" s="64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7"/>
      <c r="C12" s="639"/>
      <c r="D12" s="642"/>
      <c r="E12" s="642"/>
      <c r="F12" s="642"/>
      <c r="G12" s="644"/>
      <c r="H12" s="646" t="s">
        <v>36</v>
      </c>
      <c r="I12" s="646" t="s">
        <v>5</v>
      </c>
      <c r="J12" s="642" t="s">
        <v>37</v>
      </c>
      <c r="K12" s="64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7"/>
      <c r="C13" s="640"/>
      <c r="D13" s="642"/>
      <c r="E13" s="642"/>
      <c r="F13" s="642"/>
      <c r="G13" s="645"/>
      <c r="H13" s="647"/>
      <c r="I13" s="647"/>
      <c r="J13" s="642"/>
      <c r="K13" s="64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 ht="15">
      <c r="A15" s="259" t="e">
        <f>IF(AND(C15=0,#REF!=0,#REF!=0),"BLANKS",1)</f>
        <v>#REF!</v>
      </c>
      <c r="B15" s="412" t="s">
        <v>470</v>
      </c>
      <c r="C15" s="413" t="s">
        <v>1581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9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 ht="16">
      <c r="A16" s="259" t="e">
        <f>IF(AND(C16=0,#REF!=0,#REF!=0),"BLANKS",1)</f>
        <v>#REF!</v>
      </c>
      <c r="B16" s="412">
        <v>1</v>
      </c>
      <c r="C16" s="109" t="s">
        <v>93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289">
        <v>3</v>
      </c>
      <c r="G16" s="283">
        <f ca="1">IF(ISERROR(OFFSET('HARGA SATUAN'!$I$6,MATCH(RAB!C16,'HARGA SATUAN'!$C$7:$C$1492,0),0)),0,OFFSET('HARGA SATUAN'!$I$6,MATCH(RAB!C16,'HARGA SATUAN'!$C$7:$C$1492,0),0))</f>
        <v>5800000</v>
      </c>
      <c r="H16" s="284">
        <f t="shared" ca="1" si="0"/>
        <v>0</v>
      </c>
      <c r="I16" s="284">
        <f t="shared" ca="1" si="1"/>
        <v>17400000</v>
      </c>
      <c r="J16" s="284">
        <f t="shared" ca="1" si="2"/>
        <v>0</v>
      </c>
      <c r="K16" s="285">
        <f t="shared" ca="1" si="3"/>
        <v>17400000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15">
      <c r="A17" s="259" t="e">
        <f>IF(AND(C17=0,#REF!=0,#REF!=0),"BLANKS",1)</f>
        <v>#REF!</v>
      </c>
      <c r="B17" s="415">
        <v>2</v>
      </c>
      <c r="C17" s="418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409">
        <v>3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ref="H17:H97" ca="1" si="4">IF(OR(D17="MDU",D17="MDU-KD"),(IF($O$3="RAB NON MDU","PLN KD",G17*F17)),0)</f>
        <v>0</v>
      </c>
      <c r="I17" s="284">
        <f t="shared" ref="I17:I97" ca="1" si="5">IF(D17="HDW",G17*F17,0)</f>
        <v>0</v>
      </c>
      <c r="J17" s="284">
        <f t="shared" ref="J17:J97" ca="1" si="6">IF(D17="JASA",G17*F17,0)</f>
        <v>30200.000000000004</v>
      </c>
      <c r="K17" s="285">
        <f t="shared" ca="1" si="3"/>
        <v>30200.000000000004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15">
      <c r="A18" s="259" t="e">
        <f>IF(AND(C18=0,#REF!=0,#REF!=0),"BLANKS",1)</f>
        <v>#REF!</v>
      </c>
      <c r="B18" s="414" t="s">
        <v>495</v>
      </c>
      <c r="C18" s="280" t="s">
        <v>1582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409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 ht="15">
      <c r="A19" s="259"/>
      <c r="B19" s="415"/>
      <c r="C19" s="418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409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93" ca="1" si="7">IF(OR(D19="MDU",D19="MDU-KD"),(IF($O$3="RAB NON MDU","PLN KD",G19*F19)),0)</f>
        <v>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 ht="16">
      <c r="A20" s="259" t="e">
        <f>IF(AND(C20=0,#REF!=0,#REF!=0),"BLANKS",1)</f>
        <v>#REF!</v>
      </c>
      <c r="B20" s="421" t="s">
        <v>1006</v>
      </c>
      <c r="C20" s="422" t="s">
        <v>1583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390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16">
      <c r="A21" s="259" t="e">
        <f>IF(AND(C21=0,C22=0,#REF!=0),"BLANKS",1)</f>
        <v>#REF!</v>
      </c>
      <c r="B21" s="421">
        <v>1</v>
      </c>
      <c r="C21" s="109" t="s">
        <v>1118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390">
        <v>1</v>
      </c>
      <c r="G21" s="283">
        <f ca="1">IF(ISERROR(OFFSET('HARGA SATUAN'!$I$6,MATCH(RAB!C21,'HARGA SATUAN'!$C$7:$C$1492,0),0)),0,OFFSET('HARGA SATUAN'!$I$6,MATCH(RAB!C21,'HARGA SATUAN'!$C$7:$C$1492,0),0))</f>
        <v>56838600</v>
      </c>
      <c r="H21" s="284">
        <f t="shared" ca="1" si="7"/>
        <v>56838600</v>
      </c>
      <c r="I21" s="284">
        <f t="shared" ca="1" si="8"/>
        <v>0</v>
      </c>
      <c r="J21" s="284">
        <f t="shared" ca="1" si="9"/>
        <v>0</v>
      </c>
      <c r="K21" s="285">
        <f t="shared" ca="1" si="10"/>
        <v>56838600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16">
      <c r="A22" s="259" t="e">
        <f>IF(AND(C22=0,#REF!=0,#REF!=0),"BLANKS",1)</f>
        <v>#REF!</v>
      </c>
      <c r="B22" s="423">
        <v>2</v>
      </c>
      <c r="C22" s="411" t="s">
        <v>1516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519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 ht="16">
      <c r="A23" s="259"/>
      <c r="B23" s="421"/>
      <c r="C23" s="411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390">
        <v>9</v>
      </c>
      <c r="G23" s="283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127800</v>
      </c>
      <c r="I23" s="284">
        <f t="shared" ca="1" si="8"/>
        <v>0</v>
      </c>
      <c r="J23" s="284">
        <f t="shared" ca="1" si="9"/>
        <v>0</v>
      </c>
      <c r="K23" s="285">
        <f t="shared" ca="1" si="10"/>
        <v>127800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16">
      <c r="A24" s="259">
        <f t="shared" ref="A24:A26" si="11">IF(AND(C24=0,C25=0,C26=0),"BLANKS",1)</f>
        <v>1</v>
      </c>
      <c r="B24" s="421"/>
      <c r="C24" s="411" t="s">
        <v>1584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390">
        <v>3</v>
      </c>
      <c r="G24" s="400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 ht="16">
      <c r="A25" s="259">
        <f t="shared" si="11"/>
        <v>1</v>
      </c>
      <c r="B25" s="421">
        <v>3</v>
      </c>
      <c r="C25" s="109" t="s">
        <v>549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390">
        <v>3</v>
      </c>
      <c r="G25" s="283">
        <f ca="1">IF(ISERROR(OFFSET('HARGA SATUAN'!$I$6,MATCH(RAB!C25,'HARGA SATUAN'!$C$7:$C$1492,0),0)),0,OFFSET('HARGA SATUAN'!$I$6,MATCH(RAB!C25,'HARGA SATUAN'!$C$7:$C$1492,0),0))</f>
        <v>725900</v>
      </c>
      <c r="H25" s="284">
        <f t="shared" ca="1" si="7"/>
        <v>2177700</v>
      </c>
      <c r="I25" s="284">
        <f t="shared" ca="1" si="8"/>
        <v>0</v>
      </c>
      <c r="J25" s="284">
        <f t="shared" ca="1" si="9"/>
        <v>0</v>
      </c>
      <c r="K25" s="285">
        <f t="shared" ca="1" si="10"/>
        <v>2177700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 ht="16">
      <c r="A26" s="259">
        <f t="shared" si="11"/>
        <v>1</v>
      </c>
      <c r="B26" s="421">
        <v>4</v>
      </c>
      <c r="C26" s="422" t="s">
        <v>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390">
        <v>3</v>
      </c>
      <c r="G26" s="283">
        <f ca="1">IF(ISERROR(OFFSET('HARGA SATUAN'!$I$6,MATCH(RAB!C26,'HARGA SATUAN'!$C$7:$C$1492,0),0)),0,OFFSET('HARGA SATUAN'!$I$6,MATCH(RAB!C26,'HARGA SATUAN'!$C$7:$C$1492,0),0))</f>
        <v>848250</v>
      </c>
      <c r="H26" s="284">
        <f t="shared" ca="1" si="7"/>
        <v>2544750</v>
      </c>
      <c r="I26" s="284">
        <f t="shared" ca="1" si="8"/>
        <v>0</v>
      </c>
      <c r="J26" s="284">
        <f t="shared" ca="1" si="9"/>
        <v>0</v>
      </c>
      <c r="K26" s="285">
        <f t="shared" ca="1" si="10"/>
        <v>2544750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 ht="16">
      <c r="A27" s="259" t="e">
        <f>IF(AND(C27=0,C28=0,#REF!=0),"BLANKS",1)</f>
        <v>#REF!</v>
      </c>
      <c r="B27" s="421">
        <v>5</v>
      </c>
      <c r="C27" s="422" t="s">
        <v>45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390">
        <v>3</v>
      </c>
      <c r="G27" s="283">
        <f ca="1">IF(ISERROR(OFFSET('HARGA SATUAN'!$I$6,MATCH(RAB!C27,'HARGA SATUAN'!$C$7:$C$1492,0),0)),0,OFFSET('HARGA SATUAN'!$I$6,MATCH(RAB!C27,'HARGA SATUAN'!$C$7:$C$1492,0),0))</f>
        <v>18000</v>
      </c>
      <c r="H27" s="284">
        <f t="shared" ca="1" si="7"/>
        <v>0</v>
      </c>
      <c r="I27" s="284">
        <f t="shared" ca="1" si="8"/>
        <v>54000</v>
      </c>
      <c r="J27" s="284">
        <f t="shared" ca="1" si="9"/>
        <v>0</v>
      </c>
      <c r="K27" s="285">
        <f t="shared" ca="1" si="10"/>
        <v>54000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16">
      <c r="A28" s="259" t="e">
        <f>IF(AND(C28=0,#REF!=0,#REF!=0),"BLANKS",1)</f>
        <v>#REF!</v>
      </c>
      <c r="B28" s="421">
        <v>6</v>
      </c>
      <c r="C28" s="422" t="s">
        <v>571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390">
        <v>13</v>
      </c>
      <c r="G28" s="400">
        <f ca="1">IF(ISERROR(OFFSET('HARGA SATUAN'!$I$6,MATCH(RAB!C28,'HARGA SATUAN'!$C$7:$C$1492,0),0)),0,OFFSET('HARGA SATUAN'!$I$6,MATCH(RAB!C28,'HARGA SATUAN'!$C$7:$C$1492,0),0))</f>
        <v>0</v>
      </c>
      <c r="H28" s="284">
        <f t="shared" ca="1" si="7"/>
        <v>0</v>
      </c>
      <c r="I28" s="284">
        <f t="shared" ca="1" si="8"/>
        <v>0</v>
      </c>
      <c r="J28" s="284">
        <f t="shared" ca="1" si="9"/>
        <v>0</v>
      </c>
      <c r="K28" s="285">
        <f t="shared" ca="1" si="10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 ht="16">
      <c r="A29" s="259">
        <f t="shared" ref="A29:A31" si="12">IF(AND(C29=0,C30=0,C31=0),"BLANKS",1)</f>
        <v>1</v>
      </c>
      <c r="B29" s="421">
        <v>7</v>
      </c>
      <c r="C29" s="422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390">
        <v>22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7"/>
        <v>0</v>
      </c>
      <c r="I29" s="284">
        <f t="shared" ca="1" si="8"/>
        <v>174636</v>
      </c>
      <c r="J29" s="284">
        <f t="shared" ca="1" si="9"/>
        <v>0</v>
      </c>
      <c r="K29" s="285">
        <f t="shared" ca="1" si="10"/>
        <v>174636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16">
      <c r="A30" s="259">
        <f t="shared" si="12"/>
        <v>1</v>
      </c>
      <c r="B30" s="421">
        <v>8</v>
      </c>
      <c r="C30" s="422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390">
        <v>1</v>
      </c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7"/>
        <v>0</v>
      </c>
      <c r="I30" s="284">
        <f t="shared" ca="1" si="8"/>
        <v>404600</v>
      </c>
      <c r="J30" s="284">
        <f t="shared" ca="1" si="9"/>
        <v>0</v>
      </c>
      <c r="K30" s="285">
        <f t="shared" ca="1" si="10"/>
        <v>404600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 ht="16">
      <c r="A31" s="259">
        <f t="shared" si="12"/>
        <v>1</v>
      </c>
      <c r="B31" s="421">
        <v>9</v>
      </c>
      <c r="C31" s="422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390">
        <v>3</v>
      </c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7"/>
        <v>0</v>
      </c>
      <c r="I31" s="284">
        <f t="shared" ca="1" si="8"/>
        <v>47700</v>
      </c>
      <c r="J31" s="284">
        <f t="shared" ca="1" si="9"/>
        <v>0</v>
      </c>
      <c r="K31" s="285">
        <f t="shared" ca="1" si="10"/>
        <v>47700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 ht="16">
      <c r="A32" s="259" t="e">
        <f>IF(AND(C32=0,C33=0,#REF!=0),"BLANKS",1)</f>
        <v>#REF!</v>
      </c>
      <c r="B32" s="421">
        <v>10</v>
      </c>
      <c r="C32" s="422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390">
        <v>5</v>
      </c>
      <c r="G32" s="283">
        <f ca="1">IF(ISERROR(OFFSET('HARGA SATUAN'!$I$6,MATCH(RAB!C32,'HARGA SATUAN'!$C$7:$C$1492,0),0)),0,OFFSET('HARGA SATUAN'!$I$6,MATCH(RAB!C32,'HARGA SATUAN'!$C$7:$C$1492,0),0))</f>
        <v>283100</v>
      </c>
      <c r="H32" s="284">
        <f t="shared" ca="1" si="7"/>
        <v>0</v>
      </c>
      <c r="I32" s="284">
        <f t="shared" ca="1" si="8"/>
        <v>1415500</v>
      </c>
      <c r="J32" s="284">
        <f t="shared" ca="1" si="9"/>
        <v>0</v>
      </c>
      <c r="K32" s="285">
        <f t="shared" ca="1" si="10"/>
        <v>1415500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16">
      <c r="A33" s="259" t="e">
        <f>IF(AND(C33=0,#REF!=0,#REF!=0),"BLANKS",1)</f>
        <v>#REF!</v>
      </c>
      <c r="B33" s="421">
        <v>11</v>
      </c>
      <c r="C33" s="422" t="s">
        <v>584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390">
        <v>4</v>
      </c>
      <c r="G33" s="283">
        <f ca="1">IF(ISERROR(OFFSET('HARGA SATUAN'!$I$6,MATCH(RAB!C33,'HARGA SATUAN'!$C$7:$C$1492,0),0)),0,OFFSET('HARGA SATUAN'!$I$6,MATCH(RAB!C33,'HARGA SATUAN'!$C$7:$C$1492,0),0))</f>
        <v>380500</v>
      </c>
      <c r="H33" s="284">
        <f t="shared" ca="1" si="7"/>
        <v>0</v>
      </c>
      <c r="I33" s="284">
        <f t="shared" ca="1" si="8"/>
        <v>1522000</v>
      </c>
      <c r="J33" s="284">
        <f t="shared" ca="1" si="9"/>
        <v>0</v>
      </c>
      <c r="K33" s="285">
        <f t="shared" ca="1" si="10"/>
        <v>1522000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16">
      <c r="A34" s="259"/>
      <c r="B34" s="421">
        <v>12</v>
      </c>
      <c r="C34" s="422" t="s">
        <v>198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0">
        <v>3</v>
      </c>
      <c r="G34" s="400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 ht="16">
      <c r="A35" s="259">
        <f>IF(AND(C35=0,C40=0,C41=0),"BLANKS",1)</f>
        <v>1</v>
      </c>
      <c r="B35" s="421">
        <v>13</v>
      </c>
      <c r="C35" s="422" t="s">
        <v>237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0">
        <v>1</v>
      </c>
      <c r="G35" s="283">
        <f ca="1">IF(ISERROR(OFFSET('HARGA SATUAN'!$I$6,MATCH(RAB!C35,'HARGA SATUAN'!$C$7:$C$1492,0),0)),0,OFFSET('HARGA SATUAN'!$I$6,MATCH(RAB!C35,'HARGA SATUAN'!$C$7:$C$1492,0),0))</f>
        <v>57690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57690</v>
      </c>
      <c r="J35" s="284">
        <f t="shared" ref="J35:J36" ca="1" si="15">IF(D35="JASA",G35*F35,0)</f>
        <v>0</v>
      </c>
      <c r="K35" s="285">
        <f t="shared" ref="K35:K36" ca="1" si="16">SUM(H35:J35)</f>
        <v>57690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 ht="16">
      <c r="A36" s="259" t="e">
        <f>IF(AND(C36=0,#REF!=0,#REF!=0),"BLANKS",1)</f>
        <v>#REF!</v>
      </c>
      <c r="B36" s="421">
        <v>14</v>
      </c>
      <c r="C36" s="422" t="s">
        <v>224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0">
        <v>2</v>
      </c>
      <c r="G36" s="283">
        <f ca="1">IF(ISERROR(OFFSET('HARGA SATUAN'!$I$6,MATCH(RAB!C36,'HARGA SATUAN'!$C$7:$C$1492,0),0)),0,OFFSET('HARGA SATUAN'!$I$6,MATCH(RAB!C36,'HARGA SATUAN'!$C$7:$C$1492,0),0))</f>
        <v>67500</v>
      </c>
      <c r="H36" s="284">
        <f t="shared" ca="1" si="13"/>
        <v>0</v>
      </c>
      <c r="I36" s="284">
        <f t="shared" ca="1" si="14"/>
        <v>135000</v>
      </c>
      <c r="J36" s="284">
        <f t="shared" ca="1" si="15"/>
        <v>0</v>
      </c>
      <c r="K36" s="285">
        <f t="shared" ca="1" si="16"/>
        <v>135000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 ht="16">
      <c r="A37" s="259">
        <f t="shared" ref="A37:A39" si="17">IF(AND(C37=0,C38=0,C39=0),"BLANKS",1)</f>
        <v>1</v>
      </c>
      <c r="B37" s="421">
        <v>15</v>
      </c>
      <c r="C37" s="422" t="s">
        <v>257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390">
        <v>2</v>
      </c>
      <c r="G37" s="283">
        <f ca="1">IF(ISERROR(OFFSET('HARGA SATUAN'!$I$6,MATCH(RAB!C37,'HARGA SATUAN'!$C$7:$C$1492,0),0)),0,OFFSET('HARGA SATUAN'!$I$6,MATCH(RAB!C37,'HARGA SATUAN'!$C$7:$C$1492,0),0))</f>
        <v>129000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258000</v>
      </c>
      <c r="J37" s="284">
        <f t="shared" ref="J37:J50" ca="1" si="20">IF(D37="JASA",G37*F37,0)</f>
        <v>0</v>
      </c>
      <c r="K37" s="285">
        <f t="shared" ref="K37:K50" ca="1" si="21">SUM(H37:J37)</f>
        <v>258000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 ht="16">
      <c r="A38" s="259">
        <f t="shared" si="17"/>
        <v>1</v>
      </c>
      <c r="B38" s="421">
        <v>16</v>
      </c>
      <c r="C38" s="422" t="s">
        <v>598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0">
        <v>4</v>
      </c>
      <c r="G38" s="283">
        <f ca="1">IF(ISERROR(OFFSET('HARGA SATUAN'!$I$6,MATCH(RAB!C38,'HARGA SATUAN'!$C$7:$C$1492,0),0)),0,OFFSET('HARGA SATUAN'!$I$6,MATCH(RAB!C38,'HARGA SATUAN'!$C$7:$C$1492,0),0))</f>
        <v>250000</v>
      </c>
      <c r="H38" s="284">
        <f t="shared" ca="1" si="18"/>
        <v>0</v>
      </c>
      <c r="I38" s="284">
        <f t="shared" ca="1" si="19"/>
        <v>1000000</v>
      </c>
      <c r="J38" s="284">
        <f t="shared" ca="1" si="20"/>
        <v>0</v>
      </c>
      <c r="K38" s="285">
        <f t="shared" ca="1" si="21"/>
        <v>1000000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 ht="16">
      <c r="A39" s="259">
        <f t="shared" si="17"/>
        <v>1</v>
      </c>
      <c r="B39" s="421">
        <v>17</v>
      </c>
      <c r="C39" s="422" t="s">
        <v>775</v>
      </c>
      <c r="D39" s="281" t="str">
        <f ca="1">IF(ISERROR(OFFSET('HARGA SATUAN'!$D$6,MATCH(RAB!C39,'HARGA SATUAN'!$C$7:$C$1492,0),0)),"",OFFSET('HARGA SATUAN'!$D$6,MATCH(RAB!C39,'HARGA SATUAN'!$C$7:$C$1492,0),0))</f>
        <v>JASA</v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390">
        <v>1</v>
      </c>
      <c r="G39" s="283">
        <f ca="1">IF(ISERROR(OFFSET('HARGA SATUAN'!$I$6,MATCH(RAB!C39,'HARGA SATUAN'!$C$7:$C$1492,0),0)),0,OFFSET('HARGA SATUAN'!$I$6,MATCH(RAB!C39,'HARGA SATUAN'!$C$7:$C$1492,0),0))</f>
        <v>2953300</v>
      </c>
      <c r="H39" s="284">
        <f t="shared" ca="1" si="18"/>
        <v>0</v>
      </c>
      <c r="I39" s="284">
        <f t="shared" ca="1" si="19"/>
        <v>0</v>
      </c>
      <c r="J39" s="284">
        <f t="shared" ca="1" si="20"/>
        <v>2953300</v>
      </c>
      <c r="K39" s="285">
        <f t="shared" ca="1" si="21"/>
        <v>2953300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15">
      <c r="A40" s="259">
        <f>IF(AND(C40=0,C41=0,C59=0),"BLANKS",1)</f>
        <v>1</v>
      </c>
      <c r="B40" s="421"/>
      <c r="C40" s="422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409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18"/>
        <v>0</v>
      </c>
      <c r="I40" s="284">
        <f t="shared" ca="1" si="19"/>
        <v>0</v>
      </c>
      <c r="J40" s="284">
        <f t="shared" ca="1" si="20"/>
        <v>0</v>
      </c>
      <c r="K40" s="285">
        <f t="shared" ca="1" si="21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5">
      <c r="A41" s="259" t="e">
        <f>IF(AND(C41=0,C59=0,#REF!=0),"BLANKS",1)</f>
        <v>#REF!</v>
      </c>
      <c r="B41" s="421">
        <v>1</v>
      </c>
      <c r="C41" s="424" t="s">
        <v>1382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16">
        <v>3</v>
      </c>
      <c r="G41" s="283">
        <f ca="1">IF(ISERROR(OFFSET('HARGA SATUAN'!$I$6,MATCH(RAB!C41,'HARGA SATUAN'!$C$7:$C$1492,0),0)),0,OFFSET('HARGA SATUAN'!$I$6,MATCH(RAB!C41,'HARGA SATUAN'!$C$7:$C$1492,0),0))</f>
        <v>85000</v>
      </c>
      <c r="H41" s="284">
        <f t="shared" ca="1" si="18"/>
        <v>0</v>
      </c>
      <c r="I41" s="284">
        <f t="shared" ca="1" si="19"/>
        <v>255000</v>
      </c>
      <c r="J41" s="284">
        <f t="shared" ca="1" si="20"/>
        <v>0</v>
      </c>
      <c r="K41" s="285">
        <f t="shared" ca="1" si="21"/>
        <v>255000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 ht="15">
      <c r="A42" s="259"/>
      <c r="B42" s="421">
        <v>2</v>
      </c>
      <c r="C42" s="424" t="s">
        <v>1383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Set</v>
      </c>
      <c r="F42" s="516">
        <v>3</v>
      </c>
      <c r="G42" s="283">
        <f ca="1">IF(ISERROR(OFFSET('HARGA SATUAN'!$I$6,MATCH(RAB!C42,'HARGA SATUAN'!$C$7:$C$1492,0),0)),0,OFFSET('HARGA SATUAN'!$I$6,MATCH(RAB!C42,'HARGA SATUAN'!$C$7:$C$1492,0),0))</f>
        <v>15000</v>
      </c>
      <c r="H42" s="284">
        <f t="shared" ca="1" si="18"/>
        <v>0</v>
      </c>
      <c r="I42" s="284">
        <f t="shared" ca="1" si="19"/>
        <v>0</v>
      </c>
      <c r="J42" s="284">
        <f t="shared" ca="1" si="20"/>
        <v>45000</v>
      </c>
      <c r="K42" s="285">
        <f t="shared" ca="1" si="21"/>
        <v>45000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 ht="15">
      <c r="A43" s="259">
        <f t="shared" ref="A43:A45" si="22">IF(AND(C43=0,C44=0,C45=0),"BLANKS",1)</f>
        <v>1</v>
      </c>
      <c r="B43" s="421">
        <v>3</v>
      </c>
      <c r="C43" s="424" t="s">
        <v>1392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516">
        <v>3</v>
      </c>
      <c r="G43" s="283">
        <f ca="1">IF(ISERROR(OFFSET('HARGA SATUAN'!$I$6,MATCH(RAB!C43,'HARGA SATUAN'!$C$7:$C$1492,0),0)),0,OFFSET('HARGA SATUAN'!$I$6,MATCH(RAB!C43,'HARGA SATUAN'!$C$7:$C$1492,0),0))</f>
        <v>105000</v>
      </c>
      <c r="H43" s="284">
        <f t="shared" ca="1" si="18"/>
        <v>0</v>
      </c>
      <c r="I43" s="284">
        <f t="shared" ca="1" si="19"/>
        <v>315000</v>
      </c>
      <c r="J43" s="284">
        <f t="shared" ca="1" si="20"/>
        <v>0</v>
      </c>
      <c r="K43" s="285">
        <f t="shared" ca="1" si="21"/>
        <v>315000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5">
      <c r="A44" s="259">
        <f t="shared" si="22"/>
        <v>1</v>
      </c>
      <c r="B44" s="421">
        <v>4</v>
      </c>
      <c r="C44" s="424" t="s">
        <v>1393</v>
      </c>
      <c r="D44" s="281" t="str">
        <f ca="1">IF(ISERROR(OFFSET('HARGA SATUAN'!$D$6,MATCH(RAB!C44,'HARGA SATUAN'!$C$7:$C$1492,0),0)),"",OFFSET('HARGA SATUAN'!$D$6,MATCH(RAB!C44,'HARGA SATUAN'!$C$7:$C$1492,0),0))</f>
        <v>JASA</v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516">
        <v>3</v>
      </c>
      <c r="G44" s="283">
        <f ca="1">IF(ISERROR(OFFSET('HARGA SATUAN'!$I$6,MATCH(RAB!C44,'HARGA SATUAN'!$C$7:$C$1492,0),0)),0,OFFSET('HARGA SATUAN'!$I$6,MATCH(RAB!C44,'HARGA SATUAN'!$C$7:$C$1492,0),0))</f>
        <v>15000</v>
      </c>
      <c r="H44" s="284">
        <f t="shared" ca="1" si="18"/>
        <v>0</v>
      </c>
      <c r="I44" s="284">
        <f t="shared" ca="1" si="19"/>
        <v>0</v>
      </c>
      <c r="J44" s="284">
        <f t="shared" ca="1" si="20"/>
        <v>45000</v>
      </c>
      <c r="K44" s="285">
        <f t="shared" ca="1" si="21"/>
        <v>45000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 ht="15">
      <c r="A45" s="259">
        <f t="shared" si="22"/>
        <v>1</v>
      </c>
      <c r="B45" s="421">
        <v>5</v>
      </c>
      <c r="C45" s="424" t="s">
        <v>1394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516">
        <v>3</v>
      </c>
      <c r="G45" s="283">
        <f ca="1">IF(ISERROR(OFFSET('HARGA SATUAN'!$I$6,MATCH(RAB!C45,'HARGA SATUAN'!$C$7:$C$1492,0),0)),0,OFFSET('HARGA SATUAN'!$I$6,MATCH(RAB!C45,'HARGA SATUAN'!$C$7:$C$1492,0),0))</f>
        <v>180000</v>
      </c>
      <c r="H45" s="284">
        <f t="shared" ca="1" si="18"/>
        <v>0</v>
      </c>
      <c r="I45" s="284">
        <f t="shared" ca="1" si="19"/>
        <v>540000</v>
      </c>
      <c r="J45" s="284">
        <f t="shared" ca="1" si="20"/>
        <v>0</v>
      </c>
      <c r="K45" s="285">
        <f t="shared" ca="1" si="21"/>
        <v>540000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 ht="15">
      <c r="A46" s="259" t="e">
        <f>IF(AND(C46=0,C47=0,#REF!=0),"BLANKS",1)</f>
        <v>#REF!</v>
      </c>
      <c r="B46" s="421">
        <v>6</v>
      </c>
      <c r="C46" s="424" t="s">
        <v>1395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Set</v>
      </c>
      <c r="F46" s="516">
        <v>3</v>
      </c>
      <c r="G46" s="283">
        <f ca="1">IF(ISERROR(OFFSET('HARGA SATUAN'!$I$6,MATCH(RAB!C46,'HARGA SATUAN'!$C$7:$C$1492,0),0)),0,OFFSET('HARGA SATUAN'!$I$6,MATCH(RAB!C46,'HARGA SATUAN'!$C$7:$C$1492,0),0))</f>
        <v>15000</v>
      </c>
      <c r="H46" s="284">
        <f t="shared" ca="1" si="18"/>
        <v>0</v>
      </c>
      <c r="I46" s="284">
        <f t="shared" ca="1" si="19"/>
        <v>0</v>
      </c>
      <c r="J46" s="284">
        <f t="shared" ca="1" si="20"/>
        <v>45000</v>
      </c>
      <c r="K46" s="285">
        <f t="shared" ca="1" si="21"/>
        <v>45000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 ht="15">
      <c r="A47" s="259" t="e">
        <f>IF(AND(C47=0,#REF!=0,C59=0),"BLANKS",1)</f>
        <v>#REF!</v>
      </c>
      <c r="B47" s="421"/>
      <c r="C47" s="424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516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8"/>
        <v>0</v>
      </c>
      <c r="I47" s="284">
        <f t="shared" ca="1" si="19"/>
        <v>0</v>
      </c>
      <c r="J47" s="284">
        <f t="shared" ca="1" si="20"/>
        <v>0</v>
      </c>
      <c r="K47" s="285">
        <f t="shared" ca="1" si="21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 ht="16">
      <c r="A48" s="259" t="e">
        <f>IF(AND(C48=0,C49=0,#REF!=0),"BLANKS",1)</f>
        <v>#REF!</v>
      </c>
      <c r="B48" s="421" t="s">
        <v>1006</v>
      </c>
      <c r="C48" s="422" t="s">
        <v>1519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518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8"/>
        <v>0</v>
      </c>
      <c r="I48" s="284">
        <f t="shared" ca="1" si="19"/>
        <v>0</v>
      </c>
      <c r="J48" s="284">
        <f t="shared" ca="1" si="20"/>
        <v>0</v>
      </c>
      <c r="K48" s="285">
        <f t="shared" ca="1" si="21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 ht="15">
      <c r="A49" s="259" t="e">
        <f>IF(AND(C49=0,#REF!=0,#REF!=0),"BLANKS",1)</f>
        <v>#REF!</v>
      </c>
      <c r="B49" s="429">
        <v>1</v>
      </c>
      <c r="C49" s="430" t="s">
        <v>588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518">
        <v>1</v>
      </c>
      <c r="G49" s="283">
        <f ca="1">IF(ISERROR(OFFSET('HARGA SATUAN'!$I$6,MATCH(RAB!C49,'HARGA SATUAN'!$C$7:$C$1492,0),0)),0,OFFSET('HARGA SATUAN'!$I$6,MATCH(RAB!C49,'HARGA SATUAN'!$C$7:$C$1492,0),0))</f>
        <v>120900</v>
      </c>
      <c r="H49" s="284">
        <f t="shared" ca="1" si="18"/>
        <v>0</v>
      </c>
      <c r="I49" s="284">
        <f t="shared" ca="1" si="19"/>
        <v>120900</v>
      </c>
      <c r="J49" s="284">
        <f t="shared" ca="1" si="20"/>
        <v>0</v>
      </c>
      <c r="K49" s="285">
        <f t="shared" ca="1" si="21"/>
        <v>120900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15">
      <c r="A50" s="259" t="b">
        <f ca="1">F50=G51</f>
        <v>0</v>
      </c>
      <c r="B50" s="423">
        <v>2</v>
      </c>
      <c r="C50" s="428" t="s">
        <v>251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518">
        <v>1</v>
      </c>
      <c r="G50" s="283">
        <f ca="1">IF(ISERROR(OFFSET('HARGA SATUAN'!$I$6,MATCH(RAB!C50,'HARGA SATUAN'!$C$7:$C$1492,0),0)),0,OFFSET('HARGA SATUAN'!$I$6,MATCH(RAB!C50,'HARGA SATUAN'!$C$7:$C$1492,0),0))</f>
        <v>135800</v>
      </c>
      <c r="H50" s="284">
        <f t="shared" ca="1" si="18"/>
        <v>0</v>
      </c>
      <c r="I50" s="284">
        <f t="shared" ca="1" si="19"/>
        <v>135800</v>
      </c>
      <c r="J50" s="284">
        <f t="shared" ca="1" si="20"/>
        <v>0</v>
      </c>
      <c r="K50" s="285">
        <f t="shared" ca="1" si="21"/>
        <v>135800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 ht="16">
      <c r="A51" s="259">
        <f t="shared" ref="A51:A53" si="23">IF(AND(C51=0,C52=0,C53=0),"BLANKS",1)</f>
        <v>1</v>
      </c>
      <c r="B51" s="423">
        <v>3</v>
      </c>
      <c r="C51" s="426" t="s">
        <v>204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390">
        <v>1</v>
      </c>
      <c r="G51" s="283">
        <f ca="1">IF(ISERROR(OFFSET('HARGA SATUAN'!$I$6,MATCH(RAB!C51,'HARGA SATUAN'!$C$7:$C$1492,0),0)),0,OFFSET('HARGA SATUAN'!$I$6,MATCH(RAB!C51,'HARGA SATUAN'!$C$7:$C$1492,0),0))</f>
        <v>4500</v>
      </c>
      <c r="H51" s="284">
        <f t="shared" ca="1" si="7"/>
        <v>0</v>
      </c>
      <c r="I51" s="284">
        <f t="shared" ca="1" si="8"/>
        <v>4500</v>
      </c>
      <c r="J51" s="284">
        <f t="shared" ca="1" si="9"/>
        <v>0</v>
      </c>
      <c r="K51" s="285">
        <f t="shared" ca="1" si="10"/>
        <v>4500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 ht="16">
      <c r="A52" s="259">
        <f t="shared" si="23"/>
        <v>1</v>
      </c>
      <c r="B52" s="421">
        <v>4</v>
      </c>
      <c r="C52" s="422" t="s">
        <v>759</v>
      </c>
      <c r="D52" s="281" t="str">
        <f ca="1">IF(ISERROR(OFFSET('HARGA SATUAN'!$D$6,MATCH(RAB!C52,'HARGA SATUAN'!$C$7:$C$1492,0),0)),"",OFFSET('HARGA SATUAN'!$D$6,MATCH(RAB!C52,'HARGA SATUAN'!$C$7:$C$1492,0),0))</f>
        <v>JASA</v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518">
        <v>1</v>
      </c>
      <c r="G52" s="283">
        <f ca="1">IF(ISERROR(OFFSET('HARGA SATUAN'!$I$6,MATCH(RAB!C52,'HARGA SATUAN'!$C$7:$C$1492,0),0)),0,OFFSET('HARGA SATUAN'!$I$6,MATCH(RAB!C52,'HARGA SATUAN'!$C$7:$C$1492,0),0))</f>
        <v>55500</v>
      </c>
      <c r="H52" s="284">
        <f t="shared" ca="1" si="7"/>
        <v>0</v>
      </c>
      <c r="I52" s="284">
        <f t="shared" ca="1" si="8"/>
        <v>0</v>
      </c>
      <c r="J52" s="284">
        <f t="shared" ca="1" si="9"/>
        <v>55500</v>
      </c>
      <c r="K52" s="285">
        <f t="shared" ca="1" si="10"/>
        <v>55500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15">
      <c r="A53" s="259">
        <f t="shared" si="23"/>
        <v>1</v>
      </c>
      <c r="B53" s="421"/>
      <c r="C53" s="424"/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516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7"/>
        <v>0</v>
      </c>
      <c r="I53" s="284">
        <f t="shared" ca="1" si="8"/>
        <v>0</v>
      </c>
      <c r="J53" s="284">
        <f t="shared" ca="1" si="9"/>
        <v>0</v>
      </c>
      <c r="K53" s="285">
        <f t="shared" ca="1" si="10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 ht="16">
      <c r="A54" s="259" t="e">
        <f>IF(AND(C54=0,C55=0,#REF!=0),"BLANKS",1)</f>
        <v>#REF!</v>
      </c>
      <c r="B54" s="421" t="s">
        <v>1006</v>
      </c>
      <c r="C54" s="422" t="s">
        <v>1520</v>
      </c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390">
        <v>1</v>
      </c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7"/>
        <v>0</v>
      </c>
      <c r="I54" s="284">
        <f t="shared" ca="1" si="8"/>
        <v>0</v>
      </c>
      <c r="J54" s="284">
        <f t="shared" ca="1" si="9"/>
        <v>0</v>
      </c>
      <c r="K54" s="285">
        <f t="shared" ca="1" si="10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 ht="16">
      <c r="A55" s="259" t="e">
        <f>IF(AND(C55=0,#REF!=0,#REF!=0),"BLANKS",1)</f>
        <v>#REF!</v>
      </c>
      <c r="B55" s="421">
        <v>1</v>
      </c>
      <c r="C55" s="422" t="s">
        <v>18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390">
        <v>1</v>
      </c>
      <c r="G55" s="283">
        <f ca="1">IF(ISERROR(OFFSET('HARGA SATUAN'!$I$6,MATCH(RAB!C55,'HARGA SATUAN'!$C$7:$C$1492,0),0)),0,OFFSET('HARGA SATUAN'!$I$6,MATCH(RAB!C55,'HARGA SATUAN'!$C$7:$C$1492,0),0))</f>
        <v>26500</v>
      </c>
      <c r="H55" s="284">
        <f t="shared" ca="1" si="7"/>
        <v>0</v>
      </c>
      <c r="I55" s="284">
        <f t="shared" ca="1" si="8"/>
        <v>26500</v>
      </c>
      <c r="J55" s="284">
        <f t="shared" ca="1" si="9"/>
        <v>0</v>
      </c>
      <c r="K55" s="285">
        <f t="shared" ca="1" si="10"/>
        <v>26500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 ht="16">
      <c r="A56" s="259"/>
      <c r="B56" s="421">
        <v>2</v>
      </c>
      <c r="C56" s="422" t="s">
        <v>193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390">
        <v>1</v>
      </c>
      <c r="G56" s="283">
        <f ca="1">IF(ISERROR(OFFSET('HARGA SATUAN'!$I$6,MATCH(RAB!C56,'HARGA SATUAN'!$C$7:$C$1492,0),0)),0,OFFSET('HARGA SATUAN'!$I$6,MATCH(RAB!C56,'HARGA SATUAN'!$C$7:$C$1492,0),0))</f>
        <v>12500</v>
      </c>
      <c r="H56" s="284">
        <f t="shared" ca="1" si="7"/>
        <v>0</v>
      </c>
      <c r="I56" s="284">
        <f t="shared" ca="1" si="8"/>
        <v>12500</v>
      </c>
      <c r="J56" s="284">
        <f t="shared" ca="1" si="9"/>
        <v>0</v>
      </c>
      <c r="K56" s="285">
        <f t="shared" ca="1" si="10"/>
        <v>12500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16">
      <c r="A57" s="259">
        <f t="shared" ref="A57:A59" si="24">IF(AND(C57=0,C58=0,C59=0),"BLANKS",1)</f>
        <v>1</v>
      </c>
      <c r="B57" s="421">
        <v>3</v>
      </c>
      <c r="C57" s="422" t="s">
        <v>196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Mtr</v>
      </c>
      <c r="F57" s="390">
        <v>12</v>
      </c>
      <c r="G57" s="283">
        <f ca="1">IF(ISERROR(OFFSET('HARGA SATUAN'!$I$6,MATCH(RAB!C57,'HARGA SATUAN'!$C$7:$C$1492,0),0)),0,OFFSET('HARGA SATUAN'!$I$6,MATCH(RAB!C57,'HARGA SATUAN'!$C$7:$C$1492,0),0))</f>
        <v>39204</v>
      </c>
      <c r="H57" s="284">
        <f t="shared" ca="1" si="7"/>
        <v>0</v>
      </c>
      <c r="I57" s="284">
        <f t="shared" ca="1" si="8"/>
        <v>470448</v>
      </c>
      <c r="J57" s="284">
        <f t="shared" ca="1" si="9"/>
        <v>0</v>
      </c>
      <c r="K57" s="285">
        <f t="shared" ca="1" si="10"/>
        <v>470448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 ht="16">
      <c r="A58" s="259">
        <f t="shared" si="24"/>
        <v>1</v>
      </c>
      <c r="B58" s="421">
        <v>4</v>
      </c>
      <c r="C58" s="422" t="s">
        <v>277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390">
        <v>2</v>
      </c>
      <c r="G58" s="283">
        <f ca="1">IF(ISERROR(OFFSET('HARGA SATUAN'!$I$6,MATCH(RAB!C58,'HARGA SATUAN'!$C$7:$C$1492,0),0)),0,OFFSET('HARGA SATUAN'!$I$6,MATCH(RAB!C58,'HARGA SATUAN'!$C$7:$C$1492,0),0))</f>
        <v>40000</v>
      </c>
      <c r="H58" s="284">
        <f t="shared" ca="1" si="7"/>
        <v>0</v>
      </c>
      <c r="I58" s="284">
        <f t="shared" ca="1" si="8"/>
        <v>80000</v>
      </c>
      <c r="J58" s="284">
        <f t="shared" ca="1" si="9"/>
        <v>0</v>
      </c>
      <c r="K58" s="285">
        <f t="shared" ca="1" si="10"/>
        <v>80000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 ht="16">
      <c r="A59" s="259">
        <f t="shared" si="24"/>
        <v>1</v>
      </c>
      <c r="B59" s="421">
        <v>5</v>
      </c>
      <c r="C59" s="422" t="s">
        <v>16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390">
        <v>1</v>
      </c>
      <c r="G59" s="283">
        <f ca="1">IF(ISERROR(OFFSET('HARGA SATUAN'!$I$6,MATCH(RAB!C59,'HARGA SATUAN'!$C$7:$C$1492,0),0)),0,OFFSET('HARGA SATUAN'!$I$6,MATCH(RAB!C59,'HARGA SATUAN'!$C$7:$C$1492,0),0))</f>
        <v>2500</v>
      </c>
      <c r="H59" s="284">
        <f t="shared" ca="1" si="7"/>
        <v>0</v>
      </c>
      <c r="I59" s="284">
        <f t="shared" ca="1" si="8"/>
        <v>2500</v>
      </c>
      <c r="J59" s="284">
        <f t="shared" ca="1" si="9"/>
        <v>0</v>
      </c>
      <c r="K59" s="285">
        <f t="shared" ca="1" si="10"/>
        <v>2500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 ht="16">
      <c r="A60" s="259" t="e">
        <f>IF(AND(C60=0,C61=0,#REF!=0),"BLANKS",1)</f>
        <v>#REF!</v>
      </c>
      <c r="B60" s="421">
        <v>6</v>
      </c>
      <c r="C60" s="422" t="s">
        <v>751</v>
      </c>
      <c r="D60" s="281" t="str">
        <f ca="1">IF(ISERROR(OFFSET('HARGA SATUAN'!$D$6,MATCH(RAB!C60,'HARGA SATUAN'!$C$7:$C$1492,0),0)),"",OFFSET('HARGA SATUAN'!$D$6,MATCH(RAB!C60,'HARGA SATUAN'!$C$7:$C$1492,0),0))</f>
        <v>JASA</v>
      </c>
      <c r="E60" s="282" t="str">
        <f ca="1">IF(B60="+","Unit",IF(ISERROR(OFFSET('HARGA SATUAN'!$E$6,MATCH(RAB!C60,'HARGA SATUAN'!$C$7:$C$1492,0),0)),"",OFFSET('HARGA SATUAN'!$E$6,MATCH(RAB!C60,'HARGA SATUAN'!$C$7:$C$1492,0),0)))</f>
        <v>Unit</v>
      </c>
      <c r="F60" s="390">
        <v>1</v>
      </c>
      <c r="G60" s="283">
        <f ca="1">IF(ISERROR(OFFSET('HARGA SATUAN'!$I$6,MATCH(RAB!C60,'HARGA SATUAN'!$C$7:$C$1492,0),0)),0,OFFSET('HARGA SATUAN'!$I$6,MATCH(RAB!C60,'HARGA SATUAN'!$C$7:$C$1492,0),0))</f>
        <v>36600</v>
      </c>
      <c r="H60" s="284">
        <f t="shared" ca="1" si="7"/>
        <v>0</v>
      </c>
      <c r="I60" s="284">
        <f t="shared" ca="1" si="8"/>
        <v>0</v>
      </c>
      <c r="J60" s="284">
        <f t="shared" ca="1" si="9"/>
        <v>36600</v>
      </c>
      <c r="K60" s="285">
        <f t="shared" ca="1" si="10"/>
        <v>36600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 ht="15">
      <c r="A61" s="259" t="e">
        <f>IF(AND(C61=0,#REF!=0,#REF!=0),"BLANKS",1)</f>
        <v>#REF!</v>
      </c>
      <c r="B61" s="425"/>
      <c r="C61" s="424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517"/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7"/>
        <v>0</v>
      </c>
      <c r="I61" s="284">
        <f t="shared" ca="1" si="8"/>
        <v>0</v>
      </c>
      <c r="J61" s="284">
        <f t="shared" ca="1" si="9"/>
        <v>0</v>
      </c>
      <c r="K61" s="285">
        <f t="shared" ca="1" si="10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 ht="16">
      <c r="A62" s="259">
        <f t="shared" ref="A62:A64" si="25">IF(AND(C62=0,C63=0,C64=0),"BLANKS",1)</f>
        <v>1</v>
      </c>
      <c r="B62" s="421" t="s">
        <v>1006</v>
      </c>
      <c r="C62" s="422" t="s">
        <v>1415</v>
      </c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390">
        <v>1</v>
      </c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ca="1" si="7"/>
        <v>0</v>
      </c>
      <c r="I62" s="284">
        <f t="shared" ca="1" si="8"/>
        <v>0</v>
      </c>
      <c r="J62" s="284">
        <f t="shared" ca="1" si="9"/>
        <v>0</v>
      </c>
      <c r="K62" s="285">
        <f t="shared" ca="1" si="1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 ht="16">
      <c r="A63" s="259">
        <f t="shared" si="25"/>
        <v>1</v>
      </c>
      <c r="B63" s="421">
        <v>1</v>
      </c>
      <c r="C63" s="422" t="s">
        <v>20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390">
        <v>1</v>
      </c>
      <c r="G63" s="283">
        <f ca="1">IF(ISERROR(OFFSET('HARGA SATUAN'!$I$6,MATCH(RAB!C63,'HARGA SATUAN'!$C$7:$C$1492,0),0)),0,OFFSET('HARGA SATUAN'!$I$6,MATCH(RAB!C63,'HARGA SATUAN'!$C$7:$C$1492,0),0))</f>
        <v>47459</v>
      </c>
      <c r="H63" s="284">
        <f t="shared" ca="1" si="7"/>
        <v>0</v>
      </c>
      <c r="I63" s="284">
        <f t="shared" ca="1" si="8"/>
        <v>47459</v>
      </c>
      <c r="J63" s="284">
        <f t="shared" ca="1" si="9"/>
        <v>0</v>
      </c>
      <c r="K63" s="285">
        <f t="shared" ca="1" si="10"/>
        <v>47459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16">
      <c r="A64" s="259">
        <f t="shared" si="25"/>
        <v>1</v>
      </c>
      <c r="B64" s="421">
        <v>2</v>
      </c>
      <c r="C64" s="422" t="s">
        <v>22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390">
        <v>1</v>
      </c>
      <c r="G64" s="283">
        <f ca="1">IF(ISERROR(OFFSET('HARGA SATUAN'!$I$6,MATCH(RAB!C64,'HARGA SATUAN'!$C$7:$C$1492,0),0)),0,OFFSET('HARGA SATUAN'!$I$6,MATCH(RAB!C64,'HARGA SATUAN'!$C$7:$C$1492,0),0))</f>
        <v>30000</v>
      </c>
      <c r="H64" s="284">
        <f t="shared" ca="1" si="7"/>
        <v>0</v>
      </c>
      <c r="I64" s="284">
        <f t="shared" ca="1" si="8"/>
        <v>30000</v>
      </c>
      <c r="J64" s="284">
        <f t="shared" ca="1" si="9"/>
        <v>0</v>
      </c>
      <c r="K64" s="285">
        <f t="shared" ca="1" si="10"/>
        <v>30000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16">
      <c r="A65" s="259" t="e">
        <f>IF(AND(C65=0,C66=0,#REF!=0),"BLANKS",1)</f>
        <v>#REF!</v>
      </c>
      <c r="B65" s="421">
        <v>3</v>
      </c>
      <c r="C65" s="422" t="s">
        <v>23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390">
        <v>1</v>
      </c>
      <c r="G65" s="283">
        <f ca="1">IF(ISERROR(OFFSET('HARGA SATUAN'!$I$6,MATCH(RAB!C65,'HARGA SATUAN'!$C$7:$C$1492,0),0)),0,OFFSET('HARGA SATUAN'!$I$6,MATCH(RAB!C65,'HARGA SATUAN'!$C$7:$C$1492,0),0))</f>
        <v>9500</v>
      </c>
      <c r="H65" s="284">
        <f t="shared" ca="1" si="7"/>
        <v>0</v>
      </c>
      <c r="I65" s="284">
        <f t="shared" ca="1" si="8"/>
        <v>9500</v>
      </c>
      <c r="J65" s="284">
        <f t="shared" ca="1" si="9"/>
        <v>0</v>
      </c>
      <c r="K65" s="285">
        <f t="shared" ca="1" si="10"/>
        <v>9500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16">
      <c r="A66" s="259" t="e">
        <f>IF(AND(C66=0,#REF!=0,#REF!=0),"BLANKS",1)</f>
        <v>#REF!</v>
      </c>
      <c r="B66" s="421">
        <v>4</v>
      </c>
      <c r="C66" s="422" t="s">
        <v>729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390">
        <v>1</v>
      </c>
      <c r="G66" s="283">
        <f ca="1">IF(ISERROR(OFFSET('HARGA SATUAN'!$I$6,MATCH(RAB!C66,'HARGA SATUAN'!$C$7:$C$1492,0),0)),0,OFFSET('HARGA SATUAN'!$I$6,MATCH(RAB!C66,'HARGA SATUAN'!$C$7:$C$1492,0),0))</f>
        <v>21200</v>
      </c>
      <c r="H66" s="284">
        <f t="shared" ca="1" si="7"/>
        <v>0</v>
      </c>
      <c r="I66" s="284">
        <f t="shared" ca="1" si="8"/>
        <v>0</v>
      </c>
      <c r="J66" s="284">
        <f t="shared" ca="1" si="9"/>
        <v>21200</v>
      </c>
      <c r="K66" s="285">
        <f t="shared" ca="1" si="10"/>
        <v>21200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15">
      <c r="A67" s="259"/>
      <c r="B67" s="425"/>
      <c r="C67" s="424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517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7"/>
        <v>0</v>
      </c>
      <c r="I67" s="284">
        <f t="shared" ca="1" si="8"/>
        <v>0</v>
      </c>
      <c r="J67" s="284">
        <f t="shared" ca="1" si="9"/>
        <v>0</v>
      </c>
      <c r="K67" s="285">
        <f t="shared" ca="1" si="10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16">
      <c r="A68" s="259">
        <f>IF(AND(C68=0,C69=0,C91=0),"BLANKS",1)</f>
        <v>1</v>
      </c>
      <c r="B68" s="421" t="s">
        <v>1006</v>
      </c>
      <c r="C68" s="422" t="s">
        <v>1414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390">
        <v>3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16">
      <c r="A69" s="259">
        <f>IF(AND(C69=0,C91=0,C92=0),"BLANKS",1)</f>
        <v>1</v>
      </c>
      <c r="B69" s="421">
        <v>1</v>
      </c>
      <c r="C69" s="422" t="s">
        <v>20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390">
        <v>3</v>
      </c>
      <c r="G69" s="283">
        <f ca="1">IF(ISERROR(OFFSET('HARGA SATUAN'!$I$6,MATCH(RAB!C69,'HARGA SATUAN'!$C$7:$C$1492,0),0)),0,OFFSET('HARGA SATUAN'!$I$6,MATCH(RAB!C69,'HARGA SATUAN'!$C$7:$C$1492,0),0))</f>
        <v>47459</v>
      </c>
      <c r="H69" s="284">
        <f t="shared" ca="1" si="7"/>
        <v>0</v>
      </c>
      <c r="I69" s="284">
        <f t="shared" ca="1" si="8"/>
        <v>142377</v>
      </c>
      <c r="J69" s="284">
        <f t="shared" ca="1" si="9"/>
        <v>0</v>
      </c>
      <c r="K69" s="285">
        <f t="shared" ca="1" si="10"/>
        <v>142377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 ht="16">
      <c r="A70" s="259" t="s">
        <v>1416</v>
      </c>
      <c r="B70" s="421">
        <v>2</v>
      </c>
      <c r="C70" s="422" t="s">
        <v>22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Mtr</v>
      </c>
      <c r="F70" s="390">
        <v>2.4000000000000004</v>
      </c>
      <c r="G70" s="283">
        <f ca="1">IF(ISERROR(OFFSET('HARGA SATUAN'!$I$6,MATCH(RAB!C70,'HARGA SATUAN'!$C$7:$C$1492,0),0)),0,OFFSET('HARGA SATUAN'!$I$6,MATCH(RAB!C70,'HARGA SATUAN'!$C$7:$C$1492,0),0))</f>
        <v>30000</v>
      </c>
      <c r="H70" s="284">
        <f t="shared" ca="1" si="7"/>
        <v>0</v>
      </c>
      <c r="I70" s="284">
        <f t="shared" ca="1" si="8"/>
        <v>72000.000000000015</v>
      </c>
      <c r="J70" s="284">
        <f t="shared" ca="1" si="9"/>
        <v>0</v>
      </c>
      <c r="K70" s="285">
        <f t="shared" ca="1" si="10"/>
        <v>72000.000000000015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 ht="16">
      <c r="A71" s="259" t="e">
        <f>IF(AND(C71=0,#REF!=0,#REF!=0),"BLANKS",1)</f>
        <v>#REF!</v>
      </c>
      <c r="B71" s="421">
        <v>3</v>
      </c>
      <c r="C71" s="422" t="s">
        <v>23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390">
        <v>3</v>
      </c>
      <c r="G71" s="283">
        <f ca="1">IF(ISERROR(OFFSET('HARGA SATUAN'!$I$6,MATCH(RAB!C71,'HARGA SATUAN'!$C$7:$C$1492,0),0)),0,OFFSET('HARGA SATUAN'!$I$6,MATCH(RAB!C71,'HARGA SATUAN'!$C$7:$C$1492,0),0))</f>
        <v>9500</v>
      </c>
      <c r="H71" s="284">
        <f t="shared" ca="1" si="7"/>
        <v>0</v>
      </c>
      <c r="I71" s="284">
        <f t="shared" ca="1" si="8"/>
        <v>28500</v>
      </c>
      <c r="J71" s="284">
        <f t="shared" ca="1" si="9"/>
        <v>0</v>
      </c>
      <c r="K71" s="285">
        <f t="shared" ca="1" si="10"/>
        <v>28500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16">
      <c r="A72" s="259" t="s">
        <v>1416</v>
      </c>
      <c r="B72" s="421">
        <v>4</v>
      </c>
      <c r="C72" s="422" t="s">
        <v>728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390">
        <v>3</v>
      </c>
      <c r="G72" s="283">
        <f ca="1">IF(ISERROR(OFFSET('HARGA SATUAN'!$I$6,MATCH(RAB!C72,'HARGA SATUAN'!$C$7:$C$1492,0),0)),0,OFFSET('HARGA SATUAN'!$I$6,MATCH(RAB!C72,'HARGA SATUAN'!$C$7:$C$1492,0),0))</f>
        <v>16200</v>
      </c>
      <c r="H72" s="284">
        <f t="shared" ca="1" si="7"/>
        <v>0</v>
      </c>
      <c r="I72" s="284">
        <f t="shared" ca="1" si="8"/>
        <v>0</v>
      </c>
      <c r="J72" s="284">
        <f t="shared" ca="1" si="9"/>
        <v>48600</v>
      </c>
      <c r="K72" s="285">
        <f t="shared" ca="1" si="10"/>
        <v>48600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 ht="15">
      <c r="A73" s="259" t="e">
        <f>IF(AND(C73=0,#REF!=0,#REF!=0),"BLANKS",1)</f>
        <v>#REF!</v>
      </c>
      <c r="B73" s="421"/>
      <c r="C73" s="422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390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 ht="15">
      <c r="A74" s="259"/>
      <c r="B74" s="423" t="s">
        <v>1006</v>
      </c>
      <c r="C74" s="428" t="s">
        <v>1517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390">
        <v>2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 ht="16">
      <c r="A75" s="259" t="e">
        <f>IF(AND(C75=0,C76=0,#REF!=0),"BLANKS",1)</f>
        <v>#REF!</v>
      </c>
      <c r="B75" s="423">
        <v>1</v>
      </c>
      <c r="C75" s="426" t="s">
        <v>19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390">
        <v>2</v>
      </c>
      <c r="G75" s="283">
        <f ca="1">IF(ISERROR(OFFSET('HARGA SATUAN'!$I$6,MATCH(RAB!C75,'HARGA SATUAN'!$C$7:$C$1492,0),0)),0,OFFSET('HARGA SATUAN'!$I$6,MATCH(RAB!C75,'HARGA SATUAN'!$C$7:$C$1492,0),0))</f>
        <v>185200</v>
      </c>
      <c r="H75" s="284">
        <f t="shared" ca="1" si="7"/>
        <v>0</v>
      </c>
      <c r="I75" s="284">
        <f t="shared" ca="1" si="8"/>
        <v>370400</v>
      </c>
      <c r="J75" s="284">
        <f t="shared" ca="1" si="9"/>
        <v>0</v>
      </c>
      <c r="K75" s="285">
        <f t="shared" ca="1" si="10"/>
        <v>370400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16">
      <c r="A76" s="259" t="e">
        <f>IF(AND(C76=0,#REF!=0,#REF!=0),"BLANKS",1)</f>
        <v>#REF!</v>
      </c>
      <c r="B76" s="421">
        <v>2</v>
      </c>
      <c r="C76" s="422" t="s">
        <v>20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390">
        <v>2</v>
      </c>
      <c r="G76" s="283">
        <f ca="1">IF(ISERROR(OFFSET('HARGA SATUAN'!$I$6,MATCH(RAB!C76,'HARGA SATUAN'!$C$7:$C$1492,0),0)),0,OFFSET('HARGA SATUAN'!$I$6,MATCH(RAB!C76,'HARGA SATUAN'!$C$7:$C$1492,0),0))</f>
        <v>47459</v>
      </c>
      <c r="H76" s="284">
        <f t="shared" ca="1" si="7"/>
        <v>0</v>
      </c>
      <c r="I76" s="284">
        <f t="shared" ca="1" si="8"/>
        <v>94918</v>
      </c>
      <c r="J76" s="284">
        <f t="shared" ca="1" si="9"/>
        <v>0</v>
      </c>
      <c r="K76" s="285">
        <f t="shared" ca="1" si="10"/>
        <v>94918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 ht="16">
      <c r="A77" s="259" t="s">
        <v>1416</v>
      </c>
      <c r="B77" s="421">
        <v>3</v>
      </c>
      <c r="C77" s="422" t="s">
        <v>21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390">
        <v>2</v>
      </c>
      <c r="G77" s="283">
        <f ca="1">IF(ISERROR(OFFSET('HARGA SATUAN'!$I$6,MATCH(RAB!C77,'HARGA SATUAN'!$C$7:$C$1492,0),0)),0,OFFSET('HARGA SATUAN'!$I$6,MATCH(RAB!C77,'HARGA SATUAN'!$C$7:$C$1492,0),0))</f>
        <v>4880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9760</v>
      </c>
      <c r="J77" s="284">
        <f t="shared" ref="J77:J83" ca="1" si="28">IF(D77="JASA",G77*F77,0)</f>
        <v>0</v>
      </c>
      <c r="K77" s="285">
        <f t="shared" ref="K77:K83" ca="1" si="29">SUM(H77:J77)</f>
        <v>9760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 ht="16">
      <c r="A78" s="259" t="e">
        <f>IF(AND(C78=0,#REF!=0,#REF!=0),"BLANKS",1)</f>
        <v>#REF!</v>
      </c>
      <c r="B78" s="421">
        <v>4</v>
      </c>
      <c r="C78" s="422" t="s">
        <v>22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Mtr</v>
      </c>
      <c r="F78" s="390">
        <v>20</v>
      </c>
      <c r="G78" s="283">
        <f ca="1">IF(ISERROR(OFFSET('HARGA SATUAN'!$I$6,MATCH(RAB!C78,'HARGA SATUAN'!$C$7:$C$1492,0),0)),0,OFFSET('HARGA SATUAN'!$I$6,MATCH(RAB!C78,'HARGA SATUAN'!$C$7:$C$1492,0),0))</f>
        <v>30000</v>
      </c>
      <c r="H78" s="284">
        <f t="shared" ca="1" si="26"/>
        <v>0</v>
      </c>
      <c r="I78" s="284">
        <f t="shared" ca="1" si="27"/>
        <v>600000</v>
      </c>
      <c r="J78" s="284">
        <f t="shared" ca="1" si="28"/>
        <v>0</v>
      </c>
      <c r="K78" s="285">
        <f t="shared" ca="1" si="29"/>
        <v>600000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 ht="16">
      <c r="A79" s="259" t="s">
        <v>1416</v>
      </c>
      <c r="B79" s="421">
        <v>5</v>
      </c>
      <c r="C79" s="422" t="s">
        <v>23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390">
        <v>4</v>
      </c>
      <c r="G79" s="283">
        <f ca="1">IF(ISERROR(OFFSET('HARGA SATUAN'!$I$6,MATCH(RAB!C79,'HARGA SATUAN'!$C$7:$C$1492,0),0)),0,OFFSET('HARGA SATUAN'!$I$6,MATCH(RAB!C79,'HARGA SATUAN'!$C$7:$C$1492,0),0))</f>
        <v>9500</v>
      </c>
      <c r="H79" s="284">
        <f t="shared" ca="1" si="26"/>
        <v>0</v>
      </c>
      <c r="I79" s="284">
        <f t="shared" ca="1" si="27"/>
        <v>38000</v>
      </c>
      <c r="J79" s="284">
        <f t="shared" ca="1" si="28"/>
        <v>0</v>
      </c>
      <c r="K79" s="285">
        <f t="shared" ca="1" si="29"/>
        <v>38000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 ht="16">
      <c r="A80" s="259" t="e">
        <f>IF(AND(C80=0,#REF!=0,#REF!=0),"BLANKS",1)</f>
        <v>#REF!</v>
      </c>
      <c r="B80" s="421">
        <v>6</v>
      </c>
      <c r="C80" s="422" t="s">
        <v>24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390">
        <v>11</v>
      </c>
      <c r="G80" s="283">
        <f ca="1">IF(ISERROR(OFFSET('HARGA SATUAN'!$I$6,MATCH(RAB!C80,'HARGA SATUAN'!$C$7:$C$1492,0),0)),0,OFFSET('HARGA SATUAN'!$I$6,MATCH(RAB!C80,'HARGA SATUAN'!$C$7:$C$1492,0),0))</f>
        <v>6100</v>
      </c>
      <c r="H80" s="284">
        <f t="shared" ca="1" si="26"/>
        <v>0</v>
      </c>
      <c r="I80" s="284">
        <f t="shared" ca="1" si="27"/>
        <v>67100</v>
      </c>
      <c r="J80" s="284">
        <f t="shared" ca="1" si="28"/>
        <v>0</v>
      </c>
      <c r="K80" s="285">
        <f t="shared" ca="1" si="29"/>
        <v>67100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 ht="16">
      <c r="A81" s="259"/>
      <c r="B81" s="421">
        <v>7</v>
      </c>
      <c r="C81" s="422" t="s">
        <v>25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390">
        <v>12</v>
      </c>
      <c r="G81" s="283">
        <f ca="1">IF(ISERROR(OFFSET('HARGA SATUAN'!$I$6,MATCH(RAB!C81,'HARGA SATUAN'!$C$7:$C$1492,0),0)),0,OFFSET('HARGA SATUAN'!$I$6,MATCH(RAB!C81,'HARGA SATUAN'!$C$7:$C$1492,0),0))</f>
        <v>2300</v>
      </c>
      <c r="H81" s="284">
        <f t="shared" ca="1" si="26"/>
        <v>0</v>
      </c>
      <c r="I81" s="284">
        <f t="shared" ca="1" si="27"/>
        <v>27600</v>
      </c>
      <c r="J81" s="284">
        <f t="shared" ca="1" si="28"/>
        <v>0</v>
      </c>
      <c r="K81" s="285">
        <f t="shared" ca="1" si="29"/>
        <v>27600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 ht="16">
      <c r="A82" s="259" t="e">
        <f>IF(AND(C82=0,C83=0,#REF!=0),"BLANKS",1)</f>
        <v>#REF!</v>
      </c>
      <c r="B82" s="421">
        <v>8</v>
      </c>
      <c r="C82" s="422" t="s">
        <v>1518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Mtr</v>
      </c>
      <c r="F82" s="390">
        <v>9.6</v>
      </c>
      <c r="G82" s="283">
        <f ca="1">IF(ISERROR(OFFSET('HARGA SATUAN'!$I$6,MATCH(RAB!C82,'HARGA SATUAN'!$C$7:$C$1492,0),0)),0,OFFSET('HARGA SATUAN'!$I$6,MATCH(RAB!C82,'HARGA SATUAN'!$C$7:$C$1492,0),0))</f>
        <v>23310</v>
      </c>
      <c r="H82" s="284">
        <f t="shared" ca="1" si="26"/>
        <v>0</v>
      </c>
      <c r="I82" s="284">
        <f t="shared" ca="1" si="27"/>
        <v>223776</v>
      </c>
      <c r="J82" s="284">
        <f t="shared" ca="1" si="28"/>
        <v>0</v>
      </c>
      <c r="K82" s="285">
        <f t="shared" ca="1" si="29"/>
        <v>223776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 ht="16">
      <c r="A83" s="259" t="e">
        <f>IF(AND(C83=0,#REF!=0,#REF!=0),"BLANKS",1)</f>
        <v>#REF!</v>
      </c>
      <c r="B83" s="421">
        <v>9</v>
      </c>
      <c r="C83" s="422" t="s">
        <v>727</v>
      </c>
      <c r="D83" s="281" t="str">
        <f ca="1">IF(ISERROR(OFFSET('HARGA SATUAN'!$D$6,MATCH(RAB!C83,'HARGA SATUAN'!$C$7:$C$1492,0),0)),"",OFFSET('HARGA SATUAN'!$D$6,MATCH(RAB!C83,'HARGA SATUAN'!$C$7:$C$1492,0),0))</f>
        <v>JASA</v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390">
        <v>2</v>
      </c>
      <c r="G83" s="283">
        <f ca="1">IF(ISERROR(OFFSET('HARGA SATUAN'!$I$6,MATCH(RAB!C83,'HARGA SATUAN'!$C$7:$C$1492,0),0)),0,OFFSET('HARGA SATUAN'!$I$6,MATCH(RAB!C83,'HARGA SATUAN'!$C$7:$C$1492,0),0))</f>
        <v>65400</v>
      </c>
      <c r="H83" s="284">
        <f t="shared" ca="1" si="26"/>
        <v>0</v>
      </c>
      <c r="I83" s="284">
        <f t="shared" ca="1" si="27"/>
        <v>0</v>
      </c>
      <c r="J83" s="284">
        <f t="shared" ca="1" si="28"/>
        <v>130800</v>
      </c>
      <c r="K83" s="285">
        <f t="shared" ca="1" si="29"/>
        <v>130800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 ht="15">
      <c r="A84" s="259"/>
      <c r="B84" s="421"/>
      <c r="C84" s="422"/>
      <c r="D84" s="281"/>
      <c r="E84" s="282"/>
      <c r="F84" s="390"/>
      <c r="G84" s="283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 ht="16">
      <c r="A85" s="259" t="e">
        <f>IF(AND(C85=0,#REF!=0,#REF!=0),"BLANKS",1)</f>
        <v>#REF!</v>
      </c>
      <c r="B85" s="421" t="s">
        <v>1006</v>
      </c>
      <c r="C85" s="422" t="s">
        <v>1585</v>
      </c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518">
        <v>2</v>
      </c>
      <c r="G85" s="283">
        <f ca="1">IF(ISERROR(OFFSET('HARGA SATUAN'!$I$6,MATCH(RAB!C85,'HARGA SATUAN'!$C$7:$C$1492,0),0)),0,OFFSET('HARGA SATUAN'!$I$6,MATCH(RAB!C85,'HARGA SATUAN'!$C$7:$C$1492,0),0))</f>
        <v>0</v>
      </c>
      <c r="H85" s="284">
        <f t="shared" ref="H85:H90" ca="1" si="30">IF(OR(D85="MDU",D85="MDU-KD"),(IF($O$3="RAB NON MDU","PLN KD",G85*F85)),0)</f>
        <v>0</v>
      </c>
      <c r="I85" s="284">
        <f t="shared" ref="I85:I90" ca="1" si="31">IF(D85="HDW",G85*F85,0)</f>
        <v>0</v>
      </c>
      <c r="J85" s="284">
        <f t="shared" ref="J85:J90" ca="1" si="32">IF(D85="JASA",G85*F85,0)</f>
        <v>0</v>
      </c>
      <c r="K85" s="285">
        <f t="shared" ref="K85:K90" ca="1" si="33">SUM(H85:J85)</f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32">
      <c r="A86" s="259" t="s">
        <v>1416</v>
      </c>
      <c r="B86" s="421">
        <v>1</v>
      </c>
      <c r="C86" s="422" t="s">
        <v>1586</v>
      </c>
      <c r="D86" s="281" t="str">
        <f ca="1">IF(ISERROR(OFFSET('HARGA SATUAN'!$D$6,MATCH(RAB!C86,'HARGA SATUAN'!$C$7:$C$1492,0),0)),"",OFFSET('HARGA SATUAN'!$D$6,MATCH(RAB!C86,'HARGA SATUAN'!$C$7:$C$1492,0),0))</f>
        <v/>
      </c>
      <c r="E86" s="282" t="str">
        <f ca="1">IF(B86="+","Unit",IF(ISERROR(OFFSET('HARGA SATUAN'!$E$6,MATCH(RAB!C86,'HARGA SATUAN'!$C$7:$C$1492,0),0)),"",OFFSET('HARGA SATUAN'!$E$6,MATCH(RAB!C86,'HARGA SATUAN'!$C$7:$C$1492,0),0)))</f>
        <v/>
      </c>
      <c r="F86" s="518">
        <v>6</v>
      </c>
      <c r="G86" s="400">
        <f ca="1">IF(ISERROR(OFFSET('HARGA SATUAN'!$I$6,MATCH(RAB!C86,'HARGA SATUAN'!$C$7:$C$1492,0),0)),0,OFFSET('HARGA SATUAN'!$I$6,MATCH(RAB!C86,'HARGA SATUAN'!$C$7:$C$1492,0),0))</f>
        <v>0</v>
      </c>
      <c r="H86" s="284">
        <f t="shared" ca="1" si="30"/>
        <v>0</v>
      </c>
      <c r="I86" s="284">
        <f t="shared" ca="1" si="31"/>
        <v>0</v>
      </c>
      <c r="J86" s="284">
        <f t="shared" ca="1" si="32"/>
        <v>0</v>
      </c>
      <c r="K86" s="285">
        <f t="shared" ca="1" si="33"/>
        <v>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 ht="16">
      <c r="A87" s="259" t="e">
        <f>IF(AND(C87=0,#REF!=0,#REF!=0),"BLANKS",1)</f>
        <v>#REF!</v>
      </c>
      <c r="B87" s="421">
        <v>2</v>
      </c>
      <c r="C87" s="422" t="s">
        <v>142</v>
      </c>
      <c r="D87" s="281" t="str">
        <f ca="1">IF(ISERROR(OFFSET('HARGA SATUAN'!$D$6,MATCH(RAB!C87,'HARGA SATUAN'!$C$7:$C$1492,0),0)),"",OFFSET('HARGA SATUAN'!$D$6,MATCH(RAB!C87,'HARGA SATUAN'!$C$7:$C$1492,0),0))</f>
        <v>HDW</v>
      </c>
      <c r="E87" s="282" t="str">
        <f ca="1">IF(B87="+","Unit",IF(ISERROR(OFFSET('HARGA SATUAN'!$E$6,MATCH(RAB!C87,'HARGA SATUAN'!$C$7:$C$1492,0),0)),"",OFFSET('HARGA SATUAN'!$E$6,MATCH(RAB!C87,'HARGA SATUAN'!$C$7:$C$1492,0),0)))</f>
        <v>Mtr</v>
      </c>
      <c r="F87" s="518">
        <v>2</v>
      </c>
      <c r="G87" s="283">
        <f ca="1">IF(ISERROR(OFFSET('HARGA SATUAN'!$I$6,MATCH(RAB!C87,'HARGA SATUAN'!$C$7:$C$1492,0),0)),0,OFFSET('HARGA SATUAN'!$I$6,MATCH(RAB!C87,'HARGA SATUAN'!$C$7:$C$1492,0),0))</f>
        <v>7789</v>
      </c>
      <c r="H87" s="284">
        <f t="shared" ca="1" si="30"/>
        <v>0</v>
      </c>
      <c r="I87" s="284">
        <f t="shared" ca="1" si="31"/>
        <v>15578</v>
      </c>
      <c r="J87" s="284">
        <f t="shared" ca="1" si="32"/>
        <v>0</v>
      </c>
      <c r="K87" s="285">
        <f t="shared" ca="1" si="33"/>
        <v>15578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 ht="16">
      <c r="A88" s="259"/>
      <c r="B88" s="421">
        <v>3</v>
      </c>
      <c r="C88" s="422" t="s">
        <v>147</v>
      </c>
      <c r="D88" s="281" t="str">
        <f ca="1">IF(ISERROR(OFFSET('HARGA SATUAN'!$D$6,MATCH(RAB!C88,'HARGA SATUAN'!$C$7:$C$1492,0),0)),"",OFFSET('HARGA SATUAN'!$D$6,MATCH(RAB!C88,'HARGA SATUAN'!$C$7:$C$1492,0),0))</f>
        <v>HDW</v>
      </c>
      <c r="E88" s="282" t="str">
        <f ca="1">IF(B88="+","Unit",IF(ISERROR(OFFSET('HARGA SATUAN'!$E$6,MATCH(RAB!C88,'HARGA SATUAN'!$C$7:$C$1492,0),0)),"",OFFSET('HARGA SATUAN'!$E$6,MATCH(RAB!C88,'HARGA SATUAN'!$C$7:$C$1492,0),0)))</f>
        <v>Bh</v>
      </c>
      <c r="F88" s="518">
        <v>4</v>
      </c>
      <c r="G88" s="283">
        <f ca="1">IF(ISERROR(OFFSET('HARGA SATUAN'!$I$6,MATCH(RAB!C88,'HARGA SATUAN'!$C$7:$C$1492,0),0)),0,OFFSET('HARGA SATUAN'!$I$6,MATCH(RAB!C88,'HARGA SATUAN'!$C$7:$C$1492,0),0))</f>
        <v>40000</v>
      </c>
      <c r="H88" s="284">
        <f t="shared" ca="1" si="30"/>
        <v>0</v>
      </c>
      <c r="I88" s="284">
        <f t="shared" ca="1" si="31"/>
        <v>160000</v>
      </c>
      <c r="J88" s="284">
        <f t="shared" ca="1" si="32"/>
        <v>0</v>
      </c>
      <c r="K88" s="285">
        <f t="shared" ca="1" si="33"/>
        <v>160000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 ht="16">
      <c r="A89" s="259" t="e">
        <f>IF(AND(C89=0,C90=0,#REF!=0),"BLANKS",1)</f>
        <v>#REF!</v>
      </c>
      <c r="B89" s="421">
        <v>4</v>
      </c>
      <c r="C89" s="422" t="s">
        <v>18</v>
      </c>
      <c r="D89" s="281" t="str">
        <f ca="1">IF(ISERROR(OFFSET('HARGA SATUAN'!$D$6,MATCH(RAB!C89,'HARGA SATUAN'!$C$7:$C$1492,0),0)),"",OFFSET('HARGA SATUAN'!$D$6,MATCH(RAB!C89,'HARGA SATUAN'!$C$7:$C$1492,0),0))</f>
        <v>HDW</v>
      </c>
      <c r="E89" s="282" t="str">
        <f ca="1">IF(B89="+","Unit",IF(ISERROR(OFFSET('HARGA SATUAN'!$E$6,MATCH(RAB!C89,'HARGA SATUAN'!$C$7:$C$1492,0),0)),"",OFFSET('HARGA SATUAN'!$E$6,MATCH(RAB!C89,'HARGA SATUAN'!$C$7:$C$1492,0),0)))</f>
        <v>Bh</v>
      </c>
      <c r="F89" s="518">
        <v>2</v>
      </c>
      <c r="G89" s="283">
        <f ca="1">IF(ISERROR(OFFSET('HARGA SATUAN'!$I$6,MATCH(RAB!C89,'HARGA SATUAN'!$C$7:$C$1492,0),0)),0,OFFSET('HARGA SATUAN'!$I$6,MATCH(RAB!C89,'HARGA SATUAN'!$C$7:$C$1492,0),0))</f>
        <v>26500</v>
      </c>
      <c r="H89" s="284">
        <f t="shared" ca="1" si="30"/>
        <v>0</v>
      </c>
      <c r="I89" s="284">
        <f t="shared" ca="1" si="31"/>
        <v>53000</v>
      </c>
      <c r="J89" s="284">
        <f t="shared" ca="1" si="32"/>
        <v>0</v>
      </c>
      <c r="K89" s="285">
        <f t="shared" ca="1" si="33"/>
        <v>53000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16">
      <c r="A90" s="259" t="e">
        <f>IF(AND(C90=0,#REF!=0,#REF!=0),"BLANKS",1)</f>
        <v>#REF!</v>
      </c>
      <c r="B90" s="421">
        <v>5</v>
      </c>
      <c r="C90" s="422" t="s">
        <v>153</v>
      </c>
      <c r="D90" s="281" t="str">
        <f ca="1">IF(ISERROR(OFFSET('HARGA SATUAN'!$D$6,MATCH(RAB!C90,'HARGA SATUAN'!$C$7:$C$1492,0),0)),"",OFFSET('HARGA SATUAN'!$D$6,MATCH(RAB!C90,'HARGA SATUAN'!$C$7:$C$1492,0),0))</f>
        <v>HDW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518">
        <v>8</v>
      </c>
      <c r="G90" s="283">
        <f ca="1">IF(ISERROR(OFFSET('HARGA SATUAN'!$I$6,MATCH(RAB!C90,'HARGA SATUAN'!$C$7:$C$1492,0),0)),0,OFFSET('HARGA SATUAN'!$I$6,MATCH(RAB!C90,'HARGA SATUAN'!$C$7:$C$1492,0),0))</f>
        <v>7938</v>
      </c>
      <c r="H90" s="284">
        <f t="shared" ca="1" si="30"/>
        <v>0</v>
      </c>
      <c r="I90" s="284">
        <f t="shared" ca="1" si="31"/>
        <v>63504</v>
      </c>
      <c r="J90" s="284">
        <f t="shared" ca="1" si="32"/>
        <v>0</v>
      </c>
      <c r="K90" s="285">
        <f t="shared" ca="1" si="33"/>
        <v>63504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 ht="16">
      <c r="A91" s="259" t="b">
        <f ca="1">F91=G92</f>
        <v>0</v>
      </c>
      <c r="B91" s="421">
        <v>6</v>
      </c>
      <c r="C91" s="422" t="s">
        <v>163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Bh</v>
      </c>
      <c r="F91" s="518">
        <v>8</v>
      </c>
      <c r="G91" s="283">
        <f ca="1">IF(ISERROR(OFFSET('HARGA SATUAN'!$I$6,MATCH(RAB!C91,'HARGA SATUAN'!$C$7:$C$1492,0),0)),0,OFFSET('HARGA SATUAN'!$I$6,MATCH(RAB!C91,'HARGA SATUAN'!$C$7:$C$1492,0),0))</f>
        <v>45000</v>
      </c>
      <c r="H91" s="284">
        <f t="shared" ca="1" si="7"/>
        <v>0</v>
      </c>
      <c r="I91" s="284">
        <f t="shared" ca="1" si="8"/>
        <v>360000</v>
      </c>
      <c r="J91" s="284">
        <f t="shared" ca="1" si="9"/>
        <v>0</v>
      </c>
      <c r="K91" s="285">
        <f t="shared" ca="1" si="10"/>
        <v>360000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 ht="16">
      <c r="A92" s="259" t="e">
        <f>IF(AND(C92=0,C93=0,#REF!=0),"BLANKS",1)</f>
        <v>#REF!</v>
      </c>
      <c r="B92" s="421">
        <v>7</v>
      </c>
      <c r="C92" s="422" t="s">
        <v>169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518">
        <v>2</v>
      </c>
      <c r="G92" s="283">
        <f ca="1">IF(ISERROR(OFFSET('HARGA SATUAN'!$I$6,MATCH(RAB!C92,'HARGA SATUAN'!$C$7:$C$1492,0),0)),0,OFFSET('HARGA SATUAN'!$I$6,MATCH(RAB!C92,'HARGA SATUAN'!$C$7:$C$1492,0),0))</f>
        <v>15500</v>
      </c>
      <c r="H92" s="284">
        <f t="shared" ca="1" si="7"/>
        <v>0</v>
      </c>
      <c r="I92" s="284">
        <f t="shared" ca="1" si="8"/>
        <v>31000</v>
      </c>
      <c r="J92" s="284">
        <f t="shared" ca="1" si="9"/>
        <v>0</v>
      </c>
      <c r="K92" s="285">
        <f t="shared" ca="1" si="10"/>
        <v>31000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 ht="16">
      <c r="A93" s="259" t="e">
        <f>IF(AND(C93=0,#REF!=0,#REF!=0),"BLANKS",1)</f>
        <v>#REF!</v>
      </c>
      <c r="B93" s="421">
        <v>8</v>
      </c>
      <c r="C93" s="422" t="s">
        <v>584</v>
      </c>
      <c r="D93" s="281" t="str">
        <f ca="1">IF(ISERROR(OFFSET('HARGA SATUAN'!$D$6,MATCH(RAB!C93,'HARGA SATUAN'!$C$7:$C$1492,0),0)),"",OFFSET('HARGA SATUAN'!$D$6,MATCH(RAB!C93,'HARGA SATUAN'!$C$7:$C$1492,0),0))</f>
        <v>HDW</v>
      </c>
      <c r="E93" s="282" t="str">
        <f ca="1">IF(B93="+","Unit",IF(ISERROR(OFFSET('HARGA SATUAN'!$E$6,MATCH(RAB!C93,'HARGA SATUAN'!$C$7:$C$1492,0),0)),"",OFFSET('HARGA SATUAN'!$E$6,MATCH(RAB!C93,'HARGA SATUAN'!$C$7:$C$1492,0),0)))</f>
        <v>Bh</v>
      </c>
      <c r="F93" s="518">
        <v>4</v>
      </c>
      <c r="G93" s="283">
        <f ca="1">IF(ISERROR(OFFSET('HARGA SATUAN'!$I$6,MATCH(RAB!C93,'HARGA SATUAN'!$C$7:$C$1492,0),0)),0,OFFSET('HARGA SATUAN'!$I$6,MATCH(RAB!C93,'HARGA SATUAN'!$C$7:$C$1492,0),0))</f>
        <v>380500</v>
      </c>
      <c r="H93" s="284">
        <f t="shared" ca="1" si="7"/>
        <v>0</v>
      </c>
      <c r="I93" s="284">
        <f t="shared" ca="1" si="8"/>
        <v>1522000</v>
      </c>
      <c r="J93" s="284">
        <f t="shared" ca="1" si="9"/>
        <v>0</v>
      </c>
      <c r="K93" s="285">
        <f t="shared" ca="1" si="10"/>
        <v>1522000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 ht="16">
      <c r="A94" s="259">
        <f t="shared" ref="A94" si="34">IF(AND(C94=0,C95=0,C96=0),"BLANKS",1)</f>
        <v>1</v>
      </c>
      <c r="B94" s="421">
        <v>9</v>
      </c>
      <c r="C94" s="422" t="s">
        <v>207</v>
      </c>
      <c r="D94" s="281" t="str">
        <f ca="1">IF(ISERROR(OFFSET('HARGA SATUAN'!$D$6,MATCH(RAB!C94,'HARGA SATUAN'!$C$7:$C$1492,0),0)),"",OFFSET('HARGA SATUAN'!$D$6,MATCH(RAB!C94,'HARGA SATUAN'!$C$7:$C$1492,0),0))</f>
        <v>HDW</v>
      </c>
      <c r="E94" s="282" t="str">
        <f ca="1">IF(B94="+","Unit",IF(ISERROR(OFFSET('HARGA SATUAN'!$E$6,MATCH(RAB!C94,'HARGA SATUAN'!$C$7:$C$1492,0),0)),"",OFFSET('HARGA SATUAN'!$E$6,MATCH(RAB!C94,'HARGA SATUAN'!$C$7:$C$1492,0),0)))</f>
        <v>Bh</v>
      </c>
      <c r="F94" s="518">
        <v>8</v>
      </c>
      <c r="G94" s="283">
        <f ca="1">IF(ISERROR(OFFSET('HARGA SATUAN'!$I$6,MATCH(RAB!C94,'HARGA SATUAN'!$C$7:$C$1492,0),0)),0,OFFSET('HARGA SATUAN'!$I$6,MATCH(RAB!C94,'HARGA SATUAN'!$C$7:$C$1492,0),0))</f>
        <v>11400</v>
      </c>
      <c r="H94" s="284">
        <f t="shared" ref="H94:H96" ca="1" si="35">IF(OR(D94="MDU",D94="MDU-KD"),(IF($O$3="RAB NON MDU","PLN KD",G94*F94)),0)</f>
        <v>0</v>
      </c>
      <c r="I94" s="284">
        <f t="shared" ref="I94:I96" ca="1" si="36">IF(D94="HDW",G94*F94,0)</f>
        <v>91200</v>
      </c>
      <c r="J94" s="284">
        <f t="shared" ref="J94:J96" ca="1" si="37">IF(D94="JASA",G94*F94,0)</f>
        <v>0</v>
      </c>
      <c r="K94" s="285">
        <f t="shared" ref="K94:K96" ca="1" si="38">SUM(H94:J94)</f>
        <v>91200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 ht="16">
      <c r="A95" s="259" t="e">
        <f>IF(AND(C95=0,C96=0,#REF!=0),"BLANKS",1)</f>
        <v>#REF!</v>
      </c>
      <c r="B95" s="421">
        <v>10</v>
      </c>
      <c r="C95" s="422" t="s">
        <v>208</v>
      </c>
      <c r="D95" s="281" t="str">
        <f ca="1">IF(ISERROR(OFFSET('HARGA SATUAN'!$D$6,MATCH(RAB!C95,'HARGA SATUAN'!$C$7:$C$1492,0),0)),"",OFFSET('HARGA SATUAN'!$D$6,MATCH(RAB!C95,'HARGA SATUAN'!$C$7:$C$1492,0),0))</f>
        <v>HDW</v>
      </c>
      <c r="E95" s="282" t="str">
        <f ca="1">IF(B95="+","Unit",IF(ISERROR(OFFSET('HARGA SATUAN'!$E$6,MATCH(RAB!C95,'HARGA SATUAN'!$C$7:$C$1492,0),0)),"",OFFSET('HARGA SATUAN'!$E$6,MATCH(RAB!C95,'HARGA SATUAN'!$C$7:$C$1492,0),0)))</f>
        <v>Bh</v>
      </c>
      <c r="F95" s="518">
        <v>4</v>
      </c>
      <c r="G95" s="283">
        <f ca="1">IF(ISERROR(OFFSET('HARGA SATUAN'!$I$6,MATCH(RAB!C95,'HARGA SATUAN'!$C$7:$C$1492,0),0)),0,OFFSET('HARGA SATUAN'!$I$6,MATCH(RAB!C95,'HARGA SATUAN'!$C$7:$C$1492,0),0))</f>
        <v>29600</v>
      </c>
      <c r="H95" s="284">
        <f t="shared" ca="1" si="35"/>
        <v>0</v>
      </c>
      <c r="I95" s="284">
        <f t="shared" ca="1" si="36"/>
        <v>118400</v>
      </c>
      <c r="J95" s="284">
        <f t="shared" ca="1" si="37"/>
        <v>0</v>
      </c>
      <c r="K95" s="285">
        <f t="shared" ca="1" si="38"/>
        <v>118400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 ht="16">
      <c r="A96" s="259" t="e">
        <f>IF(AND(C96=0,#REF!=0,#REF!=0),"BLANKS",1)</f>
        <v>#REF!</v>
      </c>
      <c r="B96" s="421">
        <v>11</v>
      </c>
      <c r="C96" s="422" t="s">
        <v>213</v>
      </c>
      <c r="D96" s="281" t="str">
        <f ca="1">IF(ISERROR(OFFSET('HARGA SATUAN'!$D$6,MATCH(RAB!C96,'HARGA SATUAN'!$C$7:$C$1492,0),0)),"",OFFSET('HARGA SATUAN'!$D$6,MATCH(RAB!C96,'HARGA SATUAN'!$C$7:$C$1492,0),0))</f>
        <v>HDW</v>
      </c>
      <c r="E96" s="282" t="str">
        <f ca="1">IF(B96="+","Unit",IF(ISERROR(OFFSET('HARGA SATUAN'!$E$6,MATCH(RAB!C96,'HARGA SATUAN'!$C$7:$C$1492,0),0)),"",OFFSET('HARGA SATUAN'!$E$6,MATCH(RAB!C96,'HARGA SATUAN'!$C$7:$C$1492,0),0)))</f>
        <v>Bh</v>
      </c>
      <c r="F96" s="518">
        <v>2</v>
      </c>
      <c r="G96" s="283">
        <f ca="1">IF(ISERROR(OFFSET('HARGA SATUAN'!$I$6,MATCH(RAB!C96,'HARGA SATUAN'!$C$7:$C$1492,0),0)),0,OFFSET('HARGA SATUAN'!$I$6,MATCH(RAB!C96,'HARGA SATUAN'!$C$7:$C$1492,0),0))</f>
        <v>27815</v>
      </c>
      <c r="H96" s="284">
        <f t="shared" ca="1" si="35"/>
        <v>0</v>
      </c>
      <c r="I96" s="284">
        <f t="shared" ca="1" si="36"/>
        <v>55630</v>
      </c>
      <c r="J96" s="284">
        <f t="shared" ca="1" si="37"/>
        <v>0</v>
      </c>
      <c r="K96" s="285">
        <f t="shared" ca="1" si="38"/>
        <v>55630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16">
      <c r="A97" s="259"/>
      <c r="B97" s="421">
        <v>12</v>
      </c>
      <c r="C97" s="422" t="s">
        <v>15</v>
      </c>
      <c r="D97" s="281" t="str">
        <f ca="1">IF(ISERROR(OFFSET('HARGA SATUAN'!$D$6,MATCH(RAB!C97,'HARGA SATUAN'!$C$7:$C$1492,0),0)),"",OFFSET('HARGA SATUAN'!$D$6,MATCH(RAB!C97,'HARGA SATUAN'!$C$7:$C$1492,0),0))</f>
        <v>HDW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518">
        <v>6</v>
      </c>
      <c r="G97" s="283">
        <f ca="1">IF(ISERROR(OFFSET('HARGA SATUAN'!$I$6,MATCH(RAB!C97,'HARGA SATUAN'!$C$7:$C$1492,0),0)),0,OFFSET('HARGA SATUAN'!$I$6,MATCH(RAB!C97,'HARGA SATUAN'!$C$7:$C$1492,0),0))</f>
        <v>23936</v>
      </c>
      <c r="H97" s="284">
        <f t="shared" ca="1" si="4"/>
        <v>0</v>
      </c>
      <c r="I97" s="284">
        <f t="shared" ca="1" si="5"/>
        <v>143616</v>
      </c>
      <c r="J97" s="284">
        <f t="shared" ca="1" si="6"/>
        <v>0</v>
      </c>
      <c r="K97" s="285">
        <f t="shared" ca="1" si="3"/>
        <v>143616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 ht="16">
      <c r="A98" s="259" t="s">
        <v>1416</v>
      </c>
      <c r="B98" s="421">
        <v>13</v>
      </c>
      <c r="C98" s="422" t="s">
        <v>27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Bh</v>
      </c>
      <c r="F98" s="518">
        <v>2</v>
      </c>
      <c r="G98" s="283">
        <f ca="1">IF(ISERROR(OFFSET('HARGA SATUAN'!$I$6,MATCH(RAB!C98,'HARGA SATUAN'!$C$7:$C$1492,0),0)),0,OFFSET('HARGA SATUAN'!$I$6,MATCH(RAB!C98,'HARGA SATUAN'!$C$7:$C$1492,0),0))</f>
        <v>63500</v>
      </c>
      <c r="H98" s="284">
        <f t="shared" ref="H98:H101" ca="1" si="39">IF(OR(D98="MDU",D98="MDU-KD"),(IF($O$3="RAB NON MDU","PLN KD",G98*F98)),0)</f>
        <v>0</v>
      </c>
      <c r="I98" s="284">
        <f t="shared" ref="I98:I101" ca="1" si="40">IF(D98="HDW",G98*F98,0)</f>
        <v>127000</v>
      </c>
      <c r="J98" s="284">
        <f t="shared" ref="J98:J101" ca="1" si="41">IF(D98="JASA",G98*F98,0)</f>
        <v>0</v>
      </c>
      <c r="K98" s="285">
        <f t="shared" ref="K98:K101" ca="1" si="42">SUM(H98:J98)</f>
        <v>127000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 ht="16">
      <c r="A99" s="259" t="e">
        <f>IF(AND(C99=0,#REF!=0,#REF!=0),"BLANKS",1)</f>
        <v>#REF!</v>
      </c>
      <c r="B99" s="421">
        <v>14</v>
      </c>
      <c r="C99" s="422" t="s">
        <v>237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518">
        <v>2</v>
      </c>
      <c r="G99" s="283">
        <f ca="1">IF(ISERROR(OFFSET('HARGA SATUAN'!$I$6,MATCH(RAB!C99,'HARGA SATUAN'!$C$7:$C$1492,0),0)),0,OFFSET('HARGA SATUAN'!$I$6,MATCH(RAB!C99,'HARGA SATUAN'!$C$7:$C$1492,0),0))</f>
        <v>57690</v>
      </c>
      <c r="H99" s="284">
        <f t="shared" ca="1" si="39"/>
        <v>0</v>
      </c>
      <c r="I99" s="284">
        <f t="shared" ca="1" si="40"/>
        <v>115380</v>
      </c>
      <c r="J99" s="284">
        <f t="shared" ca="1" si="41"/>
        <v>0</v>
      </c>
      <c r="K99" s="285">
        <f t="shared" ca="1" si="42"/>
        <v>115380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 ht="16">
      <c r="A100" s="259" t="s">
        <v>1416</v>
      </c>
      <c r="B100" s="421">
        <v>15</v>
      </c>
      <c r="C100" s="422" t="s">
        <v>17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518">
        <v>6</v>
      </c>
      <c r="G100" s="283">
        <f ca="1">IF(ISERROR(OFFSET('HARGA SATUAN'!$I$6,MATCH(RAB!C100,'HARGA SATUAN'!$C$7:$C$1492,0),0)),0,OFFSET('HARGA SATUAN'!$I$6,MATCH(RAB!C100,'HARGA SATUAN'!$C$7:$C$1492,0),0))</f>
        <v>16000</v>
      </c>
      <c r="H100" s="284">
        <f t="shared" ca="1" si="39"/>
        <v>0</v>
      </c>
      <c r="I100" s="284">
        <f t="shared" ca="1" si="40"/>
        <v>96000</v>
      </c>
      <c r="J100" s="284">
        <f t="shared" ca="1" si="41"/>
        <v>0</v>
      </c>
      <c r="K100" s="285">
        <f t="shared" ca="1" si="42"/>
        <v>96000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 ht="16">
      <c r="A101" s="259" t="e">
        <f>IF(AND(C101=0,#REF!=0,#REF!=0),"BLANKS",1)</f>
        <v>#REF!</v>
      </c>
      <c r="B101" s="421">
        <v>16</v>
      </c>
      <c r="C101" s="422" t="s">
        <v>255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518">
        <v>2</v>
      </c>
      <c r="G101" s="283">
        <f ca="1">IF(ISERROR(OFFSET('HARGA SATUAN'!$I$6,MATCH(RAB!C101,'HARGA SATUAN'!$C$7:$C$1492,0),0)),0,OFFSET('HARGA SATUAN'!$I$6,MATCH(RAB!C101,'HARGA SATUAN'!$C$7:$C$1492,0),0))</f>
        <v>33501.866666666669</v>
      </c>
      <c r="H101" s="284">
        <f t="shared" ca="1" si="39"/>
        <v>0</v>
      </c>
      <c r="I101" s="284">
        <f t="shared" ca="1" si="40"/>
        <v>67003.733333333337</v>
      </c>
      <c r="J101" s="284">
        <f t="shared" ca="1" si="41"/>
        <v>0</v>
      </c>
      <c r="K101" s="285">
        <f t="shared" ca="1" si="42"/>
        <v>67003.733333333337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 ht="16">
      <c r="A102" s="259"/>
      <c r="B102" s="421">
        <v>17</v>
      </c>
      <c r="C102" s="422" t="s">
        <v>16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/>
      <c r="F102" s="518">
        <v>22</v>
      </c>
      <c r="G102" s="283"/>
      <c r="H102" s="284"/>
      <c r="I102" s="284"/>
      <c r="J102" s="284"/>
      <c r="K102" s="285"/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 ht="16">
      <c r="A103" s="259" t="e">
        <f>IF(AND(#REF!=0,#REF!=0,#REF!=0),"BLANKS",1)</f>
        <v>#REF!</v>
      </c>
      <c r="B103" s="421">
        <v>18</v>
      </c>
      <c r="C103" s="422" t="s">
        <v>694</v>
      </c>
      <c r="D103" s="281" t="str">
        <f ca="1">IF(ISERROR(OFFSET('HARGA SATUAN'!$D$6,MATCH(RAB!C103,'HARGA SATUAN'!$C$7:$C$1492,0),0)),"",OFFSET('HARGA SATUAN'!$D$6,MATCH(RAB!C103,'HARGA SATUAN'!$C$7:$C$1492,0),0))</f>
        <v>JASA</v>
      </c>
      <c r="E103" s="282" t="str">
        <f ca="1">IF(B103="+","Unit",IF(ISERROR(OFFSET('HARGA SATUAN'!$E$6,MATCH(RAB!C103,'HARGA SATUAN'!$C$7:$C$1492,0),0)),"",OFFSET('HARGA SATUAN'!$E$6,MATCH(RAB!C103,'HARGA SATUAN'!$C$7:$C$1492,0),0)))</f>
        <v>Unit</v>
      </c>
      <c r="F103" s="518">
        <v>2</v>
      </c>
      <c r="G103" s="283">
        <f ca="1">IF(ISERROR(OFFSET('HARGA SATUAN'!$I$6,MATCH(RAB!C103,'HARGA SATUAN'!$C$7:$C$1492,0),0)),0,OFFSET('HARGA SATUAN'!$I$6,MATCH(RAB!C103,'HARGA SATUAN'!$C$7:$C$1492,0),0))</f>
        <v>134700</v>
      </c>
      <c r="H103" s="284">
        <f t="shared" ref="H103:H112" ca="1" si="43">IF(OR(D103="MDU",D103="MDU-KD"),(IF($O$3="RAB NON MDU","PLN KD",G103*F103)),0)</f>
        <v>0</v>
      </c>
      <c r="I103" s="284">
        <f t="shared" ref="I103:I112" ca="1" si="44">IF(D103="HDW",G103*F103,0)</f>
        <v>0</v>
      </c>
      <c r="J103" s="284">
        <f t="shared" ref="J103:J112" ca="1" si="45">IF(D103="JASA",G103*F103,0)</f>
        <v>269400</v>
      </c>
      <c r="K103" s="285">
        <f t="shared" ref="K103:K112" ca="1" si="46">SUM(H103:J103)</f>
        <v>269400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 ht="15">
      <c r="A104" s="259" t="e">
        <f>IF(AND(#REF!=0,#REF!=0,#REF!=0),"BLANKS",1)</f>
        <v>#REF!</v>
      </c>
      <c r="B104" s="421"/>
      <c r="C104" s="422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518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43"/>
        <v>0</v>
      </c>
      <c r="I104" s="284">
        <f t="shared" ca="1" si="44"/>
        <v>0</v>
      </c>
      <c r="J104" s="284">
        <f t="shared" ca="1" si="45"/>
        <v>0</v>
      </c>
      <c r="K104" s="285">
        <f t="shared" ca="1" si="46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 ht="16">
      <c r="A105" s="259"/>
      <c r="B105" s="421" t="s">
        <v>1006</v>
      </c>
      <c r="C105" s="422" t="s">
        <v>1644</v>
      </c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>Unit</v>
      </c>
      <c r="F105" s="390">
        <v>2</v>
      </c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43"/>
        <v>0</v>
      </c>
      <c r="I105" s="284">
        <f t="shared" ca="1" si="44"/>
        <v>0</v>
      </c>
      <c r="J105" s="284">
        <f t="shared" ca="1" si="45"/>
        <v>0</v>
      </c>
      <c r="K105" s="285">
        <f t="shared" ca="1" si="4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 ht="16">
      <c r="A106" s="259">
        <f>IF(AND(C124=0,C125=0,C126=0),"BLANKS",1)</f>
        <v>1</v>
      </c>
      <c r="B106" s="421">
        <v>1</v>
      </c>
      <c r="C106" s="422" t="s">
        <v>1645</v>
      </c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390">
        <v>2</v>
      </c>
      <c r="G106" s="400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3"/>
        <v>0</v>
      </c>
      <c r="I106" s="284">
        <f t="shared" ca="1" si="44"/>
        <v>0</v>
      </c>
      <c r="J106" s="284">
        <f t="shared" ca="1" si="45"/>
        <v>0</v>
      </c>
      <c r="K106" s="285">
        <f t="shared" ca="1" si="46"/>
        <v>0</v>
      </c>
      <c r="L106" s="290"/>
      <c r="M106" s="290"/>
      <c r="N106" s="290"/>
      <c r="O106" s="267"/>
      <c r="P106" s="267"/>
      <c r="Q106" s="267"/>
      <c r="R106" s="259"/>
      <c r="S106" s="287"/>
      <c r="T106" s="264"/>
      <c r="U106" s="264"/>
      <c r="V106" s="264"/>
    </row>
    <row r="107" spans="1:22" s="291" customFormat="1" ht="16">
      <c r="A107" s="259">
        <f>IF(AND(C125=0,C126=0,C127=0),"BLANKS",1)</f>
        <v>1</v>
      </c>
      <c r="B107" s="421">
        <v>2</v>
      </c>
      <c r="C107" s="422" t="s">
        <v>1646</v>
      </c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390">
        <v>4</v>
      </c>
      <c r="G107" s="400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43"/>
        <v>0</v>
      </c>
      <c r="I107" s="284">
        <f t="shared" ca="1" si="44"/>
        <v>0</v>
      </c>
      <c r="J107" s="284">
        <f t="shared" ca="1" si="45"/>
        <v>0</v>
      </c>
      <c r="K107" s="285">
        <f t="shared" ca="1" si="46"/>
        <v>0</v>
      </c>
      <c r="L107" s="290"/>
      <c r="M107" s="290"/>
      <c r="N107" s="290"/>
      <c r="O107" s="267"/>
      <c r="P107" s="267"/>
      <c r="Q107" s="267"/>
      <c r="R107" s="259"/>
      <c r="S107" s="287"/>
      <c r="T107" s="264"/>
      <c r="U107" s="264"/>
      <c r="V107" s="264"/>
    </row>
    <row r="108" spans="1:22" s="291" customFormat="1" ht="16">
      <c r="A108" s="259">
        <f>IF(AND(C126=0,C127=0,C128=0),"BLANKS",1)</f>
        <v>1</v>
      </c>
      <c r="B108" s="421">
        <v>3</v>
      </c>
      <c r="C108" s="422" t="s">
        <v>18</v>
      </c>
      <c r="D108" s="281" t="str">
        <f ca="1">IF(ISERROR(OFFSET('HARGA SATUAN'!$D$6,MATCH(RAB!C108,'HARGA SATUAN'!$C$7:$C$1492,0),0)),"",OFFSET('HARGA SATUAN'!$D$6,MATCH(RAB!C108,'HARGA SATUAN'!$C$7:$C$1492,0),0))</f>
        <v>HDW</v>
      </c>
      <c r="E108" s="282" t="str">
        <f ca="1">IF(B108="+","Unit",IF(ISERROR(OFFSET('HARGA SATUAN'!$E$6,MATCH(RAB!C108,'HARGA SATUAN'!$C$7:$C$1492,0),0)),"",OFFSET('HARGA SATUAN'!$E$6,MATCH(RAB!C108,'HARGA SATUAN'!$C$7:$C$1492,0),0)))</f>
        <v>Bh</v>
      </c>
      <c r="F108" s="390">
        <v>6</v>
      </c>
      <c r="G108" s="283">
        <f ca="1">IF(ISERROR(OFFSET('HARGA SATUAN'!$I$6,MATCH(RAB!C108,'HARGA SATUAN'!$C$7:$C$1492,0),0)),0,OFFSET('HARGA SATUAN'!$I$6,MATCH(RAB!C108,'HARGA SATUAN'!$C$7:$C$1492,0),0))</f>
        <v>26500</v>
      </c>
      <c r="H108" s="284">
        <f t="shared" ca="1" si="43"/>
        <v>0</v>
      </c>
      <c r="I108" s="284">
        <f t="shared" ca="1" si="44"/>
        <v>159000</v>
      </c>
      <c r="J108" s="284">
        <f t="shared" ca="1" si="45"/>
        <v>0</v>
      </c>
      <c r="K108" s="285">
        <f t="shared" ca="1" si="46"/>
        <v>159000</v>
      </c>
      <c r="L108" s="290"/>
      <c r="M108" s="290"/>
      <c r="N108" s="290"/>
      <c r="O108" s="267"/>
      <c r="P108" s="267"/>
      <c r="Q108" s="267"/>
      <c r="R108" s="267"/>
      <c r="S108" s="264"/>
      <c r="T108" s="264"/>
      <c r="U108" s="264"/>
      <c r="V108" s="264"/>
    </row>
    <row r="109" spans="1:22" s="291" customFormat="1" ht="15" customHeight="1">
      <c r="A109" s="259"/>
      <c r="B109" s="421">
        <v>4</v>
      </c>
      <c r="C109" s="422" t="s">
        <v>153</v>
      </c>
      <c r="D109" s="281" t="str">
        <f ca="1">IF(ISERROR(OFFSET('HARGA SATUAN'!$D$6,MATCH(RAB!C109,'HARGA SATUAN'!$C$7:$C$1492,0),0)),"",OFFSET('HARGA SATUAN'!$D$6,MATCH(RAB!C109,'HARGA SATUAN'!$C$7:$C$1492,0),0))</f>
        <v>HDW</v>
      </c>
      <c r="E109" s="282" t="str">
        <f ca="1">IF(B109="+","Unit",IF(ISERROR(OFFSET('HARGA SATUAN'!$E$6,MATCH(RAB!C109,'HARGA SATUAN'!$C$7:$C$1492,0),0)),"",OFFSET('HARGA SATUAN'!$E$6,MATCH(RAB!C109,'HARGA SATUAN'!$C$7:$C$1492,0),0)))</f>
        <v>Bh</v>
      </c>
      <c r="F109" s="390">
        <v>4</v>
      </c>
      <c r="G109" s="283">
        <f ca="1">IF(ISERROR(OFFSET('HARGA SATUAN'!$I$6,MATCH(RAB!C109,'HARGA SATUAN'!$C$7:$C$1492,0),0)),0,OFFSET('HARGA SATUAN'!$I$6,MATCH(RAB!C109,'HARGA SATUAN'!$C$7:$C$1492,0),0))</f>
        <v>7938</v>
      </c>
      <c r="H109" s="284">
        <f t="shared" ca="1" si="43"/>
        <v>0</v>
      </c>
      <c r="I109" s="284">
        <f t="shared" ca="1" si="44"/>
        <v>31752</v>
      </c>
      <c r="J109" s="284">
        <f t="shared" ca="1" si="45"/>
        <v>0</v>
      </c>
      <c r="K109" s="285">
        <f t="shared" ca="1" si="46"/>
        <v>31752</v>
      </c>
      <c r="L109" s="265"/>
      <c r="M109" s="290"/>
      <c r="N109" s="290"/>
      <c r="O109" s="267"/>
      <c r="P109" s="267"/>
      <c r="Q109" s="267"/>
      <c r="R109" s="267"/>
      <c r="S109" s="267"/>
    </row>
    <row r="110" spans="1:22" s="288" customFormat="1" ht="30" customHeight="1">
      <c r="A110" s="259"/>
      <c r="B110" s="421">
        <v>5</v>
      </c>
      <c r="C110" s="422" t="s">
        <v>158</v>
      </c>
      <c r="D110" s="281" t="str">
        <f ca="1">IF(ISERROR(OFFSET('HARGA SATUAN'!$D$6,MATCH(RAB!C110,'HARGA SATUAN'!$C$7:$C$1492,0),0)),"",OFFSET('HARGA SATUAN'!$D$6,MATCH(RAB!C110,'HARGA SATUAN'!$C$7:$C$1492,0),0))</f>
        <v>HDW</v>
      </c>
      <c r="E110" s="282" t="str">
        <f ca="1">IF(B110="+","Unit",IF(ISERROR(OFFSET('HARGA SATUAN'!$E$6,MATCH(RAB!C110,'HARGA SATUAN'!$C$7:$C$1492,0),0)),"",OFFSET('HARGA SATUAN'!$E$6,MATCH(RAB!C110,'HARGA SATUAN'!$C$7:$C$1492,0),0)))</f>
        <v>Bh</v>
      </c>
      <c r="F110" s="390">
        <v>2</v>
      </c>
      <c r="G110" s="283">
        <f ca="1">IF(ISERROR(OFFSET('HARGA SATUAN'!$I$6,MATCH(RAB!C110,'HARGA SATUAN'!$C$7:$C$1492,0),0)),0,OFFSET('HARGA SATUAN'!$I$6,MATCH(RAB!C110,'HARGA SATUAN'!$C$7:$C$1492,0),0))</f>
        <v>33600</v>
      </c>
      <c r="H110" s="284">
        <f t="shared" ca="1" si="43"/>
        <v>0</v>
      </c>
      <c r="I110" s="284">
        <f t="shared" ca="1" si="44"/>
        <v>67200</v>
      </c>
      <c r="J110" s="284">
        <f t="shared" ca="1" si="45"/>
        <v>0</v>
      </c>
      <c r="K110" s="285">
        <f t="shared" ca="1" si="46"/>
        <v>67200</v>
      </c>
      <c r="L110" s="265"/>
      <c r="M110" s="265"/>
      <c r="N110" s="290"/>
      <c r="O110" s="267"/>
      <c r="P110" s="267"/>
      <c r="Q110" s="318"/>
      <c r="R110" s="267"/>
      <c r="S110" s="318"/>
      <c r="T110" s="319"/>
      <c r="U110" s="319"/>
      <c r="V110" s="319"/>
    </row>
    <row r="111" spans="1:22" s="288" customFormat="1" ht="16">
      <c r="A111" s="259"/>
      <c r="B111" s="421">
        <v>6</v>
      </c>
      <c r="C111" s="422" t="s">
        <v>163</v>
      </c>
      <c r="D111" s="281" t="str">
        <f ca="1">IF(ISERROR(OFFSET('HARGA SATUAN'!$D$6,MATCH(RAB!C111,'HARGA SATUAN'!$C$7:$C$1492,0),0)),"",OFFSET('HARGA SATUAN'!$D$6,MATCH(RAB!C111,'HARGA SATUAN'!$C$7:$C$1492,0),0))</f>
        <v>HDW</v>
      </c>
      <c r="E111" s="282" t="str">
        <f ca="1">IF(B111="+","Unit",IF(ISERROR(OFFSET('HARGA SATUAN'!$E$6,MATCH(RAB!C111,'HARGA SATUAN'!$C$7:$C$1492,0),0)),"",OFFSET('HARGA SATUAN'!$E$6,MATCH(RAB!C111,'HARGA SATUAN'!$C$7:$C$1492,0),0)))</f>
        <v>Bh</v>
      </c>
      <c r="F111" s="390">
        <v>4</v>
      </c>
      <c r="G111" s="283">
        <f ca="1">IF(ISERROR(OFFSET('HARGA SATUAN'!$I$6,MATCH(RAB!C111,'HARGA SATUAN'!$C$7:$C$1492,0),0)),0,OFFSET('HARGA SATUAN'!$I$6,MATCH(RAB!C111,'HARGA SATUAN'!$C$7:$C$1492,0),0))</f>
        <v>45000</v>
      </c>
      <c r="H111" s="284">
        <f t="shared" ca="1" si="43"/>
        <v>0</v>
      </c>
      <c r="I111" s="284">
        <f t="shared" ca="1" si="44"/>
        <v>180000</v>
      </c>
      <c r="J111" s="284">
        <f t="shared" ca="1" si="45"/>
        <v>0</v>
      </c>
      <c r="K111" s="285">
        <f t="shared" ca="1" si="46"/>
        <v>180000</v>
      </c>
      <c r="L111" s="265"/>
      <c r="M111" s="265"/>
      <c r="N111" s="290"/>
      <c r="O111" s="267"/>
      <c r="P111" s="267"/>
      <c r="Q111" s="267"/>
      <c r="R111" s="267"/>
      <c r="S111" s="267"/>
      <c r="T111" s="323"/>
      <c r="U111" s="323"/>
      <c r="V111" s="323"/>
    </row>
    <row r="112" spans="1:22" s="288" customFormat="1" ht="16">
      <c r="A112" s="259"/>
      <c r="B112" s="421">
        <v>7</v>
      </c>
      <c r="C112" s="422" t="s">
        <v>168</v>
      </c>
      <c r="D112" s="281" t="str">
        <f ca="1">IF(ISERROR(OFFSET('HARGA SATUAN'!$D$6,MATCH(RAB!C112,'HARGA SATUAN'!$C$7:$C$1492,0),0)),"",OFFSET('HARGA SATUAN'!$D$6,MATCH(RAB!C112,'HARGA SATUAN'!$C$7:$C$1492,0),0))</f>
        <v>HDW</v>
      </c>
      <c r="E112" s="282" t="str">
        <f ca="1">IF(B112="+","Unit",IF(ISERROR(OFFSET('HARGA SATUAN'!$E$6,MATCH(RAB!C112,'HARGA SATUAN'!$C$7:$C$1492,0),0)),"",OFFSET('HARGA SATUAN'!$E$6,MATCH(RAB!C112,'HARGA SATUAN'!$C$7:$C$1492,0),0)))</f>
        <v>Bh</v>
      </c>
      <c r="F112" s="390">
        <v>2</v>
      </c>
      <c r="G112" s="283">
        <f ca="1">IF(ISERROR(OFFSET('HARGA SATUAN'!$I$6,MATCH(RAB!C112,'HARGA SATUAN'!$C$7:$C$1492,0),0)),0,OFFSET('HARGA SATUAN'!$I$6,MATCH(RAB!C112,'HARGA SATUAN'!$C$7:$C$1492,0),0))</f>
        <v>95000</v>
      </c>
      <c r="H112" s="284">
        <f t="shared" ca="1" si="43"/>
        <v>0</v>
      </c>
      <c r="I112" s="284">
        <f t="shared" ca="1" si="44"/>
        <v>190000</v>
      </c>
      <c r="J112" s="284">
        <f t="shared" ca="1" si="45"/>
        <v>0</v>
      </c>
      <c r="K112" s="285">
        <f t="shared" ca="1" si="46"/>
        <v>190000</v>
      </c>
      <c r="L112" s="265"/>
      <c r="M112" s="265"/>
      <c r="N112" s="290"/>
      <c r="O112" s="267"/>
      <c r="P112" s="267"/>
      <c r="Q112" s="267"/>
      <c r="R112" s="267"/>
      <c r="S112" s="267"/>
      <c r="T112" s="319"/>
      <c r="U112" s="319"/>
      <c r="V112" s="319"/>
    </row>
    <row r="113" spans="1:22" s="288" customFormat="1" ht="16">
      <c r="A113" s="259"/>
      <c r="B113" s="421">
        <v>8</v>
      </c>
      <c r="C113" s="422" t="s">
        <v>584</v>
      </c>
      <c r="D113" s="281"/>
      <c r="E113" s="282"/>
      <c r="F113" s="390">
        <v>2</v>
      </c>
      <c r="G113" s="400"/>
      <c r="H113" s="284"/>
      <c r="I113" s="284"/>
      <c r="J113" s="284"/>
      <c r="K113" s="285"/>
      <c r="L113" s="326"/>
      <c r="M113" s="326"/>
      <c r="N113" s="290"/>
      <c r="O113" s="267"/>
      <c r="P113" s="267"/>
      <c r="Q113" s="267"/>
    </row>
    <row r="114" spans="1:22" s="288" customFormat="1" ht="16">
      <c r="A114" s="259"/>
      <c r="B114" s="421">
        <v>9</v>
      </c>
      <c r="C114" s="422" t="s">
        <v>207</v>
      </c>
      <c r="D114" s="281" t="str">
        <f ca="1">IF(ISERROR(OFFSET('HARGA SATUAN'!$D$6,MATCH(RAB!C114,'HARGA SATUAN'!$C$7:$C$1492,0),0)),"",OFFSET('HARGA SATUAN'!$D$6,MATCH(RAB!C114,'HARGA SATUAN'!$C$7:$C$1492,0),0))</f>
        <v>HDW</v>
      </c>
      <c r="E114" s="282" t="str">
        <f ca="1">IF(B114="+","Unit",IF(ISERROR(OFFSET('HARGA SATUAN'!$E$6,MATCH(RAB!C114,'HARGA SATUAN'!$C$7:$C$1492,0),0)),"",OFFSET('HARGA SATUAN'!$E$6,MATCH(RAB!C114,'HARGA SATUAN'!$C$7:$C$1492,0),0)))</f>
        <v>Bh</v>
      </c>
      <c r="F114" s="390">
        <v>8</v>
      </c>
      <c r="G114" s="283">
        <f ca="1">IF(ISERROR(OFFSET('HARGA SATUAN'!$I$6,MATCH(RAB!C114,'HARGA SATUAN'!$C$7:$C$1492,0),0)),0,OFFSET('HARGA SATUAN'!$I$6,MATCH(RAB!C114,'HARGA SATUAN'!$C$7:$C$1492,0),0))</f>
        <v>11400</v>
      </c>
      <c r="H114" s="284">
        <f t="shared" ref="H114:H116" ca="1" si="47">IF(OR(D114="MDU",D114="MDU-KD"),(IF($O$3="RAB NON MDU","PLN KD",G114*F114)),0)</f>
        <v>0</v>
      </c>
      <c r="I114" s="284">
        <f t="shared" ref="I114:I116" ca="1" si="48">IF(D114="HDW",G114*F114,0)</f>
        <v>91200</v>
      </c>
      <c r="J114" s="284">
        <f t="shared" ref="J114:J116" ca="1" si="49">IF(D114="JASA",G114*F114,0)</f>
        <v>0</v>
      </c>
      <c r="K114" s="285">
        <f t="shared" ref="K114:K116" ca="1" si="50">SUM(H114:J114)</f>
        <v>91200</v>
      </c>
      <c r="L114" s="265"/>
      <c r="M114" s="265"/>
      <c r="N114" s="290"/>
      <c r="O114" s="267"/>
      <c r="P114" s="267"/>
      <c r="Q114" s="318"/>
      <c r="R114" s="267"/>
      <c r="S114" s="318"/>
      <c r="T114" s="319"/>
      <c r="U114" s="319"/>
      <c r="V114" s="319"/>
    </row>
    <row r="115" spans="1:22" s="288" customFormat="1" ht="16">
      <c r="A115" s="259"/>
      <c r="B115" s="421">
        <v>10</v>
      </c>
      <c r="C115" s="422" t="s">
        <v>237</v>
      </c>
      <c r="D115" s="281" t="str">
        <f ca="1">IF(ISERROR(OFFSET('HARGA SATUAN'!$D$6,MATCH(RAB!C115,'HARGA SATUAN'!$C$7:$C$1492,0),0)),"",OFFSET('HARGA SATUAN'!$D$6,MATCH(RAB!C115,'HARGA SATUAN'!$C$7:$C$1492,0),0))</f>
        <v>HDW</v>
      </c>
      <c r="E115" s="282" t="str">
        <f ca="1">IF(B115="+","Unit",IF(ISERROR(OFFSET('HARGA SATUAN'!$E$6,MATCH(RAB!C115,'HARGA SATUAN'!$C$7:$C$1492,0),0)),"",OFFSET('HARGA SATUAN'!$E$6,MATCH(RAB!C115,'HARGA SATUAN'!$C$7:$C$1492,0),0)))</f>
        <v>Bh</v>
      </c>
      <c r="F115" s="390">
        <v>2</v>
      </c>
      <c r="G115" s="283">
        <f ca="1">IF(ISERROR(OFFSET('HARGA SATUAN'!$I$6,MATCH(RAB!C115,'HARGA SATUAN'!$C$7:$C$1492,0),0)),0,OFFSET('HARGA SATUAN'!$I$6,MATCH(RAB!C115,'HARGA SATUAN'!$C$7:$C$1492,0),0))</f>
        <v>57690</v>
      </c>
      <c r="H115" s="284">
        <f t="shared" ca="1" si="47"/>
        <v>0</v>
      </c>
      <c r="I115" s="284">
        <f t="shared" ca="1" si="48"/>
        <v>115380</v>
      </c>
      <c r="J115" s="284">
        <f t="shared" ca="1" si="49"/>
        <v>0</v>
      </c>
      <c r="K115" s="285">
        <f t="shared" ca="1" si="50"/>
        <v>115380</v>
      </c>
      <c r="L115" s="265"/>
      <c r="M115" s="265"/>
      <c r="N115" s="290"/>
      <c r="O115" s="267"/>
      <c r="P115" s="267"/>
      <c r="Q115" s="267"/>
      <c r="R115" s="267"/>
      <c r="S115" s="267"/>
      <c r="T115" s="323"/>
      <c r="U115" s="323"/>
      <c r="V115" s="323"/>
    </row>
    <row r="116" spans="1:22" s="288" customFormat="1" ht="16">
      <c r="A116" s="259"/>
      <c r="B116" s="421">
        <v>11</v>
      </c>
      <c r="C116" s="422" t="s">
        <v>254</v>
      </c>
      <c r="D116" s="281" t="str">
        <f ca="1">IF(ISERROR(OFFSET('HARGA SATUAN'!$D$6,MATCH(RAB!C116,'HARGA SATUAN'!$C$7:$C$1492,0),0)),"",OFFSET('HARGA SATUAN'!$D$6,MATCH(RAB!C116,'HARGA SATUAN'!$C$7:$C$1492,0),0))</f>
        <v>HDW</v>
      </c>
      <c r="E116" s="282" t="str">
        <f ca="1">IF(B116="+","Unit",IF(ISERROR(OFFSET('HARGA SATUAN'!$E$6,MATCH(RAB!C116,'HARGA SATUAN'!$C$7:$C$1492,0),0)),"",OFFSET('HARGA SATUAN'!$E$6,MATCH(RAB!C116,'HARGA SATUAN'!$C$7:$C$1492,0),0)))</f>
        <v>Bh</v>
      </c>
      <c r="F116" s="390">
        <v>2</v>
      </c>
      <c r="G116" s="283">
        <f ca="1">IF(ISERROR(OFFSET('HARGA SATUAN'!$I$6,MATCH(RAB!C116,'HARGA SATUAN'!$C$7:$C$1492,0),0)),0,OFFSET('HARGA SATUAN'!$I$6,MATCH(RAB!C116,'HARGA SATUAN'!$C$7:$C$1492,0),0))</f>
        <v>28000</v>
      </c>
      <c r="H116" s="284">
        <f t="shared" ca="1" si="47"/>
        <v>0</v>
      </c>
      <c r="I116" s="284">
        <f t="shared" ca="1" si="48"/>
        <v>56000</v>
      </c>
      <c r="J116" s="284">
        <f t="shared" ca="1" si="49"/>
        <v>0</v>
      </c>
      <c r="K116" s="285">
        <f t="shared" ca="1" si="50"/>
        <v>56000</v>
      </c>
      <c r="L116" s="265"/>
      <c r="M116" s="265"/>
      <c r="N116" s="290"/>
      <c r="O116" s="267"/>
      <c r="P116" s="267"/>
      <c r="Q116" s="267"/>
      <c r="R116" s="267"/>
      <c r="S116" s="267"/>
      <c r="T116" s="319"/>
      <c r="U116" s="319"/>
      <c r="V116" s="319"/>
    </row>
    <row r="117" spans="1:22" s="291" customFormat="1" ht="16">
      <c r="A117" s="259" t="s">
        <v>1416</v>
      </c>
      <c r="B117" s="421">
        <v>12</v>
      </c>
      <c r="C117" s="422" t="s">
        <v>28</v>
      </c>
      <c r="D117" s="281" t="str">
        <f ca="1">IF(ISERROR(OFFSET('HARGA SATUAN'!$D$6,MATCH(RAB!C117,'HARGA SATUAN'!$C$7:$C$1492,0),0)),"",OFFSET('HARGA SATUAN'!$D$6,MATCH(RAB!C117,'HARGA SATUAN'!$C$7:$C$1492,0),0))</f>
        <v>HDW</v>
      </c>
      <c r="E117" s="282" t="str">
        <f ca="1">IF(B117="+","Unit",IF(ISERROR(OFFSET('HARGA SATUAN'!$E$6,MATCH(RAB!C117,'HARGA SATUAN'!$C$7:$C$1492,0),0)),"",OFFSET('HARGA SATUAN'!$E$6,MATCH(RAB!C117,'HARGA SATUAN'!$C$7:$C$1492,0),0)))</f>
        <v>Mtr</v>
      </c>
      <c r="F117" s="390">
        <v>12.4</v>
      </c>
      <c r="G117" s="283">
        <f ca="1">IF(ISERROR(OFFSET('HARGA SATUAN'!$I$6,MATCH(RAB!C117,'HARGA SATUAN'!$C$7:$C$1492,0),0)),0,OFFSET('HARGA SATUAN'!$I$6,MATCH(RAB!C117,'HARGA SATUAN'!$C$7:$C$1492,0),0))</f>
        <v>8550</v>
      </c>
      <c r="H117" s="284">
        <f t="shared" ref="H117:H142" ca="1" si="51">IF(OR(D117="MDU",D117="MDU-KD"),(IF($O$3="RAB NON MDU","PLN KD",G117*F117)),0)</f>
        <v>0</v>
      </c>
      <c r="I117" s="284">
        <f t="shared" ref="I117:I142" ca="1" si="52">IF(D117="HDW",G117*F117,0)</f>
        <v>106020</v>
      </c>
      <c r="J117" s="284">
        <f t="shared" ref="J117:J142" ca="1" si="53">IF(D117="JASA",G117*F117,0)</f>
        <v>0</v>
      </c>
      <c r="K117" s="285">
        <f t="shared" ref="K117:K142" ca="1" si="54">SUM(H117:J117)</f>
        <v>106020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 ht="16">
      <c r="A118" s="259" t="e">
        <f>IF(AND(C118=0,#REF!=0,#REF!=0),"BLANKS",1)</f>
        <v>#REF!</v>
      </c>
      <c r="B118" s="421">
        <v>13</v>
      </c>
      <c r="C118" s="422" t="s">
        <v>16</v>
      </c>
      <c r="D118" s="281" t="str">
        <f ca="1">IF(ISERROR(OFFSET('HARGA SATUAN'!$D$6,MATCH(RAB!C118,'HARGA SATUAN'!$C$7:$C$1492,0),0)),"",OFFSET('HARGA SATUAN'!$D$6,MATCH(RAB!C118,'HARGA SATUAN'!$C$7:$C$1492,0),0))</f>
        <v>HDW</v>
      </c>
      <c r="E118" s="282" t="str">
        <f ca="1">IF(B118="+","Unit",IF(ISERROR(OFFSET('HARGA SATUAN'!$E$6,MATCH(RAB!C118,'HARGA SATUAN'!$C$7:$C$1492,0),0)),"",OFFSET('HARGA SATUAN'!$E$6,MATCH(RAB!C118,'HARGA SATUAN'!$C$7:$C$1492,0),0)))</f>
        <v>Bh</v>
      </c>
      <c r="F118" s="390">
        <v>10</v>
      </c>
      <c r="G118" s="283">
        <f ca="1">IF(ISERROR(OFFSET('HARGA SATUAN'!$I$6,MATCH(RAB!C118,'HARGA SATUAN'!$C$7:$C$1492,0),0)),0,OFFSET('HARGA SATUAN'!$I$6,MATCH(RAB!C118,'HARGA SATUAN'!$C$7:$C$1492,0),0))</f>
        <v>2500</v>
      </c>
      <c r="H118" s="284">
        <f t="shared" ca="1" si="51"/>
        <v>0</v>
      </c>
      <c r="I118" s="284">
        <f t="shared" ca="1" si="52"/>
        <v>25000</v>
      </c>
      <c r="J118" s="284">
        <f t="shared" ca="1" si="53"/>
        <v>0</v>
      </c>
      <c r="K118" s="285">
        <f t="shared" ca="1" si="54"/>
        <v>25000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 ht="16">
      <c r="A119" s="259" t="s">
        <v>1416</v>
      </c>
      <c r="B119" s="421">
        <v>14</v>
      </c>
      <c r="C119" s="422" t="s">
        <v>678</v>
      </c>
      <c r="D119" s="281" t="str">
        <f ca="1">IF(ISERROR(OFFSET('HARGA SATUAN'!$D$6,MATCH(RAB!C119,'HARGA SATUAN'!$C$7:$C$1492,0),0)),"",OFFSET('HARGA SATUAN'!$D$6,MATCH(RAB!C119,'HARGA SATUAN'!$C$7:$C$1492,0),0))</f>
        <v>JASA</v>
      </c>
      <c r="E119" s="282" t="str">
        <f ca="1">IF(B119="+","Unit",IF(ISERROR(OFFSET('HARGA SATUAN'!$E$6,MATCH(RAB!C119,'HARGA SATUAN'!$C$7:$C$1492,0),0)),"",OFFSET('HARGA SATUAN'!$E$6,MATCH(RAB!C119,'HARGA SATUAN'!$C$7:$C$1492,0),0)))</f>
        <v>Unit</v>
      </c>
      <c r="F119" s="390">
        <v>2</v>
      </c>
      <c r="G119" s="283">
        <f ca="1">IF(ISERROR(OFFSET('HARGA SATUAN'!$I$6,MATCH(RAB!C119,'HARGA SATUAN'!$C$7:$C$1492,0),0)),0,OFFSET('HARGA SATUAN'!$I$6,MATCH(RAB!C119,'HARGA SATUAN'!$C$7:$C$1492,0),0))</f>
        <v>111000</v>
      </c>
      <c r="H119" s="284">
        <f t="shared" ca="1" si="51"/>
        <v>0</v>
      </c>
      <c r="I119" s="284">
        <f t="shared" ca="1" si="52"/>
        <v>0</v>
      </c>
      <c r="J119" s="284">
        <f t="shared" ca="1" si="53"/>
        <v>222000</v>
      </c>
      <c r="K119" s="285">
        <f t="shared" ca="1" si="54"/>
        <v>222000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 ht="15">
      <c r="A120" s="259" t="e">
        <f>IF(AND(C120=0,#REF!=0,#REF!=0),"BLANKS",1)</f>
        <v>#REF!</v>
      </c>
      <c r="B120" s="293"/>
      <c r="C120" s="294"/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409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51"/>
        <v>0</v>
      </c>
      <c r="I120" s="284">
        <f t="shared" ca="1" si="52"/>
        <v>0</v>
      </c>
      <c r="J120" s="284">
        <f t="shared" ca="1" si="53"/>
        <v>0</v>
      </c>
      <c r="K120" s="285">
        <f t="shared" ca="1" si="54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 ht="15">
      <c r="A121" s="259"/>
      <c r="B121" s="293"/>
      <c r="C121" s="294"/>
      <c r="D121" s="281" t="str">
        <f ca="1">IF(ISERROR(OFFSET('HARGA SATUAN'!$D$6,MATCH(RAB!C121,'HARGA SATUAN'!$C$7:$C$1492,0),0)),"",OFFSET('HARGA SATUAN'!$D$6,MATCH(RAB!C121,'HARGA SATUAN'!$C$7:$C$1492,0),0))</f>
        <v/>
      </c>
      <c r="E121" s="282"/>
      <c r="F121" s="409"/>
      <c r="G121" s="283"/>
      <c r="H121" s="284"/>
      <c r="I121" s="284"/>
      <c r="J121" s="284"/>
      <c r="K121" s="285"/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 ht="15">
      <c r="A122" s="259" t="e">
        <f>IF(AND(#REF!=0,#REF!=0,#REF!=0),"BLANKS",1)</f>
        <v>#REF!</v>
      </c>
      <c r="B122" s="293"/>
      <c r="C122" s="294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409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51"/>
        <v>0</v>
      </c>
      <c r="I122" s="284">
        <f t="shared" ca="1" si="52"/>
        <v>0</v>
      </c>
      <c r="J122" s="284">
        <f t="shared" ca="1" si="53"/>
        <v>0</v>
      </c>
      <c r="K122" s="285">
        <f t="shared" ca="1" si="54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 ht="15">
      <c r="A123" s="259" t="e">
        <f>IF(AND(#REF!=0,#REF!=0,#REF!=0),"BLANKS",1)</f>
        <v>#REF!</v>
      </c>
      <c r="B123" s="293"/>
      <c r="C123" s="109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409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1"/>
        <v>0</v>
      </c>
      <c r="I123" s="284">
        <f t="shared" ca="1" si="52"/>
        <v>0</v>
      </c>
      <c r="J123" s="284">
        <f t="shared" ca="1" si="53"/>
        <v>0</v>
      </c>
      <c r="K123" s="285">
        <f t="shared" ca="1" si="5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 ht="15">
      <c r="A124" s="259"/>
      <c r="B124" s="416" t="s">
        <v>514</v>
      </c>
      <c r="C124" s="417" t="s">
        <v>1587</v>
      </c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/>
      </c>
      <c r="F124" s="409"/>
      <c r="G124" s="283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1"/>
        <v>0</v>
      </c>
      <c r="I124" s="284">
        <f t="shared" ca="1" si="52"/>
        <v>0</v>
      </c>
      <c r="J124" s="284">
        <f t="shared" ca="1" si="53"/>
        <v>0</v>
      </c>
      <c r="K124" s="285">
        <f t="shared" ca="1" si="5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 ht="16">
      <c r="A125" s="259">
        <f>IF(AND(C143=0,C144=0,C145=0),"BLANKS",1)</f>
        <v>1</v>
      </c>
      <c r="B125" s="293">
        <v>1</v>
      </c>
      <c r="C125" s="109" t="s">
        <v>55</v>
      </c>
      <c r="D125" s="281" t="str">
        <f ca="1">IF(ISERROR(OFFSET('HARGA SATUAN'!$D$6,MATCH(RAB!C125,'HARGA SATUAN'!$C$7:$C$1492,0),0)),"",OFFSET('HARGA SATUAN'!$D$6,MATCH(RAB!C125,'HARGA SATUAN'!$C$7:$C$1492,0),0))</f>
        <v>MDU-KD</v>
      </c>
      <c r="E125" s="282" t="str">
        <f ca="1">IF(B125="+","Unit",IF(ISERROR(OFFSET('HARGA SATUAN'!$E$6,MATCH(RAB!C125,'HARGA SATUAN'!$C$7:$C$1492,0),0)),"",OFFSET('HARGA SATUAN'!$E$6,MATCH(RAB!C125,'HARGA SATUAN'!$C$7:$C$1492,0),0)))</f>
        <v>Mtr</v>
      </c>
      <c r="F125" s="409">
        <v>500</v>
      </c>
      <c r="G125" s="283">
        <f ca="1">IF(ISERROR(OFFSET('HARGA SATUAN'!$I$6,MATCH(RAB!C125,'HARGA SATUAN'!$C$7:$C$1492,0),0)),0,OFFSET('HARGA SATUAN'!$I$6,MATCH(RAB!C125,'HARGA SATUAN'!$C$7:$C$1492,0),0))</f>
        <v>14200</v>
      </c>
      <c r="H125" s="284">
        <f t="shared" ca="1" si="51"/>
        <v>7100000</v>
      </c>
      <c r="I125" s="284">
        <f t="shared" ca="1" si="52"/>
        <v>0</v>
      </c>
      <c r="J125" s="284">
        <f t="shared" ca="1" si="53"/>
        <v>0</v>
      </c>
      <c r="K125" s="285">
        <f t="shared" ca="1" si="54"/>
        <v>7100000</v>
      </c>
      <c r="L125" s="290"/>
      <c r="M125" s="290"/>
      <c r="N125" s="290"/>
      <c r="O125" s="267"/>
      <c r="P125" s="267"/>
      <c r="Q125" s="267"/>
      <c r="R125" s="259"/>
      <c r="S125" s="287"/>
      <c r="T125" s="264"/>
      <c r="U125" s="264"/>
      <c r="V125" s="264"/>
    </row>
    <row r="126" spans="1:22" s="291" customFormat="1" ht="30" customHeight="1">
      <c r="A126" s="259">
        <f>IF(AND(C144=0,C145=0,C146=0),"BLANKS",1)</f>
        <v>1</v>
      </c>
      <c r="B126" s="293">
        <v>2</v>
      </c>
      <c r="C126" s="109" t="s">
        <v>291</v>
      </c>
      <c r="D126" s="281" t="str">
        <f ca="1">IF(ISERROR(OFFSET('HARGA SATUAN'!$D$6,MATCH(RAB!C126,'HARGA SATUAN'!$C$7:$C$1492,0),0)),"",OFFSET('HARGA SATUAN'!$D$6,MATCH(RAB!C126,'HARGA SATUAN'!$C$7:$C$1492,0),0))</f>
        <v>JASA</v>
      </c>
      <c r="E126" s="282" t="str">
        <f ca="1">IF(B126="+","Unit",IF(ISERROR(OFFSET('HARGA SATUAN'!$E$6,MATCH(RAB!C126,'HARGA SATUAN'!$C$7:$C$1492,0),0)),"",OFFSET('HARGA SATUAN'!$E$6,MATCH(RAB!C126,'HARGA SATUAN'!$C$7:$C$1492,0),0)))</f>
        <v>Per 50 m</v>
      </c>
      <c r="F126" s="409">
        <v>4</v>
      </c>
      <c r="G126" s="283">
        <f ca="1">IF(ISERROR(OFFSET('HARGA SATUAN'!$I$6,MATCH(RAB!C126,'HARGA SATUAN'!$C$7:$C$1492,0),0)),0,OFFSET('HARGA SATUAN'!$I$6,MATCH(RAB!C126,'HARGA SATUAN'!$C$7:$C$1492,0),0))</f>
        <v>300100</v>
      </c>
      <c r="H126" s="284">
        <f t="shared" ca="1" si="51"/>
        <v>0</v>
      </c>
      <c r="I126" s="284">
        <f t="shared" ca="1" si="52"/>
        <v>0</v>
      </c>
      <c r="J126" s="284">
        <f t="shared" ca="1" si="53"/>
        <v>1200400</v>
      </c>
      <c r="K126" s="285">
        <f t="shared" ca="1" si="54"/>
        <v>1200400</v>
      </c>
      <c r="L126" s="290"/>
      <c r="M126" s="290"/>
      <c r="N126" s="290"/>
      <c r="O126" s="267"/>
      <c r="P126" s="267"/>
      <c r="Q126" s="267"/>
      <c r="R126" s="259"/>
      <c r="S126" s="287"/>
      <c r="T126" s="264"/>
      <c r="U126" s="264"/>
      <c r="V126" s="264"/>
    </row>
    <row r="127" spans="1:22" s="291" customFormat="1" ht="15">
      <c r="A127" s="259">
        <f>IF(AND(C145=0,C146=0,C147=0),"BLANKS",1)</f>
        <v>1</v>
      </c>
      <c r="B127" s="293"/>
      <c r="C127" s="109"/>
      <c r="D127" s="281" t="str">
        <f ca="1">IF(ISERROR(OFFSET('HARGA SATUAN'!$D$6,MATCH(RAB!C127,'HARGA SATUAN'!$C$7:$C$1492,0),0)),"",OFFSET('HARGA SATUAN'!$D$6,MATCH(RAB!C127,'HARGA SATUAN'!$C$7:$C$1492,0),0))</f>
        <v/>
      </c>
      <c r="E127" s="282" t="str">
        <f ca="1">IF(B127="+","Unit",IF(ISERROR(OFFSET('HARGA SATUAN'!$E$6,MATCH(RAB!C127,'HARGA SATUAN'!$C$7:$C$1492,0),0)),"",OFFSET('HARGA SATUAN'!$E$6,MATCH(RAB!C127,'HARGA SATUAN'!$C$7:$C$1492,0),0)))</f>
        <v/>
      </c>
      <c r="F127" s="409"/>
      <c r="G127" s="283">
        <f ca="1">IF(ISERROR(OFFSET('HARGA SATUAN'!$I$6,MATCH(RAB!C127,'HARGA SATUAN'!$C$7:$C$1492,0),0)),0,OFFSET('HARGA SATUAN'!$I$6,MATCH(RAB!C127,'HARGA SATUAN'!$C$7:$C$1492,0),0))</f>
        <v>0</v>
      </c>
      <c r="H127" s="284">
        <f t="shared" ca="1" si="51"/>
        <v>0</v>
      </c>
      <c r="I127" s="284">
        <f t="shared" ca="1" si="52"/>
        <v>0</v>
      </c>
      <c r="J127" s="284">
        <f t="shared" ca="1" si="53"/>
        <v>0</v>
      </c>
      <c r="K127" s="285">
        <f t="shared" ca="1" si="54"/>
        <v>0</v>
      </c>
      <c r="L127" s="290"/>
      <c r="M127" s="290"/>
      <c r="N127" s="290"/>
      <c r="O127" s="267"/>
      <c r="P127" s="267"/>
      <c r="Q127" s="267"/>
      <c r="R127" s="267"/>
      <c r="S127" s="264"/>
      <c r="T127" s="264"/>
      <c r="U127" s="264"/>
      <c r="V127" s="264"/>
    </row>
    <row r="128" spans="1:22" s="291" customFormat="1" ht="15" customHeight="1">
      <c r="A128" s="259"/>
      <c r="B128" s="416"/>
      <c r="C128" s="417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409"/>
      <c r="G128" s="283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51"/>
        <v>0</v>
      </c>
      <c r="I128" s="284">
        <f t="shared" ca="1" si="52"/>
        <v>0</v>
      </c>
      <c r="J128" s="284">
        <f t="shared" ca="1" si="53"/>
        <v>0</v>
      </c>
      <c r="K128" s="285">
        <f t="shared" ca="1" si="54"/>
        <v>0</v>
      </c>
      <c r="L128" s="265"/>
      <c r="M128" s="290"/>
      <c r="N128" s="290"/>
      <c r="O128" s="267"/>
      <c r="P128" s="267"/>
      <c r="Q128" s="267"/>
      <c r="R128" s="267"/>
      <c r="S128" s="267"/>
    </row>
    <row r="129" spans="1:22" s="288" customFormat="1" ht="15">
      <c r="A129" s="259"/>
      <c r="B129" s="416" t="s">
        <v>516</v>
      </c>
      <c r="C129" s="417" t="s">
        <v>1588</v>
      </c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409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ref="H129:H131" ca="1" si="55">IF(OR(D129="MDU",D129="MDU-KD"),(IF($O$3="RAB NON MDU","PLN KD",G129*F129)),0)</f>
        <v>0</v>
      </c>
      <c r="I129" s="284">
        <f t="shared" ref="I129:I131" ca="1" si="56">IF(D129="HDW",G129*F129,0)</f>
        <v>0</v>
      </c>
      <c r="J129" s="284">
        <f t="shared" ref="J129:J131" ca="1" si="57">IF(D129="JASA",G129*F129,0)</f>
        <v>0</v>
      </c>
      <c r="K129" s="285">
        <f t="shared" ref="K129:K131" ca="1" si="58">SUM(H129:J129)</f>
        <v>0</v>
      </c>
      <c r="L129" s="265"/>
      <c r="M129" s="265"/>
      <c r="N129" s="290"/>
      <c r="O129" s="267"/>
      <c r="P129" s="267"/>
      <c r="Q129" s="318"/>
      <c r="R129" s="267"/>
      <c r="S129" s="318"/>
      <c r="T129" s="319"/>
      <c r="U129" s="319"/>
      <c r="V129" s="319"/>
    </row>
    <row r="130" spans="1:22" s="288" customFormat="1" ht="16">
      <c r="A130" s="259"/>
      <c r="B130" s="419" t="s">
        <v>1006</v>
      </c>
      <c r="C130" s="420" t="s">
        <v>1589</v>
      </c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>Unit</v>
      </c>
      <c r="F130" s="409">
        <v>1</v>
      </c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55"/>
        <v>0</v>
      </c>
      <c r="I130" s="284">
        <f t="shared" ca="1" si="56"/>
        <v>0</v>
      </c>
      <c r="J130" s="284">
        <f t="shared" ca="1" si="57"/>
        <v>0</v>
      </c>
      <c r="K130" s="285">
        <f t="shared" ca="1" si="58"/>
        <v>0</v>
      </c>
      <c r="L130" s="265"/>
      <c r="M130" s="265"/>
      <c r="N130" s="290"/>
      <c r="O130" s="267"/>
      <c r="P130" s="267"/>
      <c r="Q130" s="267"/>
      <c r="R130" s="267"/>
      <c r="S130" s="267"/>
      <c r="T130" s="323"/>
      <c r="U130" s="323"/>
      <c r="V130" s="323"/>
    </row>
    <row r="131" spans="1:22" s="288" customFormat="1" ht="32">
      <c r="A131" s="259"/>
      <c r="B131" s="421">
        <v>1</v>
      </c>
      <c r="C131" s="109" t="s">
        <v>1167</v>
      </c>
      <c r="D131" s="281" t="str">
        <f ca="1">IF(ISERROR(OFFSET('HARGA SATUAN'!$D$6,MATCH(RAB!C131,'HARGA SATUAN'!$C$7:$C$1492,0),0)),"",OFFSET('HARGA SATUAN'!$D$6,MATCH(RAB!C131,'HARGA SATUAN'!$C$7:$C$1492,0),0))</f>
        <v>MDU-KD</v>
      </c>
      <c r="E131" s="282" t="str">
        <f ca="1">IF(B131="+","Unit",IF(ISERROR(OFFSET('HARGA SATUAN'!$E$6,MATCH(RAB!C131,'HARGA SATUAN'!$C$7:$C$1492,0),0)),"",OFFSET('HARGA SATUAN'!$E$6,MATCH(RAB!C131,'HARGA SATUAN'!$C$7:$C$1492,0),0)))</f>
        <v>Bh</v>
      </c>
      <c r="F131" s="409">
        <v>1</v>
      </c>
      <c r="G131" s="283">
        <f ca="1">IF(ISERROR(OFFSET('HARGA SATUAN'!$I$6,MATCH(RAB!C131,'HARGA SATUAN'!$C$7:$C$1492,0),0)),0,OFFSET('HARGA SATUAN'!$I$6,MATCH(RAB!C131,'HARGA SATUAN'!$C$7:$C$1492,0),0))</f>
        <v>1504200</v>
      </c>
      <c r="H131" s="284">
        <f t="shared" ca="1" si="55"/>
        <v>1504200</v>
      </c>
      <c r="I131" s="284">
        <f t="shared" ca="1" si="56"/>
        <v>0</v>
      </c>
      <c r="J131" s="284">
        <f t="shared" ca="1" si="57"/>
        <v>0</v>
      </c>
      <c r="K131" s="285">
        <f t="shared" ca="1" si="58"/>
        <v>1504200</v>
      </c>
      <c r="L131" s="265"/>
      <c r="M131" s="265"/>
      <c r="N131" s="290"/>
      <c r="O131" s="267"/>
      <c r="P131" s="267"/>
      <c r="Q131" s="267"/>
      <c r="R131" s="267"/>
      <c r="S131" s="267"/>
      <c r="T131" s="319"/>
      <c r="U131" s="319"/>
      <c r="V131" s="319"/>
    </row>
    <row r="132" spans="1:22" s="288" customFormat="1" ht="16">
      <c r="A132" s="259"/>
      <c r="B132" s="421">
        <v>2</v>
      </c>
      <c r="C132" s="427" t="s">
        <v>508</v>
      </c>
      <c r="D132" s="281"/>
      <c r="E132" s="282"/>
      <c r="F132" s="409">
        <v>1</v>
      </c>
      <c r="G132" s="400"/>
      <c r="H132" s="284"/>
      <c r="I132" s="284"/>
      <c r="J132" s="284"/>
      <c r="K132" s="285"/>
      <c r="L132" s="326"/>
      <c r="M132" s="326"/>
      <c r="N132" s="290"/>
      <c r="O132" s="267"/>
      <c r="P132" s="267"/>
      <c r="Q132" s="267"/>
    </row>
    <row r="133" spans="1:22" s="288" customFormat="1" ht="16">
      <c r="A133" s="259"/>
      <c r="B133" s="421">
        <v>3</v>
      </c>
      <c r="C133" s="427" t="s">
        <v>1113</v>
      </c>
      <c r="D133" s="281" t="str">
        <f ca="1">IF(ISERROR(OFFSET('HARGA SATUAN'!$D$6,MATCH(RAB!C133,'HARGA SATUAN'!$C$7:$C$1492,0),0)),"",OFFSET('HARGA SATUAN'!$D$6,MATCH(RAB!C133,'HARGA SATUAN'!$C$7:$C$1492,0),0))</f>
        <v>HDW</v>
      </c>
      <c r="E133" s="282" t="str">
        <f ca="1">IF(B133="+","Unit",IF(ISERROR(OFFSET('HARGA SATUAN'!$E$6,MATCH(RAB!C133,'HARGA SATUAN'!$C$7:$C$1492,0),0)),"",OFFSET('HARGA SATUAN'!$E$6,MATCH(RAB!C133,'HARGA SATUAN'!$C$7:$C$1492,0),0)))</f>
        <v>Unit</v>
      </c>
      <c r="F133" s="409">
        <v>1</v>
      </c>
      <c r="G133" s="283">
        <f ca="1">IF(ISERROR(OFFSET('HARGA SATUAN'!$I$6,MATCH(RAB!C133,'HARGA SATUAN'!$C$7:$C$1492,0),0)),0,OFFSET('HARGA SATUAN'!$I$6,MATCH(RAB!C133,'HARGA SATUAN'!$C$7:$C$1492,0),0))</f>
        <v>1113900</v>
      </c>
      <c r="H133" s="284">
        <f t="shared" ca="1" si="51"/>
        <v>0</v>
      </c>
      <c r="I133" s="284">
        <f t="shared" ca="1" si="52"/>
        <v>1113900</v>
      </c>
      <c r="J133" s="284">
        <f t="shared" ca="1" si="53"/>
        <v>0</v>
      </c>
      <c r="K133" s="285">
        <f t="shared" ca="1" si="54"/>
        <v>1113900</v>
      </c>
      <c r="L133" s="265"/>
      <c r="M133" s="265"/>
      <c r="N133" s="290"/>
      <c r="O133" s="267"/>
      <c r="P133" s="267"/>
      <c r="Q133" s="318"/>
      <c r="R133" s="267"/>
      <c r="S133" s="318"/>
      <c r="T133" s="319"/>
      <c r="U133" s="319"/>
      <c r="V133" s="319"/>
    </row>
    <row r="134" spans="1:22" s="288" customFormat="1" ht="16">
      <c r="A134" s="259"/>
      <c r="B134" s="421">
        <v>4</v>
      </c>
      <c r="C134" s="109" t="s">
        <v>1431</v>
      </c>
      <c r="D134" s="281" t="str">
        <f ca="1">IF(ISERROR(OFFSET('HARGA SATUAN'!$D$6,MATCH(RAB!C134,'HARGA SATUAN'!$C$7:$C$1492,0),0)),"",OFFSET('HARGA SATUAN'!$D$6,MATCH(RAB!C134,'HARGA SATUAN'!$C$7:$C$1492,0),0))</f>
        <v>MDU-KD</v>
      </c>
      <c r="E134" s="282" t="str">
        <f ca="1">IF(B134="+","Unit",IF(ISERROR(OFFSET('HARGA SATUAN'!$E$6,MATCH(RAB!C134,'HARGA SATUAN'!$C$7:$C$1492,0),0)),"",OFFSET('HARGA SATUAN'!$E$6,MATCH(RAB!C134,'HARGA SATUAN'!$C$7:$C$1492,0),0)))</f>
        <v>Mtr</v>
      </c>
      <c r="F134" s="409">
        <v>35</v>
      </c>
      <c r="G134" s="283">
        <f ca="1">IF(ISERROR(OFFSET('HARGA SATUAN'!$I$6,MATCH(RAB!C134,'HARGA SATUAN'!$C$7:$C$1492,0),0)),0,OFFSET('HARGA SATUAN'!$I$6,MATCH(RAB!C134,'HARGA SATUAN'!$C$7:$C$1492,0),0))</f>
        <v>54500</v>
      </c>
      <c r="H134" s="284">
        <f t="shared" ca="1" si="51"/>
        <v>1907500</v>
      </c>
      <c r="I134" s="284">
        <f t="shared" ca="1" si="52"/>
        <v>0</v>
      </c>
      <c r="J134" s="284">
        <f t="shared" ca="1" si="53"/>
        <v>0</v>
      </c>
      <c r="K134" s="285">
        <f t="shared" ca="1" si="54"/>
        <v>1907500</v>
      </c>
      <c r="L134" s="265"/>
      <c r="M134" s="265"/>
      <c r="N134" s="290"/>
      <c r="O134" s="267"/>
      <c r="P134" s="267"/>
      <c r="Q134" s="267"/>
      <c r="R134" s="267"/>
      <c r="S134" s="267"/>
      <c r="T134" s="323"/>
      <c r="U134" s="323"/>
      <c r="V134" s="323"/>
    </row>
    <row r="135" spans="1:22" s="288" customFormat="1" ht="16">
      <c r="A135" s="259"/>
      <c r="B135" s="421">
        <v>5</v>
      </c>
      <c r="C135" s="427" t="s">
        <v>790</v>
      </c>
      <c r="D135" s="281" t="str">
        <f ca="1">IF(ISERROR(OFFSET('HARGA SATUAN'!$D$6,MATCH(RAB!C135,'HARGA SATUAN'!$C$7:$C$1492,0),0)),"",OFFSET('HARGA SATUAN'!$D$6,MATCH(RAB!C135,'HARGA SATUAN'!$C$7:$C$1492,0),0))</f>
        <v>JASA</v>
      </c>
      <c r="E135" s="282" t="str">
        <f ca="1">IF(B135="+","Unit",IF(ISERROR(OFFSET('HARGA SATUAN'!$E$6,MATCH(RAB!C135,'HARGA SATUAN'!$C$7:$C$1492,0),0)),"",OFFSET('HARGA SATUAN'!$E$6,MATCH(RAB!C135,'HARGA SATUAN'!$C$7:$C$1492,0),0)))</f>
        <v>Unit</v>
      </c>
      <c r="F135" s="409">
        <v>1</v>
      </c>
      <c r="G135" s="283">
        <f ca="1">IF(ISERROR(OFFSET('HARGA SATUAN'!$I$6,MATCH(RAB!C135,'HARGA SATUAN'!$C$7:$C$1492,0),0)),0,OFFSET('HARGA SATUAN'!$I$6,MATCH(RAB!C135,'HARGA SATUAN'!$C$7:$C$1492,0),0))</f>
        <v>106400</v>
      </c>
      <c r="H135" s="284">
        <f t="shared" ca="1" si="51"/>
        <v>0</v>
      </c>
      <c r="I135" s="284">
        <f t="shared" ca="1" si="52"/>
        <v>0</v>
      </c>
      <c r="J135" s="284">
        <f t="shared" ca="1" si="53"/>
        <v>106400</v>
      </c>
      <c r="K135" s="285">
        <f t="shared" ca="1" si="54"/>
        <v>106400</v>
      </c>
      <c r="L135" s="265"/>
      <c r="M135" s="265"/>
      <c r="N135" s="290"/>
      <c r="O135" s="267"/>
      <c r="P135" s="267"/>
      <c r="Q135" s="267"/>
      <c r="R135" s="267"/>
      <c r="S135" s="267"/>
      <c r="T135" s="319"/>
      <c r="U135" s="319"/>
      <c r="V135" s="319"/>
    </row>
    <row r="136" spans="1:22" s="288" customFormat="1" ht="15">
      <c r="A136" s="259"/>
      <c r="B136" s="293"/>
      <c r="C136" s="417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409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51"/>
        <v>0</v>
      </c>
      <c r="I136" s="284">
        <f t="shared" ca="1" si="52"/>
        <v>0</v>
      </c>
      <c r="J136" s="284">
        <f t="shared" ca="1" si="53"/>
        <v>0</v>
      </c>
      <c r="K136" s="285">
        <f t="shared" ca="1" si="54"/>
        <v>0</v>
      </c>
      <c r="L136" s="265"/>
      <c r="M136" s="265"/>
      <c r="N136" s="290"/>
      <c r="O136" s="267"/>
      <c r="P136" s="267"/>
      <c r="Q136" s="267"/>
      <c r="R136" s="267"/>
      <c r="S136" s="267"/>
      <c r="T136" s="323"/>
      <c r="U136" s="323"/>
      <c r="V136" s="323"/>
    </row>
    <row r="137" spans="1:22" s="288" customFormat="1" ht="15">
      <c r="A137" s="259"/>
      <c r="B137" s="416" t="s">
        <v>520</v>
      </c>
      <c r="C137" s="417" t="s">
        <v>1590</v>
      </c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409"/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51"/>
        <v>0</v>
      </c>
      <c r="I137" s="284">
        <f t="shared" ca="1" si="52"/>
        <v>0</v>
      </c>
      <c r="J137" s="284">
        <f t="shared" ca="1" si="53"/>
        <v>0</v>
      </c>
      <c r="K137" s="285">
        <f t="shared" ca="1" si="54"/>
        <v>0</v>
      </c>
      <c r="L137" s="326" t="e">
        <f ca="1">PROPER([93]!terbilang(K149))</f>
        <v>#NAME?</v>
      </c>
      <c r="M137" s="326"/>
      <c r="N137" s="290"/>
      <c r="O137" s="267"/>
      <c r="P137" s="267"/>
      <c r="Q137" s="267"/>
    </row>
    <row r="138" spans="1:22" s="288" customFormat="1" ht="16">
      <c r="A138" s="259"/>
      <c r="B138" s="293"/>
      <c r="C138" s="109" t="s">
        <v>972</v>
      </c>
      <c r="D138" s="281" t="str">
        <f ca="1">IF(ISERROR(OFFSET('HARGA SATUAN'!$D$6,MATCH(RAB!C138,'HARGA SATUAN'!$C$7:$C$1492,0),0)),"",OFFSET('HARGA SATUAN'!$D$6,MATCH(RAB!C138,'HARGA SATUAN'!$C$7:$C$1492,0),0))</f>
        <v>JASA</v>
      </c>
      <c r="E138" s="282" t="str">
        <f ca="1">IF(B138="+","Unit",IF(ISERROR(OFFSET('HARGA SATUAN'!$E$6,MATCH(RAB!C138,'HARGA SATUAN'!$C$7:$C$1492,0),0)),"",OFFSET('HARGA SATUAN'!$E$6,MATCH(RAB!C138,'HARGA SATUAN'!$C$7:$C$1492,0),0)))</f>
        <v>Unit</v>
      </c>
      <c r="F138" s="409">
        <v>1</v>
      </c>
      <c r="G138" s="283">
        <f ca="1">IF(ISERROR(OFFSET('HARGA SATUAN'!$I$6,MATCH(RAB!C138,'HARGA SATUAN'!$C$7:$C$1492,0),0)),0,OFFSET('HARGA SATUAN'!$I$6,MATCH(RAB!C138,'HARGA SATUAN'!$C$7:$C$1492,0),0))</f>
        <v>32640</v>
      </c>
      <c r="H138" s="284">
        <f t="shared" ca="1" si="51"/>
        <v>0</v>
      </c>
      <c r="I138" s="284">
        <f t="shared" ca="1" si="52"/>
        <v>0</v>
      </c>
      <c r="J138" s="284">
        <f t="shared" ca="1" si="53"/>
        <v>32640</v>
      </c>
      <c r="K138" s="285">
        <f t="shared" ca="1" si="54"/>
        <v>32640</v>
      </c>
      <c r="L138" s="265"/>
      <c r="M138" s="265"/>
      <c r="N138" s="290"/>
      <c r="O138" s="267"/>
      <c r="P138" s="318"/>
      <c r="Q138" s="267"/>
    </row>
    <row r="139" spans="1:22" s="288" customFormat="1" ht="15">
      <c r="A139" s="259"/>
      <c r="B139" s="293"/>
      <c r="C139" s="294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409"/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51"/>
        <v>0</v>
      </c>
      <c r="I139" s="284">
        <f t="shared" ca="1" si="52"/>
        <v>0</v>
      </c>
      <c r="J139" s="284">
        <f t="shared" ca="1" si="53"/>
        <v>0</v>
      </c>
      <c r="K139" s="285">
        <f t="shared" ca="1" si="54"/>
        <v>0</v>
      </c>
      <c r="L139" s="265"/>
      <c r="M139" s="265"/>
      <c r="N139" s="290"/>
      <c r="O139" s="267"/>
      <c r="P139" s="267"/>
      <c r="Q139" s="267"/>
    </row>
    <row r="140" spans="1:22" s="288" customFormat="1" ht="15">
      <c r="A140" s="259"/>
      <c r="B140" s="293"/>
      <c r="C140" s="292"/>
      <c r="D140" s="281" t="str">
        <f ca="1">IF(ISERROR(OFFSET('HARGA SATUAN'!$D$6,MATCH(RAB!C140,'HARGA SATUAN'!$C$7:$C$1492,0),0)),"",OFFSET('HARGA SATUAN'!$D$6,MATCH(RAB!C140,'HARGA SATUAN'!$C$7:$C$1492,0),0))</f>
        <v/>
      </c>
      <c r="E140" s="282" t="str">
        <f ca="1">IF(B140="+","Unit",IF(ISERROR(OFFSET('HARGA SATUAN'!$E$6,MATCH(RAB!C140,'HARGA SATUAN'!$C$7:$C$1492,0),0)),"",OFFSET('HARGA SATUAN'!$E$6,MATCH(RAB!C140,'HARGA SATUAN'!$C$7:$C$1492,0),0)))</f>
        <v/>
      </c>
      <c r="F140" s="409"/>
      <c r="G140" s="283">
        <f ca="1">IF(ISERROR(OFFSET('HARGA SATUAN'!$I$6,MATCH(RAB!C140,'HARGA SATUAN'!$C$7:$C$1492,0),0)),0,OFFSET('HARGA SATUAN'!$I$6,MATCH(RAB!C140,'HARGA SATUAN'!$C$7:$C$1492,0),0))</f>
        <v>0</v>
      </c>
      <c r="H140" s="284">
        <f t="shared" ca="1" si="51"/>
        <v>0</v>
      </c>
      <c r="I140" s="284">
        <f t="shared" ca="1" si="52"/>
        <v>0</v>
      </c>
      <c r="J140" s="284">
        <f t="shared" ca="1" si="53"/>
        <v>0</v>
      </c>
      <c r="K140" s="285">
        <f t="shared" ca="1" si="54"/>
        <v>0</v>
      </c>
      <c r="L140" s="265"/>
      <c r="M140" s="265"/>
      <c r="N140" s="290"/>
      <c r="O140" s="267"/>
      <c r="P140" s="267"/>
      <c r="Q140" s="267"/>
    </row>
    <row r="141" spans="1:22" s="288" customFormat="1" ht="15">
      <c r="A141" s="259"/>
      <c r="B141" s="391"/>
      <c r="C141" s="392"/>
      <c r="D141" s="281" t="str">
        <f ca="1">IF(ISERROR(OFFSET('HARGA SATUAN'!$D$6,MATCH(RAB!C141,'HARGA SATUAN'!$C$7:$C$1492,0),0)),"",OFFSET('HARGA SATUAN'!$D$6,MATCH(RAB!C141,'HARGA SATUAN'!$C$7:$C$1492,0),0))</f>
        <v/>
      </c>
      <c r="E141" s="282" t="str">
        <f ca="1">IF(B141="+","Unit",IF(ISERROR(OFFSET('HARGA SATUAN'!$E$6,MATCH(RAB!C141,'HARGA SATUAN'!$C$7:$C$1492,0),0)),"",OFFSET('HARGA SATUAN'!$E$6,MATCH(RAB!C141,'HARGA SATUAN'!$C$7:$C$1492,0),0)))</f>
        <v/>
      </c>
      <c r="F141" s="390"/>
      <c r="G141" s="283">
        <f ca="1">IF(ISERROR(OFFSET('HARGA SATUAN'!$I$6,MATCH(RAB!C141,'HARGA SATUAN'!$C$7:$C$1492,0),0)),0,OFFSET('HARGA SATUAN'!$I$6,MATCH(RAB!C141,'HARGA SATUAN'!$C$7:$C$1492,0),0))</f>
        <v>0</v>
      </c>
      <c r="H141" s="284">
        <f t="shared" ca="1" si="51"/>
        <v>0</v>
      </c>
      <c r="I141" s="284">
        <f t="shared" ca="1" si="52"/>
        <v>0</v>
      </c>
      <c r="J141" s="284">
        <f t="shared" ca="1" si="53"/>
        <v>0</v>
      </c>
      <c r="K141" s="285">
        <f t="shared" ca="1" si="54"/>
        <v>0</v>
      </c>
      <c r="L141" s="265"/>
      <c r="M141" s="265"/>
      <c r="N141" s="290"/>
      <c r="O141" s="267"/>
      <c r="P141" s="267"/>
      <c r="Q141" s="267"/>
    </row>
    <row r="142" spans="1:22" ht="15">
      <c r="B142" s="295"/>
      <c r="C142" s="292"/>
      <c r="D142" s="281" t="str">
        <f ca="1">IF(ISERROR(OFFSET('HARGA SATUAN'!$D$6,MATCH(RAB!C142,'HARGA SATUAN'!$C$7:$C$1492,0),0)),"",OFFSET('HARGA SATUAN'!$D$6,MATCH(RAB!C142,'HARGA SATUAN'!$C$7:$C$1492,0),0))</f>
        <v/>
      </c>
      <c r="E142" s="282" t="str">
        <f ca="1">IF(B142="+","Unit",IF(ISERROR(OFFSET('HARGA SATUAN'!$E$6,MATCH(RAB!C142,'HARGA SATUAN'!$C$7:$C$1492,0),0)),"",OFFSET('HARGA SATUAN'!$E$6,MATCH(RAB!C142,'HARGA SATUAN'!$C$7:$C$1492,0),0)))</f>
        <v/>
      </c>
      <c r="F142" s="289"/>
      <c r="G142" s="283">
        <f ca="1">IF(ISERROR(OFFSET('HARGA SATUAN'!$I$6,MATCH(RAB!C142,'HARGA SATUAN'!$C$7:$C$1492,0),0)),0,OFFSET('HARGA SATUAN'!$I$6,MATCH(RAB!C142,'HARGA SATUAN'!$C$7:$C$1492,0),0))</f>
        <v>0</v>
      </c>
      <c r="H142" s="284">
        <f t="shared" ca="1" si="51"/>
        <v>0</v>
      </c>
      <c r="I142" s="284">
        <f t="shared" ca="1" si="52"/>
        <v>0</v>
      </c>
      <c r="J142" s="284">
        <f t="shared" ca="1" si="53"/>
        <v>0</v>
      </c>
      <c r="K142" s="285">
        <f t="shared" ca="1" si="54"/>
        <v>0</v>
      </c>
    </row>
    <row r="143" spans="1:22" ht="15">
      <c r="B143" s="296"/>
      <c r="C143" s="297" t="s">
        <v>465</v>
      </c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298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ref="H143" ca="1" si="59">IF(OR(D143="MDU",D143="MDU-KD"),(IF($O$3="RAB NON MDU","PLN KD",G143*F143)),0)</f>
        <v>0</v>
      </c>
      <c r="I143" s="284">
        <f ca="1">IF(D143="HDW",G143*F143,0)</f>
        <v>0</v>
      </c>
      <c r="J143" s="284">
        <f ca="1">IF(D143="JASA",G143*F143,0)</f>
        <v>0</v>
      </c>
      <c r="K143" s="285">
        <f ca="1">SUM(H143:J143)</f>
        <v>0</v>
      </c>
    </row>
    <row r="144" spans="1:22" ht="15">
      <c r="B144" s="299">
        <v>1</v>
      </c>
      <c r="C144" s="300" t="s">
        <v>1062</v>
      </c>
      <c r="D144" s="301" t="str">
        <f ca="1">IF(ISERROR(OFFSET('HARGA SATUAN'!$D$6,MATCH(RAB!C144,'HARGA SATUAN'!$C$7:$C$1492,0),0)),"",OFFSET('HARGA SATUAN'!$D$6,MATCH(RAB!C144,'HARGA SATUAN'!$C$7:$C$1492,0),0))</f>
        <v>JASA</v>
      </c>
      <c r="E144" s="302" t="str">
        <f ca="1">IF(ISERROR(OFFSET('HARGA SATUAN'!$E$6,MATCH(RAB!C144,'HARGA SATUAN'!$C$7:$C$1492,0),0)),"",OFFSET('HARGA SATUAN'!$E$6,MATCH(RAB!C144,'HARGA SATUAN'!$C$7:$C$1492,0),0))</f>
        <v>Lot</v>
      </c>
      <c r="F144" s="303">
        <v>1</v>
      </c>
      <c r="G144" s="304">
        <f ca="1">IF(ISERROR(OFFSET('HARGA SATUAN'!$I$6,MATCH(RAB!C144,'HARGA SATUAN'!$C$7:$C$1492,0),0)),0,OFFSET('HARGA SATUAN'!$I$6,MATCH(RAB!C144,'HARGA SATUAN'!$C$7:$C$1492,0),0))</f>
        <v>2.5000000000000001E-2</v>
      </c>
      <c r="H144" s="305"/>
      <c r="I144" s="305"/>
      <c r="J144" s="305">
        <f ca="1">SUM(K15:K142)*G144</f>
        <v>2719775.4433333334</v>
      </c>
      <c r="K144" s="306">
        <f ca="1">SUM(H144:J144)</f>
        <v>2719775.4433333334</v>
      </c>
    </row>
    <row r="145" spans="2:13" ht="15">
      <c r="B145" s="307"/>
      <c r="C145" s="308"/>
      <c r="D145" s="281" t="str">
        <f ca="1">IF(ISERROR(OFFSET('HARGA SATUAN'!$D$6,MATCH(RAB!C145,'HARGA SATUAN'!$C$7:$C$1492,0),0)),"",OFFSET('HARGA SATUAN'!$D$6,MATCH(RAB!C145,'HARGA SATUAN'!$C$7:$C$1492,0),0))</f>
        <v/>
      </c>
      <c r="E145" s="282" t="str">
        <f ca="1">IF(ISERROR(OFFSET('HARGA SATUAN'!$E$6,MATCH(RAB!C145,'HARGA SATUAN'!$C$7:$C$1492,0),0)),"",OFFSET('HARGA SATUAN'!$E$6,MATCH(RAB!C145,'HARGA SATUAN'!$C$7:$C$1492,0),0))</f>
        <v/>
      </c>
      <c r="F145" s="298"/>
      <c r="G145" s="283" t="str">
        <f ca="1">IF(ISERROR(OFFSET('HARGA SATUAN'!$I$6,MATCH(RAB!C145,'HARGA SATUAN'!$C$7:$C$1492,0),0)),"",OFFSET('HARGA SATUAN'!$I$6,MATCH(RAB!C145,'HARGA SATUAN'!$C$7:$C$1492,0),0))</f>
        <v/>
      </c>
      <c r="H145" s="284">
        <f ca="1">IF(OR(D145="MDU",D145="MDU-KD"),IF(G145="PLN",0,G145*F145),0)</f>
        <v>0</v>
      </c>
      <c r="I145" s="284">
        <f ca="1">IF(D145="HDW",IF(G145="PLN",0,G145*F145),0)</f>
        <v>0</v>
      </c>
      <c r="J145" s="284">
        <f ca="1">IF(D145="JASA",IF(G145="PLN",0,G145*F145),0)</f>
        <v>0</v>
      </c>
      <c r="K145" s="285">
        <f ca="1">SUM(H145:J145)</f>
        <v>0</v>
      </c>
    </row>
    <row r="146" spans="2:13" ht="15" thickBot="1">
      <c r="B146" s="309"/>
      <c r="C146" s="310"/>
      <c r="D146" s="311"/>
      <c r="E146" s="312"/>
      <c r="F146" s="312"/>
      <c r="G146" s="312"/>
      <c r="H146" s="313"/>
      <c r="I146" s="313"/>
      <c r="J146" s="313"/>
      <c r="K146" s="314"/>
    </row>
    <row r="147" spans="2:13">
      <c r="B147" s="315"/>
      <c r="C147" s="635" t="s">
        <v>981</v>
      </c>
      <c r="D147" s="635"/>
      <c r="E147" s="635"/>
      <c r="F147" s="635"/>
      <c r="G147" s="316" t="s">
        <v>9</v>
      </c>
      <c r="H147" s="317">
        <f ca="1">SUM(H14:H145)</f>
        <v>72200550</v>
      </c>
      <c r="I147" s="317">
        <f ca="1">SUM(I14:I145)</f>
        <v>31348427.733333334</v>
      </c>
      <c r="J147" s="317">
        <f ca="1">SUM(J14:J145)</f>
        <v>7961815.4433333334</v>
      </c>
      <c r="K147" s="317">
        <f ca="1">SUM(K14:K145)</f>
        <v>111510793.17666666</v>
      </c>
    </row>
    <row r="148" spans="2:13">
      <c r="B148" s="320"/>
      <c r="C148" s="624" t="s">
        <v>1429</v>
      </c>
      <c r="D148" s="624"/>
      <c r="E148" s="624"/>
      <c r="F148" s="624"/>
      <c r="G148" s="321" t="s">
        <v>9</v>
      </c>
      <c r="H148" s="322">
        <f ca="1">H147*0.11</f>
        <v>7942060.5</v>
      </c>
      <c r="I148" s="322">
        <f ca="1">I147*0.11</f>
        <v>3448327.0506666666</v>
      </c>
      <c r="J148" s="322">
        <f ca="1">J147*0.11</f>
        <v>875799.6987666667</v>
      </c>
      <c r="K148" s="322">
        <f ca="1">K147*0.11</f>
        <v>12266187.249433333</v>
      </c>
    </row>
    <row r="149" spans="2:13" ht="15" thickBot="1">
      <c r="B149" s="320"/>
      <c r="C149" s="623" t="s">
        <v>453</v>
      </c>
      <c r="D149" s="623"/>
      <c r="E149" s="623"/>
      <c r="F149" s="623"/>
      <c r="G149" s="324" t="s">
        <v>9</v>
      </c>
      <c r="H149" s="325">
        <f ca="1">SUM(H147:H148)</f>
        <v>80142610.5</v>
      </c>
      <c r="I149" s="325">
        <f ca="1">SUM(I147:I148)</f>
        <v>34796754.784000002</v>
      </c>
      <c r="J149" s="324">
        <f ca="1">SUM(J147:J148)</f>
        <v>8837615.1421000008</v>
      </c>
      <c r="K149" s="324">
        <f ca="1">SUM(K147:K148)</f>
        <v>123776980.4261</v>
      </c>
      <c r="M149" s="393"/>
    </row>
    <row r="150" spans="2:13">
      <c r="B150" s="625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Tiga Juta Tujuh Ratus Tujuh Puluh Enam Ribu Sembilan Ratus Delapan Puluh Rupiah</v>
      </c>
      <c r="C150" s="626"/>
      <c r="D150" s="626"/>
      <c r="E150" s="626"/>
      <c r="F150" s="626"/>
      <c r="G150" s="626"/>
      <c r="H150" s="626"/>
      <c r="I150" s="626"/>
      <c r="J150" s="626"/>
      <c r="K150" s="627"/>
    </row>
    <row r="151" spans="2:13">
      <c r="B151" s="628"/>
      <c r="C151" s="629"/>
      <c r="D151" s="629"/>
      <c r="E151" s="629"/>
      <c r="F151" s="629"/>
      <c r="G151" s="629"/>
      <c r="H151" s="629"/>
      <c r="I151" s="629"/>
      <c r="J151" s="629"/>
      <c r="K151" s="630"/>
    </row>
    <row r="152" spans="2:13" ht="15" thickBot="1">
      <c r="B152" s="327" t="str">
        <f>"Harga yang dipakai adalah "&amp;'HARGA SATUAN'!I5&amp;""</f>
        <v>Harga yang dipakai adalah RAB HSS 2023</v>
      </c>
      <c r="C152" s="328"/>
      <c r="D152" s="329"/>
      <c r="E152" s="329"/>
      <c r="F152" s="329"/>
      <c r="G152" s="330"/>
      <c r="H152" s="330"/>
      <c r="I152" s="330"/>
      <c r="J152" s="330"/>
      <c r="K152" s="331"/>
    </row>
    <row r="153" spans="2:13">
      <c r="C153" s="332"/>
      <c r="E153" s="334"/>
      <c r="F153" s="334"/>
      <c r="G153" s="334"/>
    </row>
    <row r="154" spans="2:13">
      <c r="C154" s="260"/>
      <c r="E154" s="334"/>
      <c r="F154" s="334"/>
      <c r="G154" s="334"/>
      <c r="H154" s="631"/>
      <c r="I154" s="631"/>
      <c r="J154" s="632"/>
      <c r="K154" s="632"/>
    </row>
    <row r="155" spans="2:13">
      <c r="C155" s="260"/>
      <c r="E155" s="334"/>
      <c r="F155" s="334"/>
      <c r="G155" s="334"/>
      <c r="H155" s="335"/>
      <c r="I155" s="622" t="s">
        <v>1653</v>
      </c>
      <c r="J155" s="622"/>
      <c r="K155" s="622"/>
    </row>
    <row r="156" spans="2:13">
      <c r="C156" s="260"/>
      <c r="E156" s="334"/>
      <c r="F156" s="334"/>
      <c r="G156" s="334"/>
      <c r="H156" s="335"/>
      <c r="I156" s="622" t="s">
        <v>1654</v>
      </c>
      <c r="J156" s="622"/>
      <c r="K156" s="622"/>
    </row>
    <row r="157" spans="2:13">
      <c r="C157" s="260"/>
      <c r="E157" s="334"/>
      <c r="F157" s="334"/>
      <c r="G157" s="334"/>
      <c r="H157" s="336"/>
      <c r="I157" s="337"/>
      <c r="J157" s="337"/>
      <c r="K157" s="337"/>
    </row>
    <row r="158" spans="2:13">
      <c r="C158" s="260"/>
      <c r="E158" s="334"/>
      <c r="F158" s="334"/>
      <c r="G158" s="334"/>
      <c r="H158" s="336"/>
      <c r="I158" s="336"/>
      <c r="J158" s="336"/>
      <c r="K158" s="336"/>
    </row>
    <row r="159" spans="2:13">
      <c r="C159" s="260"/>
      <c r="E159" s="334"/>
      <c r="F159" s="334"/>
      <c r="G159" s="334"/>
      <c r="H159" s="336"/>
      <c r="I159" s="336"/>
      <c r="J159" s="336"/>
      <c r="K159" s="336"/>
    </row>
    <row r="160" spans="2:13">
      <c r="C160" s="260"/>
      <c r="E160" s="334"/>
      <c r="F160" s="334"/>
      <c r="G160" s="334"/>
      <c r="H160" s="336"/>
      <c r="I160" s="336"/>
      <c r="J160" s="336"/>
      <c r="K160" s="336"/>
    </row>
    <row r="161" spans="3:11">
      <c r="C161" s="260"/>
      <c r="E161" s="334"/>
      <c r="F161" s="334"/>
      <c r="G161" s="334"/>
      <c r="H161" s="338"/>
      <c r="I161" s="622" t="s">
        <v>1655</v>
      </c>
      <c r="J161" s="622"/>
      <c r="K161" s="622"/>
    </row>
    <row r="162" spans="3:11">
      <c r="C162" s="332"/>
      <c r="E162" s="334"/>
      <c r="F162" s="334"/>
      <c r="G162" s="334"/>
      <c r="H162" s="336"/>
      <c r="I162" s="336"/>
      <c r="J162" s="336"/>
      <c r="K162" s="336"/>
    </row>
    <row r="163" spans="3:11">
      <c r="C163" s="332"/>
      <c r="E163" s="334"/>
      <c r="F163" s="334"/>
      <c r="G163" s="334"/>
      <c r="H163" s="336"/>
      <c r="I163" s="336"/>
      <c r="J163" s="336"/>
      <c r="K163" s="336"/>
    </row>
    <row r="164" spans="3:11">
      <c r="C164" s="332"/>
      <c r="E164" s="334"/>
      <c r="F164" s="334"/>
      <c r="G164" s="334"/>
      <c r="H164" s="336"/>
      <c r="I164" s="336"/>
      <c r="J164" s="336"/>
      <c r="K164" s="336"/>
    </row>
  </sheetData>
  <sheetProtection sort="0" autoFilter="0"/>
  <protectedRanges>
    <protectedRange sqref="B142 B71:C71 B72 B73:C76 B70 B35:C36 B118:C118 B119 B120:C128 B141:C141 B78:C78 B79 B80:C83 B77 B85:C85 B86 B87:C90 B84 B117 B97:B98 B99:C99 B100 B101:C109" name="Range1_1"/>
    <protectedRange sqref="F97 F142" name="Range1_1_3"/>
    <protectedRange sqref="F15" name="Range1_1_2_2"/>
    <protectedRange sqref="B135:C135 B136 B137:C140 B134 B129:C129 B132:C133 B130:B131 B116:C116 B115 B110:C110 B113:C114 B111:B112" name="Range1_1_1"/>
    <protectedRange sqref="C131 C112" name="Range1_1_4"/>
  </protectedRanges>
  <mergeCells count="22"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56:K156"/>
    <mergeCell ref="I161:K161"/>
    <mergeCell ref="C149:F149"/>
    <mergeCell ref="I155:K155"/>
    <mergeCell ref="C148:F148"/>
    <mergeCell ref="B150:K151"/>
    <mergeCell ref="H154:K154"/>
  </mergeCells>
  <phoneticPr fontId="117" type="noConversion"/>
  <conditionalFormatting sqref="C15:C18">
    <cfRule type="cellIs" dxfId="19" priority="149" operator="equal">
      <formula>0</formula>
    </cfRule>
  </conditionalFormatting>
  <conditionalFormatting sqref="C76">
    <cfRule type="cellIs" dxfId="18" priority="43" operator="equal">
      <formula>0</formula>
    </cfRule>
  </conditionalFormatting>
  <conditionalFormatting sqref="C90">
    <cfRule type="cellIs" dxfId="17" priority="15" operator="equal">
      <formula>0</formula>
    </cfRule>
  </conditionalFormatting>
  <conditionalFormatting sqref="C136">
    <cfRule type="cellIs" dxfId="16" priority="49" operator="equal">
      <formula>0</formula>
    </cfRule>
  </conditionalFormatting>
  <conditionalFormatting sqref="C140">
    <cfRule type="cellIs" dxfId="15" priority="50" operator="equal">
      <formula>0</formula>
    </cfRule>
  </conditionalFormatting>
  <conditionalFormatting sqref="C142">
    <cfRule type="cellIs" dxfId="14" priority="123" operator="equal">
      <formula>0</formula>
    </cfRule>
  </conditionalFormatting>
  <conditionalFormatting sqref="E1:E3 G1:G13 H12:I12 O13 H142:K146 G143:H143 E145:H145 E146:F146">
    <cfRule type="cellIs" dxfId="13" priority="926" stopIfTrue="1" operator="equal">
      <formula>0</formula>
    </cfRule>
  </conditionalFormatting>
  <conditionalFormatting sqref="E5:E101">
    <cfRule type="cellIs" dxfId="12" priority="2" stopIfTrue="1" operator="equal">
      <formula>0</formula>
    </cfRule>
  </conditionalFormatting>
  <conditionalFormatting sqref="E142:G144">
    <cfRule type="cellIs" dxfId="11" priority="122" stopIfTrue="1" operator="equal">
      <formula>0</formula>
    </cfRule>
  </conditionalFormatting>
  <conditionalFormatting sqref="E102:K141">
    <cfRule type="cellIs" dxfId="10" priority="1" stopIfTrue="1" operator="equal">
      <formula>0</formula>
    </cfRule>
  </conditionalFormatting>
  <conditionalFormatting sqref="F22:F50">
    <cfRule type="cellIs" dxfId="9" priority="27" stopIfTrue="1" operator="equal">
      <formula>0</formula>
    </cfRule>
  </conditionalFormatting>
  <conditionalFormatting sqref="F52:F60">
    <cfRule type="cellIs" dxfId="8" priority="57" stopIfTrue="1" operator="equal">
      <formula>0</formula>
    </cfRule>
  </conditionalFormatting>
  <conditionalFormatting sqref="F64:F68">
    <cfRule type="cellIs" dxfId="7" priority="56" stopIfTrue="1" operator="equal">
      <formula>0</formula>
    </cfRule>
  </conditionalFormatting>
  <conditionalFormatting sqref="F70:F95">
    <cfRule type="cellIs" dxfId="6" priority="9" stopIfTrue="1" operator="equal">
      <formula>0</formula>
    </cfRule>
  </conditionalFormatting>
  <conditionalFormatting sqref="F97:F101">
    <cfRule type="cellIs" dxfId="5" priority="5" stopIfTrue="1" operator="equal">
      <formula>0</formula>
    </cfRule>
  </conditionalFormatting>
  <conditionalFormatting sqref="F14:K20">
    <cfRule type="cellIs" dxfId="4" priority="148" stopIfTrue="1" operator="equal">
      <formula>0</formula>
    </cfRule>
  </conditionalFormatting>
  <conditionalFormatting sqref="G145:G65611 E150:E65611">
    <cfRule type="cellIs" dxfId="3" priority="60" stopIfTrue="1" operator="equal">
      <formula>0</formula>
    </cfRule>
  </conditionalFormatting>
  <conditionalFormatting sqref="G21:K101">
    <cfRule type="cellIs" dxfId="2" priority="4" stopIfTrue="1" operator="equal">
      <formula>0</formula>
    </cfRule>
  </conditionalFormatting>
  <conditionalFormatting sqref="S14:V108">
    <cfRule type="cellIs" dxfId="1" priority="3" stopIfTrue="1" operator="equal">
      <formula>0</formula>
    </cfRule>
  </conditionalFormatting>
  <conditionalFormatting sqref="S117:V127">
    <cfRule type="cellIs" dxfId="0" priority="1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2:F95 F52:F60 F64:F68 F141 F71:F75 F16:F20 F22:F49 F77:F83 F89 F85:F87 F117:F130 F133:F134 H14:K146 F98:F111 F114:F1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7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EF76D-DB10-4DE6-8593-25ED32E9C2EA}">
  <sheetPr>
    <tabColor rgb="FF92D050"/>
  </sheetPr>
  <dimension ref="C1:AD55"/>
  <sheetViews>
    <sheetView showGridLines="0" view="pageBreakPreview" topLeftCell="A13" zoomScaleNormal="100" zoomScaleSheetLayoutView="100" workbookViewId="0">
      <selection activeCell="S35" sqref="S35"/>
    </sheetView>
  </sheetViews>
  <sheetFormatPr baseColWidth="10" defaultColWidth="9.1640625" defaultRowHeight="12"/>
  <cols>
    <col min="1" max="2" width="1.5" style="483" customWidth="1"/>
    <col min="3" max="3" width="7.5" style="483" customWidth="1"/>
    <col min="4" max="23" width="5.6640625" style="483" customWidth="1"/>
    <col min="24" max="24" width="6.33203125" style="483" customWidth="1"/>
    <col min="25" max="26" width="5.6640625" style="483" customWidth="1"/>
    <col min="27" max="27" width="6.5" style="483" customWidth="1"/>
    <col min="28" max="118" width="5.6640625" style="483" customWidth="1"/>
    <col min="119" max="16384" width="9.1640625" style="483"/>
  </cols>
  <sheetData>
    <row r="1" spans="3:30" ht="13" thickBot="1"/>
    <row r="2" spans="3:30" ht="12.75" customHeight="1">
      <c r="C2" s="484"/>
      <c r="D2" s="485"/>
      <c r="E2" s="485"/>
      <c r="F2" s="485"/>
      <c r="G2" s="485"/>
      <c r="H2" s="485"/>
      <c r="I2" s="485"/>
      <c r="J2" s="485"/>
      <c r="K2" s="485"/>
      <c r="L2" s="485"/>
      <c r="M2" s="485"/>
      <c r="N2" s="485"/>
      <c r="O2" s="485"/>
      <c r="P2" s="485"/>
      <c r="Q2" s="485"/>
      <c r="R2" s="485"/>
      <c r="S2" s="485"/>
      <c r="T2" s="485"/>
      <c r="U2" s="485"/>
      <c r="V2" s="485"/>
      <c r="W2" s="711" t="s">
        <v>1410</v>
      </c>
      <c r="X2" s="712"/>
      <c r="Y2" s="712"/>
      <c r="Z2" s="712"/>
      <c r="AA2" s="712"/>
      <c r="AB2" s="712"/>
      <c r="AC2" s="712"/>
      <c r="AD2" s="713"/>
    </row>
    <row r="3" spans="3:30">
      <c r="C3" s="486"/>
      <c r="D3" s="480" t="s">
        <v>1592</v>
      </c>
      <c r="E3" s="480"/>
      <c r="F3" s="481"/>
      <c r="G3" s="480"/>
      <c r="H3" s="480"/>
      <c r="I3" s="480"/>
      <c r="J3" s="480"/>
      <c r="K3" s="481"/>
      <c r="L3" s="481"/>
      <c r="W3" s="714"/>
      <c r="X3" s="715"/>
      <c r="Y3" s="715"/>
      <c r="Z3" s="715"/>
      <c r="AA3" s="715"/>
      <c r="AB3" s="715"/>
      <c r="AC3" s="715"/>
      <c r="AD3" s="716"/>
    </row>
    <row r="4" spans="3:30">
      <c r="C4" s="486"/>
      <c r="D4" s="706"/>
      <c r="E4" s="706"/>
      <c r="F4" s="482" t="s">
        <v>1593</v>
      </c>
      <c r="G4" s="707" t="s">
        <v>1594</v>
      </c>
      <c r="H4" s="708"/>
      <c r="I4" s="707" t="s">
        <v>1595</v>
      </c>
      <c r="J4" s="708"/>
      <c r="K4" s="709" t="s">
        <v>1596</v>
      </c>
      <c r="L4" s="710"/>
      <c r="W4" s="408" t="s">
        <v>1597</v>
      </c>
      <c r="AD4" s="487"/>
    </row>
    <row r="5" spans="3:30">
      <c r="C5" s="486"/>
      <c r="D5" s="706" t="s">
        <v>1598</v>
      </c>
      <c r="E5" s="706"/>
      <c r="F5" s="482"/>
      <c r="G5" s="707"/>
      <c r="H5" s="708"/>
      <c r="I5" s="707"/>
      <c r="J5" s="708"/>
      <c r="K5" s="709"/>
      <c r="L5" s="710"/>
      <c r="W5" s="401" t="s">
        <v>1599</v>
      </c>
      <c r="X5" s="656" t="s">
        <v>1600</v>
      </c>
      <c r="Y5" s="656"/>
      <c r="Z5" s="656"/>
      <c r="AA5" s="656" t="s">
        <v>1601</v>
      </c>
      <c r="AB5" s="656"/>
      <c r="AC5" s="656" t="s">
        <v>1602</v>
      </c>
      <c r="AD5" s="657"/>
    </row>
    <row r="6" spans="3:30">
      <c r="C6" s="486"/>
      <c r="D6" s="706" t="s">
        <v>1603</v>
      </c>
      <c r="E6" s="706"/>
      <c r="F6" s="482"/>
      <c r="G6" s="707"/>
      <c r="H6" s="708"/>
      <c r="I6" s="707"/>
      <c r="J6" s="708"/>
      <c r="K6" s="709"/>
      <c r="L6" s="710"/>
      <c r="W6" s="401">
        <v>1</v>
      </c>
      <c r="X6" s="656" t="s">
        <v>1604</v>
      </c>
      <c r="Y6" s="656"/>
      <c r="Z6" s="656"/>
      <c r="AA6" s="656"/>
      <c r="AB6" s="656"/>
      <c r="AC6" s="656"/>
      <c r="AD6" s="657"/>
    </row>
    <row r="7" spans="3:30">
      <c r="C7" s="486"/>
      <c r="W7" s="401">
        <v>2</v>
      </c>
      <c r="X7" s="656" t="s">
        <v>1605</v>
      </c>
      <c r="Y7" s="656"/>
      <c r="Z7" s="656"/>
      <c r="AA7" s="656"/>
      <c r="AB7" s="656"/>
      <c r="AC7" s="656"/>
      <c r="AD7" s="657"/>
    </row>
    <row r="8" spans="3:30">
      <c r="C8" s="486"/>
      <c r="W8" s="401">
        <v>3</v>
      </c>
      <c r="X8" s="656" t="s">
        <v>1606</v>
      </c>
      <c r="Y8" s="656"/>
      <c r="Z8" s="656"/>
      <c r="AA8" s="656"/>
      <c r="AB8" s="656"/>
      <c r="AC8" s="656"/>
      <c r="AD8" s="657"/>
    </row>
    <row r="9" spans="3:30">
      <c r="C9" s="486"/>
      <c r="W9" s="401">
        <v>4</v>
      </c>
      <c r="X9" s="656" t="s">
        <v>1607</v>
      </c>
      <c r="Y9" s="656"/>
      <c r="Z9" s="656"/>
      <c r="AA9" s="656"/>
      <c r="AB9" s="656"/>
      <c r="AC9" s="656"/>
      <c r="AD9" s="657"/>
    </row>
    <row r="10" spans="3:30">
      <c r="C10" s="486"/>
      <c r="W10" s="401">
        <v>5</v>
      </c>
      <c r="X10" s="656" t="s">
        <v>1608</v>
      </c>
      <c r="Y10" s="656"/>
      <c r="Z10" s="656"/>
      <c r="AA10" s="656"/>
      <c r="AB10" s="656"/>
      <c r="AC10" s="656"/>
      <c r="AD10" s="657"/>
    </row>
    <row r="11" spans="3:30">
      <c r="C11" s="486"/>
      <c r="W11" s="401">
        <v>6</v>
      </c>
      <c r="X11" s="656" t="s">
        <v>1609</v>
      </c>
      <c r="Y11" s="656"/>
      <c r="Z11" s="656"/>
      <c r="AA11" s="656"/>
      <c r="AB11" s="656"/>
      <c r="AC11" s="656"/>
      <c r="AD11" s="657"/>
    </row>
    <row r="12" spans="3:30">
      <c r="C12" s="486"/>
      <c r="W12" s="401">
        <v>7</v>
      </c>
      <c r="X12" s="656" t="s">
        <v>1610</v>
      </c>
      <c r="Y12" s="656"/>
      <c r="Z12" s="656"/>
      <c r="AA12" s="656"/>
      <c r="AB12" s="656"/>
      <c r="AC12" s="656"/>
      <c r="AD12" s="657"/>
    </row>
    <row r="13" spans="3:30" ht="12.75" customHeight="1">
      <c r="C13" s="486"/>
      <c r="W13" s="401">
        <v>8</v>
      </c>
      <c r="X13" s="656" t="s">
        <v>1611</v>
      </c>
      <c r="Y13" s="656"/>
      <c r="Z13" s="656"/>
      <c r="AA13" s="656"/>
      <c r="AB13" s="656"/>
      <c r="AC13" s="656"/>
      <c r="AD13" s="657"/>
    </row>
    <row r="14" spans="3:30">
      <c r="C14" s="486"/>
      <c r="W14" s="401">
        <v>9</v>
      </c>
      <c r="X14" s="656" t="s">
        <v>1612</v>
      </c>
      <c r="Y14" s="656"/>
      <c r="Z14" s="656"/>
      <c r="AA14" s="656"/>
      <c r="AB14" s="656"/>
      <c r="AC14" s="656"/>
      <c r="AD14" s="657"/>
    </row>
    <row r="15" spans="3:30">
      <c r="C15" s="486"/>
      <c r="W15" s="401">
        <v>10</v>
      </c>
      <c r="X15" s="656" t="s">
        <v>1613</v>
      </c>
      <c r="Y15" s="656"/>
      <c r="Z15" s="656"/>
      <c r="AA15" s="656"/>
      <c r="AB15" s="656"/>
      <c r="AC15" s="656"/>
      <c r="AD15" s="657"/>
    </row>
    <row r="16" spans="3:30">
      <c r="C16" s="486"/>
      <c r="W16" s="401">
        <v>11</v>
      </c>
      <c r="X16" s="656" t="s">
        <v>1614</v>
      </c>
      <c r="Y16" s="656"/>
      <c r="Z16" s="656"/>
      <c r="AA16" s="656"/>
      <c r="AB16" s="656"/>
      <c r="AC16" s="656"/>
      <c r="AD16" s="657"/>
    </row>
    <row r="17" spans="3:30">
      <c r="C17" s="486"/>
      <c r="S17" s="488"/>
      <c r="W17" s="401">
        <v>12</v>
      </c>
      <c r="X17" s="656" t="s">
        <v>1615</v>
      </c>
      <c r="Y17" s="656"/>
      <c r="Z17" s="656"/>
      <c r="AA17" s="656"/>
      <c r="AB17" s="656"/>
      <c r="AC17" s="656"/>
      <c r="AD17" s="657"/>
    </row>
    <row r="18" spans="3:30">
      <c r="C18" s="489"/>
      <c r="D18" s="490"/>
      <c r="E18" s="490"/>
      <c r="W18" s="40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86"/>
      <c r="W19" s="491"/>
      <c r="X19" s="695"/>
      <c r="Y19" s="695"/>
      <c r="Z19" s="695"/>
      <c r="AA19" s="695"/>
      <c r="AB19" s="695"/>
      <c r="AC19" s="695"/>
      <c r="AD19" s="696"/>
    </row>
    <row r="20" spans="3:30">
      <c r="C20" s="486"/>
      <c r="W20" s="697" t="s">
        <v>1616</v>
      </c>
      <c r="X20" s="698"/>
      <c r="Y20" s="698"/>
      <c r="Z20" s="698"/>
      <c r="AA20" s="698"/>
      <c r="AB20" s="698"/>
      <c r="AC20" s="698"/>
      <c r="AD20" s="699"/>
    </row>
    <row r="21" spans="3:30">
      <c r="C21" s="486"/>
      <c r="W21" s="700" t="s">
        <v>1617</v>
      </c>
      <c r="X21" s="701"/>
      <c r="Y21" s="701"/>
      <c r="Z21" s="702"/>
      <c r="AA21" s="703" t="s">
        <v>1618</v>
      </c>
      <c r="AB21" s="704"/>
      <c r="AC21" s="704"/>
      <c r="AD21" s="705"/>
    </row>
    <row r="22" spans="3:30">
      <c r="C22" s="486"/>
      <c r="W22" s="676" t="s">
        <v>1619</v>
      </c>
      <c r="X22" s="677"/>
      <c r="Y22" s="405" t="s">
        <v>1029</v>
      </c>
      <c r="Z22" s="492">
        <v>1</v>
      </c>
      <c r="AA22" s="493"/>
      <c r="AB22" s="493"/>
      <c r="AC22" s="494"/>
      <c r="AD22" s="495"/>
    </row>
    <row r="23" spans="3:30">
      <c r="C23" s="486"/>
      <c r="W23" s="672" t="s">
        <v>1517</v>
      </c>
      <c r="X23" s="673"/>
      <c r="Y23" s="405" t="s">
        <v>1029</v>
      </c>
      <c r="Z23" s="492">
        <v>2</v>
      </c>
      <c r="AA23" s="689"/>
      <c r="AB23" s="690"/>
      <c r="AC23" s="494"/>
      <c r="AD23" s="495"/>
    </row>
    <row r="24" spans="3:30">
      <c r="C24" s="486"/>
      <c r="W24" s="672" t="s">
        <v>1620</v>
      </c>
      <c r="X24" s="673"/>
      <c r="Y24" s="405" t="s">
        <v>1029</v>
      </c>
      <c r="Z24" s="492">
        <v>1</v>
      </c>
      <c r="AA24" s="693"/>
      <c r="AB24" s="694"/>
      <c r="AC24" s="494"/>
      <c r="AD24" s="495"/>
    </row>
    <row r="25" spans="3:30">
      <c r="C25" s="486"/>
      <c r="W25" s="687" t="s">
        <v>1414</v>
      </c>
      <c r="X25" s="688"/>
      <c r="Y25" s="496" t="s">
        <v>1029</v>
      </c>
      <c r="Z25" s="497">
        <v>3</v>
      </c>
      <c r="AA25" s="689"/>
      <c r="AB25" s="690"/>
      <c r="AC25" s="494"/>
      <c r="AD25" s="495"/>
    </row>
    <row r="26" spans="3:30">
      <c r="C26" s="486"/>
      <c r="W26" s="687" t="s">
        <v>1415</v>
      </c>
      <c r="X26" s="688"/>
      <c r="Y26" s="405" t="s">
        <v>1029</v>
      </c>
      <c r="Z26" s="492">
        <v>1</v>
      </c>
      <c r="AA26" s="689"/>
      <c r="AB26" s="690"/>
      <c r="AC26" s="494"/>
      <c r="AD26" s="495"/>
    </row>
    <row r="27" spans="3:30">
      <c r="C27" s="486"/>
      <c r="W27" s="676" t="s">
        <v>1520</v>
      </c>
      <c r="X27" s="677"/>
      <c r="Y27" s="405" t="s">
        <v>1029</v>
      </c>
      <c r="Z27" s="492">
        <v>1</v>
      </c>
      <c r="AA27" s="678"/>
      <c r="AB27" s="679"/>
      <c r="AC27" s="494"/>
      <c r="AD27" s="495"/>
    </row>
    <row r="28" spans="3:30">
      <c r="C28" s="486"/>
      <c r="W28" s="691" t="s">
        <v>1519</v>
      </c>
      <c r="X28" s="692"/>
      <c r="Y28" s="405" t="s">
        <v>1029</v>
      </c>
      <c r="Z28" s="492">
        <v>1</v>
      </c>
      <c r="AA28" s="678"/>
      <c r="AB28" s="679"/>
      <c r="AC28" s="494"/>
      <c r="AD28" s="495"/>
    </row>
    <row r="29" spans="3:30">
      <c r="C29" s="486"/>
      <c r="W29" s="685" t="s">
        <v>1621</v>
      </c>
      <c r="X29" s="686"/>
      <c r="Y29" s="405" t="s">
        <v>1622</v>
      </c>
      <c r="Z29" s="492">
        <v>500</v>
      </c>
      <c r="AA29" s="678"/>
      <c r="AB29" s="679"/>
      <c r="AC29" s="494"/>
      <c r="AD29" s="495"/>
    </row>
    <row r="30" spans="3:30" ht="11.25" customHeight="1">
      <c r="C30" s="486"/>
      <c r="W30" s="685" t="s">
        <v>1623</v>
      </c>
      <c r="X30" s="686"/>
      <c r="Y30" s="405" t="s">
        <v>1622</v>
      </c>
      <c r="Z30" s="492">
        <v>35</v>
      </c>
      <c r="AA30" s="678"/>
      <c r="AB30" s="679"/>
      <c r="AC30" s="494"/>
      <c r="AD30" s="495"/>
    </row>
    <row r="31" spans="3:30">
      <c r="C31" s="486"/>
      <c r="U31" s="498"/>
      <c r="W31" s="685" t="s">
        <v>1647</v>
      </c>
      <c r="X31" s="686"/>
      <c r="Y31" s="405" t="s">
        <v>1624</v>
      </c>
      <c r="Z31" s="492">
        <v>3</v>
      </c>
      <c r="AA31" s="678"/>
      <c r="AB31" s="679"/>
      <c r="AC31" s="494"/>
      <c r="AD31" s="495"/>
    </row>
    <row r="32" spans="3:30">
      <c r="C32" s="486"/>
      <c r="U32" s="498"/>
      <c r="W32" s="685"/>
      <c r="X32" s="686"/>
      <c r="Y32" s="405"/>
      <c r="Z32" s="492"/>
      <c r="AA32" s="678"/>
      <c r="AB32" s="679"/>
      <c r="AC32" s="494"/>
      <c r="AD32" s="495"/>
    </row>
    <row r="33" spans="3:30">
      <c r="C33" s="486"/>
      <c r="W33" s="687"/>
      <c r="X33" s="688"/>
      <c r="Y33" s="496"/>
      <c r="Z33" s="497"/>
      <c r="AA33" s="678"/>
      <c r="AB33" s="679"/>
      <c r="AC33" s="494"/>
      <c r="AD33" s="495"/>
    </row>
    <row r="34" spans="3:30">
      <c r="C34" s="486"/>
      <c r="W34" s="676"/>
      <c r="X34" s="677"/>
      <c r="Y34" s="405"/>
      <c r="Z34" s="492"/>
      <c r="AA34" s="678"/>
      <c r="AB34" s="679"/>
      <c r="AC34" s="494"/>
      <c r="AD34" s="495"/>
    </row>
    <row r="35" spans="3:30">
      <c r="C35" s="486"/>
      <c r="W35" s="676"/>
      <c r="X35" s="677"/>
      <c r="Y35" s="405"/>
      <c r="Z35" s="492"/>
      <c r="AA35" s="678"/>
      <c r="AB35" s="679"/>
      <c r="AC35" s="494"/>
      <c r="AD35" s="495"/>
    </row>
    <row r="36" spans="3:30">
      <c r="C36" s="486"/>
      <c r="W36" s="680"/>
      <c r="X36" s="681"/>
      <c r="Y36" s="405"/>
      <c r="Z36" s="497"/>
      <c r="AA36" s="682"/>
      <c r="AB36" s="679"/>
      <c r="AC36" s="494"/>
      <c r="AD36" s="495"/>
    </row>
    <row r="37" spans="3:30" ht="12.75" customHeight="1">
      <c r="C37" s="486"/>
      <c r="W37" s="668"/>
      <c r="X37" s="669"/>
      <c r="Y37" s="405"/>
      <c r="Z37" s="497"/>
      <c r="AA37" s="683"/>
      <c r="AB37" s="684"/>
      <c r="AC37" s="499"/>
      <c r="AD37" s="500"/>
    </row>
    <row r="38" spans="3:30" ht="12.75" customHeight="1">
      <c r="C38" s="486"/>
      <c r="W38" s="668"/>
      <c r="X38" s="669"/>
      <c r="Y38" s="496"/>
      <c r="Z38" s="497"/>
      <c r="AA38" s="406"/>
      <c r="AB38" s="407"/>
      <c r="AC38" s="499"/>
      <c r="AD38" s="500"/>
    </row>
    <row r="39" spans="3:30" ht="12" customHeight="1">
      <c r="C39" s="486"/>
      <c r="W39" s="668"/>
      <c r="X39" s="669"/>
      <c r="Y39" s="496"/>
      <c r="Z39" s="501"/>
      <c r="AA39" s="670"/>
      <c r="AB39" s="671"/>
      <c r="AC39" s="499"/>
      <c r="AD39" s="500"/>
    </row>
    <row r="40" spans="3:30" ht="12" customHeight="1">
      <c r="C40" s="486"/>
      <c r="W40" s="672"/>
      <c r="X40" s="673"/>
      <c r="Y40" s="496"/>
      <c r="Z40" s="501"/>
      <c r="AA40" s="403"/>
      <c r="AB40" s="404"/>
      <c r="AC40" s="499"/>
      <c r="AD40" s="500"/>
    </row>
    <row r="41" spans="3:30" ht="12" customHeight="1">
      <c r="C41" s="486"/>
      <c r="W41" s="674"/>
      <c r="X41" s="675"/>
      <c r="Y41" s="502"/>
      <c r="Z41" s="503"/>
      <c r="AA41" s="670"/>
      <c r="AB41" s="671"/>
      <c r="AC41" s="499"/>
      <c r="AD41" s="500"/>
    </row>
    <row r="42" spans="3:30" ht="12" customHeight="1">
      <c r="C42" s="486"/>
      <c r="W42" s="665" t="s">
        <v>1648</v>
      </c>
      <c r="X42" s="666"/>
      <c r="Y42" s="666"/>
      <c r="Z42" s="666"/>
      <c r="AA42" s="666"/>
      <c r="AB42" s="666"/>
      <c r="AC42" s="666"/>
      <c r="AD42" s="667"/>
    </row>
    <row r="43" spans="3:30" ht="12" customHeight="1">
      <c r="C43" s="486"/>
      <c r="V43" s="504"/>
      <c r="W43" s="505"/>
      <c r="X43" s="506"/>
      <c r="Y43" s="506"/>
      <c r="Z43" s="506"/>
      <c r="AA43" s="506"/>
      <c r="AB43" s="506"/>
      <c r="AC43" s="506"/>
      <c r="AD43" s="507"/>
    </row>
    <row r="44" spans="3:30">
      <c r="C44" s="508"/>
      <c r="D44" s="509"/>
      <c r="E44" s="509"/>
      <c r="F44" s="509"/>
      <c r="G44" s="509"/>
      <c r="H44" s="509"/>
      <c r="I44" s="509"/>
      <c r="J44" s="509"/>
      <c r="K44" s="509"/>
      <c r="L44" s="509"/>
      <c r="M44" s="509"/>
      <c r="N44" s="509"/>
      <c r="O44" s="509"/>
      <c r="P44" s="509"/>
      <c r="Q44" s="509"/>
      <c r="R44" s="509"/>
      <c r="S44" s="509"/>
      <c r="T44" s="509"/>
      <c r="U44" s="509"/>
      <c r="V44" s="504"/>
      <c r="W44" s="654" t="s">
        <v>1625</v>
      </c>
      <c r="X44" s="655"/>
      <c r="Y44" s="656"/>
      <c r="Z44" s="656"/>
      <c r="AA44" s="656"/>
      <c r="AB44" s="656"/>
      <c r="AC44" s="656"/>
      <c r="AD44" s="657"/>
    </row>
    <row r="45" spans="3:30">
      <c r="C45" s="508"/>
      <c r="D45" s="509"/>
      <c r="E45" s="509"/>
      <c r="F45" s="509"/>
      <c r="G45" s="509"/>
      <c r="H45" s="509"/>
      <c r="I45" s="509"/>
      <c r="J45" s="509"/>
      <c r="K45" s="509"/>
      <c r="L45" s="509"/>
      <c r="M45" s="509"/>
      <c r="N45" s="509"/>
      <c r="O45" s="509"/>
      <c r="P45" s="509"/>
      <c r="Q45" s="509"/>
      <c r="R45" s="509"/>
      <c r="S45" s="509"/>
      <c r="T45" s="509"/>
      <c r="U45" s="509"/>
      <c r="V45" s="504"/>
      <c r="W45" s="654" t="s">
        <v>1626</v>
      </c>
      <c r="X45" s="655"/>
      <c r="Y45" s="656">
        <v>1</v>
      </c>
      <c r="Z45" s="656"/>
      <c r="AA45" s="656"/>
      <c r="AB45" s="656" t="s">
        <v>1627</v>
      </c>
      <c r="AC45" s="656"/>
      <c r="AD45" s="402" t="s">
        <v>1628</v>
      </c>
    </row>
    <row r="46" spans="3:30">
      <c r="C46" s="508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9"/>
      <c r="V46" s="504"/>
      <c r="W46" s="654" t="s">
        <v>1629</v>
      </c>
      <c r="X46" s="655"/>
      <c r="Y46" s="658"/>
      <c r="Z46" s="658"/>
      <c r="AA46" s="658"/>
      <c r="AB46" s="656" t="s">
        <v>1630</v>
      </c>
      <c r="AC46" s="656"/>
      <c r="AD46" s="510"/>
    </row>
    <row r="47" spans="3:30">
      <c r="C47" s="508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4"/>
      <c r="W47" s="659" t="s">
        <v>1631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508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N48" s="509"/>
      <c r="O48" s="509"/>
      <c r="P48" s="509"/>
      <c r="Q48" s="509"/>
      <c r="R48" s="509"/>
      <c r="S48" s="509"/>
      <c r="T48" s="509"/>
      <c r="U48" s="509"/>
      <c r="V48" s="504"/>
      <c r="W48" s="661" t="s">
        <v>1649</v>
      </c>
      <c r="X48" s="661"/>
      <c r="Y48" s="661"/>
      <c r="Z48" s="661"/>
      <c r="AA48" s="661"/>
      <c r="AB48" s="661"/>
      <c r="AC48" s="661"/>
      <c r="AD48" s="662"/>
    </row>
    <row r="49" spans="3:30">
      <c r="C49" s="508"/>
      <c r="D49" s="509"/>
      <c r="E49" s="509"/>
      <c r="F49" s="509"/>
      <c r="G49" s="509"/>
      <c r="H49" s="509"/>
      <c r="I49" s="509"/>
      <c r="J49" s="509"/>
      <c r="K49" s="509"/>
      <c r="L49" s="509"/>
      <c r="M49" s="509"/>
      <c r="N49" s="509"/>
      <c r="O49" s="509"/>
      <c r="P49" s="509"/>
      <c r="Q49" s="509"/>
      <c r="R49" s="509"/>
      <c r="S49" s="509"/>
      <c r="T49" s="509"/>
      <c r="U49" s="509"/>
      <c r="V49" s="511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508"/>
      <c r="D50" s="509"/>
      <c r="E50" s="509"/>
      <c r="F50" s="509"/>
      <c r="G50" s="509"/>
      <c r="H50" s="509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09"/>
      <c r="V50" s="511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508"/>
      <c r="D51" s="509"/>
      <c r="E51" s="509"/>
      <c r="F51" s="509"/>
      <c r="G51" s="509"/>
      <c r="H51" s="509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9"/>
      <c r="V51" s="511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508"/>
      <c r="D52" s="509"/>
      <c r="E52" s="509"/>
      <c r="F52" s="509"/>
      <c r="G52" s="509"/>
      <c r="H52" s="509"/>
      <c r="I52" s="509"/>
      <c r="J52" s="509"/>
      <c r="K52" s="509"/>
      <c r="L52" s="509"/>
      <c r="M52" s="509"/>
      <c r="N52" s="509"/>
      <c r="O52" s="509"/>
      <c r="P52" s="509"/>
      <c r="Q52" s="509"/>
      <c r="R52" s="509"/>
      <c r="S52" s="509"/>
      <c r="T52" s="509"/>
      <c r="U52" s="509"/>
      <c r="V52" s="504"/>
      <c r="W52" s="654" t="s">
        <v>1632</v>
      </c>
      <c r="X52" s="655"/>
      <c r="Y52" s="656" t="s">
        <v>1633</v>
      </c>
      <c r="Z52" s="656"/>
      <c r="AA52" s="656"/>
      <c r="AB52" s="656"/>
      <c r="AC52" s="656"/>
      <c r="AD52" s="657"/>
    </row>
    <row r="53" spans="3:30">
      <c r="C53" s="508"/>
      <c r="D53" s="509"/>
      <c r="E53" s="509"/>
      <c r="F53" s="509"/>
      <c r="G53" s="509"/>
      <c r="H53" s="509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T53" s="509"/>
      <c r="V53" s="504"/>
      <c r="W53" s="654" t="s">
        <v>1634</v>
      </c>
      <c r="X53" s="655"/>
      <c r="Y53" s="656" t="s">
        <v>1635</v>
      </c>
      <c r="Z53" s="656"/>
      <c r="AA53" s="656"/>
      <c r="AB53" s="656"/>
      <c r="AC53" s="656"/>
      <c r="AD53" s="657"/>
    </row>
    <row r="54" spans="3:30">
      <c r="C54" s="508"/>
      <c r="D54" s="509"/>
      <c r="E54" s="509"/>
      <c r="F54" s="509"/>
      <c r="G54" s="509"/>
      <c r="H54" s="509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09"/>
      <c r="V54" s="504"/>
      <c r="W54" s="654" t="s">
        <v>1636</v>
      </c>
      <c r="X54" s="655"/>
      <c r="Y54" s="656" t="s">
        <v>1637</v>
      </c>
      <c r="Z54" s="656"/>
      <c r="AA54" s="656"/>
      <c r="AB54" s="656"/>
      <c r="AC54" s="656"/>
      <c r="AD54" s="657"/>
    </row>
    <row r="55" spans="3:30" ht="13" thickBot="1">
      <c r="C55" s="512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4"/>
      <c r="V55" s="515"/>
      <c r="W55" s="650" t="s">
        <v>1638</v>
      </c>
      <c r="X55" s="651"/>
      <c r="Y55" s="652" t="s">
        <v>1639</v>
      </c>
      <c r="Z55" s="652"/>
      <c r="AA55" s="652"/>
      <c r="AB55" s="652"/>
      <c r="AC55" s="652"/>
      <c r="AD55" s="653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FD386-7886-4F33-9997-F55A61227CF2}">
  <sheetPr>
    <tabColor rgb="FF92D050"/>
  </sheetPr>
  <dimension ref="A1:AD120"/>
  <sheetViews>
    <sheetView view="pageBreakPreview" zoomScale="55" zoomScaleNormal="40" zoomScaleSheetLayoutView="55" workbookViewId="0">
      <selection activeCell="M53" sqref="M53"/>
    </sheetView>
  </sheetViews>
  <sheetFormatPr baseColWidth="10" defaultColWidth="9.1640625" defaultRowHeight="14"/>
  <cols>
    <col min="1" max="1" width="1.6640625" style="466" customWidth="1"/>
    <col min="2" max="2" width="10.6640625" style="466" customWidth="1"/>
    <col min="3" max="3" width="2.5" style="466" customWidth="1"/>
    <col min="4" max="20" width="9.1640625" style="466"/>
    <col min="21" max="21" width="14.5" style="466" customWidth="1"/>
    <col min="22" max="22" width="3.1640625" style="466" customWidth="1"/>
    <col min="23" max="26" width="9.1640625" style="466"/>
    <col min="27" max="27" width="2.83203125" style="466" customWidth="1"/>
    <col min="28" max="30" width="4.6640625" style="466" customWidth="1"/>
    <col min="31" max="31" width="1.6640625" style="466" customWidth="1"/>
    <col min="32" max="16384" width="9.1640625" style="466"/>
  </cols>
  <sheetData>
    <row r="1" spans="1:29">
      <c r="A1" s="431"/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  <c r="R1" s="432"/>
      <c r="S1" s="432"/>
      <c r="T1" s="432"/>
      <c r="U1" s="432"/>
      <c r="V1" s="432"/>
      <c r="W1" s="433"/>
    </row>
    <row r="2" spans="1:29">
      <c r="A2" s="434"/>
      <c r="W2" s="435"/>
    </row>
    <row r="3" spans="1:29" ht="12.75" customHeight="1">
      <c r="A3" s="434"/>
      <c r="C3" s="717" t="s">
        <v>1640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435"/>
      <c r="X3" s="477"/>
      <c r="Y3" s="477"/>
      <c r="Z3" s="477"/>
      <c r="AA3" s="477"/>
      <c r="AB3" s="477"/>
      <c r="AC3" s="467"/>
    </row>
    <row r="4" spans="1:29" ht="18.75" customHeight="1">
      <c r="A4" s="434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435"/>
      <c r="X4" s="477"/>
      <c r="Y4" s="477"/>
      <c r="Z4" s="477"/>
      <c r="AA4" s="477"/>
      <c r="AB4" s="477"/>
      <c r="AC4" s="467"/>
    </row>
    <row r="5" spans="1:29" ht="12.75" customHeight="1">
      <c r="A5" s="434"/>
      <c r="C5" s="468"/>
      <c r="W5" s="435"/>
    </row>
    <row r="6" spans="1:29" ht="12.75" customHeight="1">
      <c r="A6" s="434"/>
      <c r="C6" s="718" t="s">
        <v>1650</v>
      </c>
      <c r="D6" s="718"/>
      <c r="E6" s="718"/>
      <c r="F6" s="718"/>
      <c r="G6" s="718"/>
      <c r="H6" s="718"/>
      <c r="I6" s="718"/>
      <c r="J6" s="718"/>
      <c r="K6" s="718"/>
      <c r="L6" s="718"/>
      <c r="M6" s="718"/>
      <c r="W6" s="435"/>
      <c r="Y6" s="469"/>
      <c r="Z6" s="469"/>
      <c r="AA6" s="469"/>
      <c r="AB6" s="470"/>
      <c r="AC6" s="470"/>
    </row>
    <row r="7" spans="1:29" ht="18" customHeight="1">
      <c r="A7" s="434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W7" s="435"/>
      <c r="Y7" s="469"/>
      <c r="Z7" s="469"/>
      <c r="AA7" s="469"/>
      <c r="AB7" s="470"/>
      <c r="AC7" s="470"/>
    </row>
    <row r="8" spans="1:29">
      <c r="A8" s="434"/>
      <c r="W8" s="435"/>
    </row>
    <row r="9" spans="1:29">
      <c r="A9" s="434"/>
      <c r="W9" s="435"/>
    </row>
    <row r="10" spans="1:29">
      <c r="A10" s="434"/>
      <c r="W10" s="435"/>
    </row>
    <row r="11" spans="1:29">
      <c r="A11" s="434"/>
      <c r="W11" s="435"/>
    </row>
    <row r="12" spans="1:29">
      <c r="A12" s="434"/>
      <c r="D12" s="471"/>
      <c r="W12" s="435"/>
    </row>
    <row r="13" spans="1:29">
      <c r="A13" s="434"/>
      <c r="W13" s="435"/>
    </row>
    <row r="14" spans="1:29">
      <c r="A14" s="434"/>
      <c r="W14" s="435"/>
    </row>
    <row r="15" spans="1:29">
      <c r="A15" s="434"/>
      <c r="W15" s="435"/>
    </row>
    <row r="16" spans="1:29">
      <c r="A16" s="434"/>
      <c r="W16" s="435"/>
    </row>
    <row r="17" spans="1:23">
      <c r="A17" s="434"/>
      <c r="W17" s="435"/>
    </row>
    <row r="18" spans="1:23">
      <c r="A18" s="434"/>
      <c r="W18" s="435"/>
    </row>
    <row r="19" spans="1:23">
      <c r="A19" s="434"/>
      <c r="W19" s="435"/>
    </row>
    <row r="20" spans="1:23">
      <c r="A20" s="434"/>
      <c r="W20" s="435"/>
    </row>
    <row r="21" spans="1:23">
      <c r="A21" s="434"/>
      <c r="W21" s="435"/>
    </row>
    <row r="22" spans="1:23">
      <c r="A22" s="434"/>
      <c r="W22" s="435"/>
    </row>
    <row r="23" spans="1:23">
      <c r="A23" s="434"/>
      <c r="W23" s="435"/>
    </row>
    <row r="24" spans="1:23">
      <c r="A24" s="434"/>
      <c r="W24" s="435"/>
    </row>
    <row r="25" spans="1:23">
      <c r="A25" s="434"/>
      <c r="W25" s="435"/>
    </row>
    <row r="26" spans="1:23">
      <c r="A26" s="434"/>
      <c r="W26" s="435"/>
    </row>
    <row r="27" spans="1:23">
      <c r="A27" s="434"/>
      <c r="W27" s="435"/>
    </row>
    <row r="28" spans="1:23">
      <c r="A28" s="434"/>
      <c r="W28" s="435"/>
    </row>
    <row r="29" spans="1:23">
      <c r="A29" s="434"/>
      <c r="W29" s="435"/>
    </row>
    <row r="30" spans="1:23">
      <c r="A30" s="434"/>
      <c r="W30" s="435"/>
    </row>
    <row r="31" spans="1:23">
      <c r="A31" s="434"/>
      <c r="W31" s="435"/>
    </row>
    <row r="32" spans="1:23">
      <c r="A32" s="434"/>
      <c r="W32" s="435"/>
    </row>
    <row r="33" spans="1:23">
      <c r="A33" s="434"/>
      <c r="W33" s="435"/>
    </row>
    <row r="34" spans="1:23">
      <c r="A34" s="434"/>
      <c r="W34" s="435"/>
    </row>
    <row r="35" spans="1:23">
      <c r="A35" s="434"/>
      <c r="W35" s="435"/>
    </row>
    <row r="36" spans="1:23">
      <c r="A36" s="434"/>
      <c r="W36" s="435"/>
    </row>
    <row r="37" spans="1:23">
      <c r="A37" s="434"/>
      <c r="W37" s="435"/>
    </row>
    <row r="38" spans="1:23">
      <c r="A38" s="434"/>
      <c r="W38" s="435"/>
    </row>
    <row r="39" spans="1:23">
      <c r="A39" s="434"/>
      <c r="W39" s="435"/>
    </row>
    <row r="40" spans="1:23">
      <c r="A40" s="434"/>
      <c r="W40" s="435"/>
    </row>
    <row r="41" spans="1:23">
      <c r="A41" s="434"/>
      <c r="W41" s="435"/>
    </row>
    <row r="42" spans="1:23">
      <c r="A42" s="434"/>
      <c r="W42" s="435"/>
    </row>
    <row r="43" spans="1:23">
      <c r="A43" s="434"/>
      <c r="W43" s="435"/>
    </row>
    <row r="44" spans="1:23">
      <c r="A44" s="434"/>
      <c r="W44" s="435"/>
    </row>
    <row r="45" spans="1:23">
      <c r="A45" s="434"/>
      <c r="W45" s="435"/>
    </row>
    <row r="46" spans="1:23">
      <c r="A46" s="434"/>
      <c r="W46" s="435"/>
    </row>
    <row r="47" spans="1:23">
      <c r="A47" s="434"/>
      <c r="W47" s="435"/>
    </row>
    <row r="48" spans="1:23">
      <c r="A48" s="434"/>
      <c r="W48" s="435"/>
    </row>
    <row r="49" spans="1:30">
      <c r="A49" s="434"/>
      <c r="W49" s="435"/>
    </row>
    <row r="50" spans="1:30">
      <c r="A50" s="434"/>
      <c r="W50" s="435"/>
    </row>
    <row r="51" spans="1:30">
      <c r="A51" s="434"/>
      <c r="W51" s="435"/>
    </row>
    <row r="52" spans="1:30">
      <c r="A52" s="434"/>
      <c r="W52" s="435"/>
    </row>
    <row r="53" spans="1:30">
      <c r="A53" s="434"/>
      <c r="W53" s="435"/>
    </row>
    <row r="54" spans="1:30">
      <c r="A54" s="434"/>
      <c r="R54" s="472"/>
      <c r="S54" s="472"/>
      <c r="T54" s="472"/>
      <c r="U54" s="473"/>
      <c r="V54" s="473"/>
      <c r="W54" s="436"/>
      <c r="X54" s="473"/>
      <c r="Y54" s="473"/>
      <c r="Z54" s="473"/>
      <c r="AA54" s="473"/>
      <c r="AB54" s="473"/>
      <c r="AC54" s="473"/>
      <c r="AD54" s="473"/>
    </row>
    <row r="55" spans="1:30" ht="15" thickBot="1">
      <c r="A55" s="437"/>
      <c r="B55" s="438"/>
      <c r="C55" s="438"/>
      <c r="D55" s="438"/>
      <c r="E55" s="438"/>
      <c r="F55" s="438"/>
      <c r="G55" s="438"/>
      <c r="H55" s="438"/>
      <c r="I55" s="438"/>
      <c r="J55" s="438"/>
      <c r="K55" s="438"/>
      <c r="L55" s="438"/>
      <c r="M55" s="438"/>
      <c r="N55" s="438"/>
      <c r="O55" s="438"/>
      <c r="P55" s="438"/>
      <c r="Q55" s="438"/>
      <c r="R55" s="478"/>
      <c r="S55" s="479"/>
      <c r="T55" s="479"/>
      <c r="U55" s="439"/>
      <c r="V55" s="440"/>
      <c r="W55" s="441"/>
      <c r="X55" s="473"/>
      <c r="Y55" s="473"/>
      <c r="Z55" s="473"/>
      <c r="AA55" s="474"/>
      <c r="AB55" s="474"/>
      <c r="AC55" s="474"/>
      <c r="AD55" s="474"/>
    </row>
    <row r="56" spans="1:30">
      <c r="U56" s="473"/>
      <c r="V56" s="474"/>
      <c r="W56" s="473"/>
      <c r="X56" s="473"/>
      <c r="Y56" s="473"/>
      <c r="Z56" s="473"/>
      <c r="AA56" s="474"/>
      <c r="AB56" s="473"/>
      <c r="AC56" s="473"/>
      <c r="AD56" s="473"/>
    </row>
    <row r="57" spans="1:30">
      <c r="U57" s="473"/>
      <c r="V57" s="474"/>
      <c r="W57" s="473"/>
      <c r="X57" s="473"/>
      <c r="Y57" s="473"/>
      <c r="Z57" s="473"/>
      <c r="AA57" s="473"/>
      <c r="AB57" s="473"/>
      <c r="AC57" s="473"/>
      <c r="AD57" s="473"/>
    </row>
    <row r="58" spans="1:30">
      <c r="U58" s="473"/>
      <c r="V58" s="474"/>
      <c r="W58" s="473"/>
      <c r="X58" s="473"/>
      <c r="Y58" s="473"/>
      <c r="Z58" s="473"/>
      <c r="AA58" s="473"/>
      <c r="AB58" s="473"/>
      <c r="AC58" s="473"/>
      <c r="AD58" s="473"/>
    </row>
    <row r="59" spans="1:30">
      <c r="U59" s="473"/>
      <c r="V59" s="474"/>
      <c r="W59" s="473"/>
      <c r="X59" s="473"/>
      <c r="Y59" s="473"/>
      <c r="Z59" s="473"/>
      <c r="AA59" s="473"/>
      <c r="AB59" s="473"/>
      <c r="AC59" s="473"/>
      <c r="AD59" s="473"/>
    </row>
    <row r="60" spans="1:30">
      <c r="U60" s="473"/>
      <c r="V60" s="474"/>
      <c r="W60" s="473"/>
      <c r="X60" s="473"/>
      <c r="Y60" s="473"/>
      <c r="Z60" s="473"/>
      <c r="AA60" s="474"/>
      <c r="AB60" s="473"/>
      <c r="AC60" s="473"/>
      <c r="AD60" s="473"/>
    </row>
    <row r="61" spans="1:30">
      <c r="U61" s="473"/>
      <c r="V61" s="474"/>
      <c r="W61" s="473"/>
      <c r="X61" s="473"/>
      <c r="Y61" s="473"/>
      <c r="Z61" s="473"/>
      <c r="AA61" s="473"/>
      <c r="AB61" s="473"/>
      <c r="AC61" s="473"/>
      <c r="AD61" s="473"/>
    </row>
    <row r="62" spans="1:30">
      <c r="U62" s="473"/>
      <c r="V62" s="474"/>
      <c r="W62" s="473"/>
      <c r="X62" s="473"/>
      <c r="Y62" s="473"/>
      <c r="Z62" s="473"/>
      <c r="AA62" s="473"/>
      <c r="AB62" s="473"/>
      <c r="AC62" s="473"/>
      <c r="AD62" s="473"/>
    </row>
    <row r="63" spans="1:30">
      <c r="U63" s="473"/>
      <c r="V63" s="474"/>
      <c r="W63" s="473"/>
      <c r="X63" s="473"/>
      <c r="Y63" s="473"/>
      <c r="Z63" s="473"/>
      <c r="AA63" s="473"/>
      <c r="AB63" s="473"/>
      <c r="AC63" s="473"/>
      <c r="AD63" s="473"/>
    </row>
    <row r="64" spans="1:30">
      <c r="U64" s="473"/>
      <c r="V64" s="474"/>
      <c r="W64" s="473"/>
      <c r="X64" s="473"/>
      <c r="Y64" s="473"/>
      <c r="Z64" s="473"/>
      <c r="AA64" s="473"/>
      <c r="AB64" s="473"/>
      <c r="AC64" s="473"/>
      <c r="AD64" s="473"/>
    </row>
    <row r="65" spans="5:30">
      <c r="U65" s="473"/>
      <c r="V65" s="474"/>
      <c r="W65" s="473"/>
      <c r="X65" s="473"/>
      <c r="Y65" s="473"/>
      <c r="Z65" s="473"/>
      <c r="AA65" s="473"/>
      <c r="AB65" s="473"/>
      <c r="AC65" s="473"/>
      <c r="AD65" s="473"/>
    </row>
    <row r="66" spans="5:30" ht="6" customHeight="1"/>
    <row r="73" spans="5:30">
      <c r="M73" s="475"/>
    </row>
    <row r="74" spans="5:30" ht="15" customHeight="1">
      <c r="E74" s="476"/>
      <c r="M74" s="475"/>
    </row>
    <row r="75" spans="5:30" ht="15" customHeight="1">
      <c r="E75" s="476"/>
      <c r="M75" s="475"/>
    </row>
    <row r="76" spans="5:30" ht="15" customHeight="1">
      <c r="E76" s="476"/>
      <c r="M76" s="475"/>
    </row>
    <row r="77" spans="5:30" ht="15" customHeight="1">
      <c r="E77" s="476"/>
      <c r="M77" s="475"/>
    </row>
    <row r="78" spans="5:30" ht="15" customHeight="1">
      <c r="E78" s="476"/>
      <c r="M78" s="475"/>
    </row>
    <row r="79" spans="5:30" ht="15" customHeight="1">
      <c r="E79" s="476"/>
      <c r="M79" s="475"/>
    </row>
    <row r="80" spans="5:30" ht="15" customHeight="1">
      <c r="E80" s="476"/>
      <c r="M80" s="475"/>
    </row>
    <row r="81" spans="5:13" ht="15" customHeight="1">
      <c r="E81" s="476"/>
      <c r="M81" s="475"/>
    </row>
    <row r="82" spans="5:13" ht="15" customHeight="1">
      <c r="E82" s="476"/>
      <c r="M82" s="475"/>
    </row>
    <row r="83" spans="5:13" ht="15" customHeight="1">
      <c r="E83" s="476"/>
      <c r="M83" s="475"/>
    </row>
    <row r="84" spans="5:13" ht="15" customHeight="1">
      <c r="E84" s="476"/>
      <c r="M84" s="475"/>
    </row>
    <row r="85" spans="5:13" ht="15" customHeight="1">
      <c r="E85" s="476"/>
      <c r="M85" s="475"/>
    </row>
    <row r="86" spans="5:13" ht="15" customHeight="1">
      <c r="E86" s="476"/>
      <c r="M86" s="475"/>
    </row>
    <row r="87" spans="5:13" ht="15" customHeight="1">
      <c r="E87" s="476"/>
      <c r="M87" s="475"/>
    </row>
    <row r="88" spans="5:13" ht="15" customHeight="1">
      <c r="E88" s="476"/>
      <c r="M88" s="475"/>
    </row>
    <row r="89" spans="5:13" ht="15" customHeight="1">
      <c r="E89" s="476"/>
      <c r="M89" s="475"/>
    </row>
    <row r="90" spans="5:13" ht="15" customHeight="1">
      <c r="E90" s="476"/>
      <c r="M90" s="475"/>
    </row>
    <row r="91" spans="5:13" ht="15" customHeight="1">
      <c r="E91" s="476"/>
      <c r="M91" s="475"/>
    </row>
    <row r="92" spans="5:13" ht="15" customHeight="1">
      <c r="E92" s="476"/>
      <c r="M92" s="475"/>
    </row>
    <row r="93" spans="5:13" ht="15" customHeight="1">
      <c r="E93" s="476"/>
      <c r="M93" s="475"/>
    </row>
    <row r="94" spans="5:13" ht="15" customHeight="1">
      <c r="E94" s="476"/>
      <c r="M94" s="475"/>
    </row>
    <row r="95" spans="5:13" ht="15" customHeight="1">
      <c r="E95" s="476"/>
      <c r="M95" s="475"/>
    </row>
    <row r="96" spans="5:13" ht="15" customHeight="1">
      <c r="E96" s="476"/>
    </row>
    <row r="97" spans="5:5" ht="15" customHeight="1">
      <c r="E97" s="476"/>
    </row>
    <row r="98" spans="5:5" ht="15" customHeight="1">
      <c r="E98" s="476"/>
    </row>
    <row r="99" spans="5:5" ht="15" customHeight="1">
      <c r="E99" s="476"/>
    </row>
    <row r="100" spans="5:5" ht="15" customHeight="1">
      <c r="E100" s="476"/>
    </row>
    <row r="101" spans="5:5" ht="15" customHeight="1">
      <c r="E101" s="476"/>
    </row>
    <row r="102" spans="5:5" ht="15" customHeight="1">
      <c r="E102" s="476"/>
    </row>
    <row r="103" spans="5:5" ht="15" customHeight="1">
      <c r="E103" s="476"/>
    </row>
    <row r="104" spans="5:5" ht="15" customHeight="1">
      <c r="E104" s="476"/>
    </row>
    <row r="105" spans="5:5" ht="15" customHeight="1">
      <c r="E105" s="476"/>
    </row>
    <row r="106" spans="5:5" ht="15" customHeight="1">
      <c r="E106" s="476"/>
    </row>
    <row r="107" spans="5:5" ht="15" customHeight="1">
      <c r="E107" s="476"/>
    </row>
    <row r="108" spans="5:5" ht="15" customHeight="1">
      <c r="E108" s="476"/>
    </row>
    <row r="109" spans="5:5" ht="15" customHeight="1">
      <c r="E109" s="476"/>
    </row>
    <row r="110" spans="5:5" ht="15" customHeight="1">
      <c r="E110" s="476"/>
    </row>
    <row r="111" spans="5:5" ht="15" customHeight="1">
      <c r="E111" s="476"/>
    </row>
    <row r="112" spans="5:5" ht="15" customHeight="1">
      <c r="E112" s="476"/>
    </row>
    <row r="113" spans="5:5" ht="15" customHeight="1">
      <c r="E113" s="476"/>
    </row>
    <row r="114" spans="5:5" ht="15" customHeight="1">
      <c r="E114" s="476"/>
    </row>
    <row r="115" spans="5:5" ht="15" customHeight="1">
      <c r="E115" s="476"/>
    </row>
    <row r="116" spans="5:5" ht="15" customHeight="1">
      <c r="E116" s="476"/>
    </row>
    <row r="117" spans="5:5" ht="15" customHeight="1">
      <c r="E117" s="476"/>
    </row>
    <row r="118" spans="5:5" ht="15" customHeight="1">
      <c r="E118" s="476"/>
    </row>
    <row r="119" spans="5:5" ht="15" customHeight="1">
      <c r="E119" s="476"/>
    </row>
    <row r="120" spans="5:5">
      <c r="E120" s="476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3AA3-F56E-4128-AC76-4AE8BFD9DE16}">
  <sheetPr>
    <tabColor rgb="FF92D050"/>
  </sheetPr>
  <dimension ref="B1:AF68"/>
  <sheetViews>
    <sheetView view="pageBreakPreview" topLeftCell="A5" zoomScale="55" zoomScaleNormal="55" zoomScaleSheetLayoutView="55" workbookViewId="0">
      <selection activeCell="AC39" sqref="AC39"/>
    </sheetView>
  </sheetViews>
  <sheetFormatPr baseColWidth="10" defaultColWidth="9.1640625" defaultRowHeight="14"/>
  <cols>
    <col min="1" max="1" width="1.6640625" style="442" customWidth="1"/>
    <col min="2" max="2" width="1.5" style="442" customWidth="1"/>
    <col min="3" max="3" width="10.6640625" style="442" customWidth="1"/>
    <col min="4" max="4" width="2.5" style="442" customWidth="1"/>
    <col min="5" max="21" width="9.1640625" style="442"/>
    <col min="22" max="22" width="14.5" style="442" customWidth="1"/>
    <col min="23" max="23" width="3.1640625" style="442" customWidth="1"/>
    <col min="24" max="27" width="9.1640625" style="442"/>
    <col min="28" max="28" width="2.83203125" style="442" customWidth="1"/>
    <col min="29" max="31" width="4.6640625" style="442" customWidth="1"/>
    <col min="32" max="32" width="1.6640625" style="442" customWidth="1"/>
    <col min="33" max="16384" width="9.1640625" style="442"/>
  </cols>
  <sheetData>
    <row r="1" spans="2:32" ht="15" thickBot="1"/>
    <row r="2" spans="2:32" ht="6" customHeight="1" thickBot="1">
      <c r="B2" s="443"/>
      <c r="C2" s="444"/>
      <c r="D2" s="444"/>
      <c r="E2" s="444"/>
      <c r="F2" s="444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5"/>
    </row>
    <row r="3" spans="2:32" ht="15" thickBot="1">
      <c r="B3" s="446"/>
      <c r="C3" s="443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5"/>
      <c r="AF3" s="447"/>
    </row>
    <row r="4" spans="2:32" ht="12.75" customHeight="1">
      <c r="B4" s="446"/>
      <c r="C4" s="446"/>
      <c r="D4" s="719" t="s">
        <v>1641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448"/>
      <c r="AE4" s="447"/>
      <c r="AF4" s="447"/>
    </row>
    <row r="5" spans="2:32" ht="13.5" customHeight="1">
      <c r="B5" s="446"/>
      <c r="C5" s="446"/>
      <c r="D5" s="722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23"/>
      <c r="AD5" s="448"/>
      <c r="AE5" s="447"/>
      <c r="AF5" s="447"/>
    </row>
    <row r="6" spans="2:32" ht="12.75" customHeight="1">
      <c r="B6" s="446"/>
      <c r="C6" s="446"/>
      <c r="D6" s="722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23"/>
      <c r="AE6" s="447"/>
      <c r="AF6" s="447"/>
    </row>
    <row r="7" spans="2:32" ht="12.75" customHeight="1" thickBot="1">
      <c r="B7" s="446"/>
      <c r="C7" s="446"/>
      <c r="D7" s="724"/>
      <c r="E7" s="725"/>
      <c r="F7" s="725"/>
      <c r="G7" s="725"/>
      <c r="H7" s="725"/>
      <c r="I7" s="725"/>
      <c r="J7" s="725"/>
      <c r="K7" s="725"/>
      <c r="L7" s="725"/>
      <c r="M7" s="725"/>
      <c r="N7" s="725"/>
      <c r="O7" s="725"/>
      <c r="P7" s="725"/>
      <c r="Q7" s="725"/>
      <c r="R7" s="725"/>
      <c r="S7" s="725"/>
      <c r="T7" s="725"/>
      <c r="U7" s="725"/>
      <c r="V7" s="725"/>
      <c r="W7" s="725"/>
      <c r="X7" s="725"/>
      <c r="Y7" s="725"/>
      <c r="Z7" s="725"/>
      <c r="AA7" s="725"/>
      <c r="AB7" s="725"/>
      <c r="AC7" s="726"/>
      <c r="AD7" s="450"/>
      <c r="AE7" s="447"/>
      <c r="AF7" s="447"/>
    </row>
    <row r="8" spans="2:32" ht="12.75" customHeight="1">
      <c r="B8" s="446"/>
      <c r="C8" s="446"/>
      <c r="Z8" s="449"/>
      <c r="AA8" s="449"/>
      <c r="AB8" s="449"/>
      <c r="AC8" s="450"/>
      <c r="AD8" s="450"/>
      <c r="AE8" s="447"/>
      <c r="AF8" s="447"/>
    </row>
    <row r="9" spans="2:32" ht="12.75" customHeight="1">
      <c r="B9" s="446"/>
      <c r="C9" s="446"/>
      <c r="AE9" s="447"/>
      <c r="AF9" s="447"/>
    </row>
    <row r="10" spans="2:32" ht="12.75" customHeight="1">
      <c r="B10" s="446"/>
      <c r="C10" s="446"/>
      <c r="AE10" s="447"/>
      <c r="AF10" s="447"/>
    </row>
    <row r="11" spans="2:32">
      <c r="B11" s="446"/>
      <c r="C11" s="446"/>
      <c r="AE11" s="447"/>
      <c r="AF11" s="447"/>
    </row>
    <row r="12" spans="2:32">
      <c r="B12" s="446"/>
      <c r="C12" s="446"/>
      <c r="AE12" s="447"/>
      <c r="AF12" s="447"/>
    </row>
    <row r="13" spans="2:32">
      <c r="B13" s="446"/>
      <c r="C13" s="446"/>
      <c r="AE13" s="447"/>
      <c r="AF13" s="447"/>
    </row>
    <row r="14" spans="2:32">
      <c r="B14" s="446"/>
      <c r="C14" s="446"/>
      <c r="AE14" s="447"/>
      <c r="AF14" s="447"/>
    </row>
    <row r="15" spans="2:32">
      <c r="B15" s="446"/>
      <c r="C15" s="446"/>
      <c r="E15" s="451"/>
      <c r="AE15" s="447"/>
      <c r="AF15" s="447"/>
    </row>
    <row r="16" spans="2:32">
      <c r="B16" s="446"/>
      <c r="C16" s="446"/>
      <c r="AE16" s="447"/>
      <c r="AF16" s="447"/>
    </row>
    <row r="17" spans="2:32">
      <c r="B17" s="446"/>
      <c r="C17" s="446"/>
      <c r="AE17" s="447"/>
      <c r="AF17" s="447"/>
    </row>
    <row r="18" spans="2:32">
      <c r="B18" s="446"/>
      <c r="C18" s="446"/>
      <c r="AE18" s="447"/>
      <c r="AF18" s="447"/>
    </row>
    <row r="19" spans="2:32">
      <c r="B19" s="446"/>
      <c r="C19" s="446"/>
      <c r="AE19" s="447"/>
      <c r="AF19" s="447"/>
    </row>
    <row r="20" spans="2:32">
      <c r="B20" s="446"/>
      <c r="C20" s="446"/>
      <c r="AE20" s="447"/>
      <c r="AF20" s="447"/>
    </row>
    <row r="21" spans="2:32">
      <c r="B21" s="446"/>
      <c r="C21" s="446"/>
      <c r="AE21" s="447"/>
      <c r="AF21" s="447"/>
    </row>
    <row r="22" spans="2:32">
      <c r="B22" s="446"/>
      <c r="C22" s="446"/>
      <c r="AE22" s="447"/>
      <c r="AF22" s="447"/>
    </row>
    <row r="23" spans="2:32">
      <c r="B23" s="446"/>
      <c r="C23" s="446"/>
      <c r="AE23" s="447"/>
      <c r="AF23" s="447"/>
    </row>
    <row r="24" spans="2:32">
      <c r="B24" s="446"/>
      <c r="C24" s="446"/>
      <c r="AE24" s="447"/>
      <c r="AF24" s="447"/>
    </row>
    <row r="25" spans="2:32">
      <c r="B25" s="446"/>
      <c r="C25" s="446"/>
      <c r="AE25" s="447"/>
      <c r="AF25" s="447"/>
    </row>
    <row r="26" spans="2:32">
      <c r="B26" s="446"/>
      <c r="C26" s="446"/>
      <c r="AE26" s="447"/>
      <c r="AF26" s="447"/>
    </row>
    <row r="27" spans="2:32">
      <c r="B27" s="446"/>
      <c r="C27" s="446"/>
      <c r="AE27" s="447"/>
      <c r="AF27" s="447"/>
    </row>
    <row r="28" spans="2:32">
      <c r="B28" s="446"/>
      <c r="C28" s="446"/>
      <c r="AE28" s="447"/>
      <c r="AF28" s="447"/>
    </row>
    <row r="29" spans="2:32">
      <c r="B29" s="446"/>
      <c r="C29" s="446"/>
      <c r="AE29" s="447"/>
      <c r="AF29" s="447"/>
    </row>
    <row r="30" spans="2:32">
      <c r="B30" s="446"/>
      <c r="C30" s="446"/>
      <c r="AE30" s="447"/>
      <c r="AF30" s="447"/>
    </row>
    <row r="31" spans="2:32">
      <c r="B31" s="446"/>
      <c r="C31" s="446"/>
      <c r="AE31" s="447"/>
      <c r="AF31" s="447"/>
    </row>
    <row r="32" spans="2:32">
      <c r="B32" s="446"/>
      <c r="C32" s="446"/>
      <c r="AE32" s="447"/>
      <c r="AF32" s="447"/>
    </row>
    <row r="33" spans="2:32">
      <c r="B33" s="446"/>
      <c r="C33" s="446"/>
      <c r="AE33" s="447"/>
      <c r="AF33" s="447"/>
    </row>
    <row r="34" spans="2:32">
      <c r="B34" s="446"/>
      <c r="C34" s="446"/>
      <c r="AE34" s="447"/>
      <c r="AF34" s="447"/>
    </row>
    <row r="35" spans="2:32">
      <c r="B35" s="446"/>
      <c r="C35" s="446"/>
      <c r="AE35" s="447"/>
      <c r="AF35" s="447"/>
    </row>
    <row r="36" spans="2:32">
      <c r="B36" s="446"/>
      <c r="C36" s="446"/>
      <c r="AE36" s="447"/>
      <c r="AF36" s="447"/>
    </row>
    <row r="37" spans="2:32">
      <c r="B37" s="446"/>
      <c r="C37" s="446"/>
      <c r="AE37" s="447"/>
      <c r="AF37" s="447"/>
    </row>
    <row r="38" spans="2:32">
      <c r="B38" s="446"/>
      <c r="C38" s="446"/>
      <c r="AE38" s="447"/>
      <c r="AF38" s="447"/>
    </row>
    <row r="39" spans="2:32">
      <c r="B39" s="446"/>
      <c r="C39" s="446"/>
      <c r="AE39" s="447"/>
      <c r="AF39" s="447"/>
    </row>
    <row r="40" spans="2:32">
      <c r="B40" s="446"/>
      <c r="C40" s="446"/>
      <c r="AE40" s="447"/>
      <c r="AF40" s="447"/>
    </row>
    <row r="41" spans="2:32">
      <c r="B41" s="446"/>
      <c r="C41" s="446"/>
      <c r="AE41" s="447"/>
      <c r="AF41" s="447"/>
    </row>
    <row r="42" spans="2:32">
      <c r="B42" s="446"/>
      <c r="C42" s="446"/>
      <c r="AE42" s="447"/>
      <c r="AF42" s="447"/>
    </row>
    <row r="43" spans="2:32">
      <c r="B43" s="446"/>
      <c r="C43" s="446"/>
      <c r="AE43" s="447"/>
      <c r="AF43" s="447"/>
    </row>
    <row r="44" spans="2:32">
      <c r="B44" s="446"/>
      <c r="C44" s="446"/>
      <c r="AE44" s="447"/>
      <c r="AF44" s="447"/>
    </row>
    <row r="45" spans="2:32">
      <c r="B45" s="446"/>
      <c r="C45" s="446"/>
      <c r="AE45" s="447"/>
      <c r="AF45" s="447"/>
    </row>
    <row r="46" spans="2:32">
      <c r="B46" s="446"/>
      <c r="C46" s="446"/>
      <c r="AE46" s="447"/>
      <c r="AF46" s="447"/>
    </row>
    <row r="47" spans="2:32">
      <c r="B47" s="446"/>
      <c r="C47" s="446"/>
      <c r="AE47" s="447"/>
      <c r="AF47" s="447"/>
    </row>
    <row r="48" spans="2:32">
      <c r="B48" s="446"/>
      <c r="C48" s="446"/>
      <c r="AE48" s="447"/>
      <c r="AF48" s="447"/>
    </row>
    <row r="49" spans="2:32">
      <c r="B49" s="446"/>
      <c r="C49" s="446"/>
      <c r="AE49" s="447"/>
      <c r="AF49" s="447"/>
    </row>
    <row r="50" spans="2:32">
      <c r="B50" s="446"/>
      <c r="C50" s="446"/>
      <c r="AE50" s="447"/>
      <c r="AF50" s="447"/>
    </row>
    <row r="51" spans="2:32">
      <c r="B51" s="446"/>
      <c r="C51" s="446"/>
      <c r="AE51" s="447"/>
      <c r="AF51" s="447"/>
    </row>
    <row r="52" spans="2:32">
      <c r="B52" s="446"/>
      <c r="C52" s="446"/>
      <c r="AE52" s="447"/>
      <c r="AF52" s="447"/>
    </row>
    <row r="53" spans="2:32">
      <c r="B53" s="446"/>
      <c r="C53" s="446"/>
      <c r="AE53" s="447"/>
      <c r="AF53" s="447"/>
    </row>
    <row r="54" spans="2:32">
      <c r="B54" s="446"/>
      <c r="C54" s="446"/>
      <c r="AE54" s="447"/>
      <c r="AF54" s="447"/>
    </row>
    <row r="55" spans="2:32">
      <c r="B55" s="446"/>
      <c r="C55" s="446"/>
      <c r="AE55" s="447"/>
      <c r="AF55" s="447"/>
    </row>
    <row r="56" spans="2:32">
      <c r="B56" s="446"/>
      <c r="C56" s="446"/>
      <c r="AE56" s="447"/>
      <c r="AF56" s="447"/>
    </row>
    <row r="57" spans="2:32">
      <c r="B57" s="446"/>
      <c r="C57" s="446"/>
      <c r="S57" s="452"/>
      <c r="T57" s="452"/>
      <c r="U57" s="452"/>
      <c r="V57" s="453"/>
      <c r="W57" s="453"/>
      <c r="X57" s="453"/>
      <c r="Y57" s="453"/>
      <c r="Z57" s="453"/>
      <c r="AA57" s="453"/>
      <c r="AB57" s="453"/>
      <c r="AC57" s="453"/>
      <c r="AD57" s="453"/>
      <c r="AE57" s="454"/>
      <c r="AF57" s="447"/>
    </row>
    <row r="58" spans="2:32">
      <c r="B58" s="446"/>
      <c r="C58" s="446"/>
      <c r="S58" s="455"/>
      <c r="T58" s="452"/>
      <c r="U58" s="452"/>
      <c r="V58" s="453"/>
      <c r="W58" s="456"/>
      <c r="X58" s="453"/>
      <c r="Y58" s="453"/>
      <c r="Z58" s="453"/>
      <c r="AA58" s="453"/>
      <c r="AB58" s="456"/>
      <c r="AC58" s="456"/>
      <c r="AD58" s="456"/>
      <c r="AE58" s="457"/>
      <c r="AF58" s="447"/>
    </row>
    <row r="59" spans="2:32">
      <c r="B59" s="446"/>
      <c r="C59" s="446"/>
      <c r="V59" s="453"/>
      <c r="W59" s="456"/>
      <c r="X59" s="453"/>
      <c r="Y59" s="453"/>
      <c r="Z59" s="453"/>
      <c r="AA59" s="453"/>
      <c r="AB59" s="456"/>
      <c r="AC59" s="453"/>
      <c r="AD59" s="453"/>
      <c r="AE59" s="454"/>
      <c r="AF59" s="447"/>
    </row>
    <row r="60" spans="2:32">
      <c r="B60" s="446"/>
      <c r="C60" s="446"/>
      <c r="V60" s="453"/>
      <c r="W60" s="456"/>
      <c r="X60" s="453"/>
      <c r="Y60" s="453"/>
      <c r="Z60" s="453"/>
      <c r="AA60" s="453"/>
      <c r="AB60" s="453"/>
      <c r="AC60" s="453"/>
      <c r="AD60" s="453"/>
      <c r="AE60" s="454"/>
      <c r="AF60" s="447"/>
    </row>
    <row r="61" spans="2:32">
      <c r="B61" s="446"/>
      <c r="C61" s="446"/>
      <c r="V61" s="458"/>
      <c r="W61" s="458"/>
      <c r="X61" s="458"/>
      <c r="Y61" s="458"/>
      <c r="Z61" s="458"/>
      <c r="AA61" s="458"/>
      <c r="AB61" s="458"/>
      <c r="AC61" s="458"/>
      <c r="AD61" s="458"/>
      <c r="AE61" s="459"/>
      <c r="AF61" s="447"/>
    </row>
    <row r="62" spans="2:32">
      <c r="B62" s="446"/>
      <c r="C62" s="446"/>
      <c r="V62" s="453"/>
      <c r="W62" s="453"/>
      <c r="X62" s="453"/>
      <c r="Y62" s="453"/>
      <c r="Z62" s="453"/>
      <c r="AA62" s="453"/>
      <c r="AB62" s="453"/>
      <c r="AC62" s="453"/>
      <c r="AD62" s="453"/>
      <c r="AE62" s="454"/>
      <c r="AF62" s="447"/>
    </row>
    <row r="63" spans="2:32">
      <c r="B63" s="446"/>
      <c r="C63" s="446"/>
      <c r="V63" s="453"/>
      <c r="W63" s="456"/>
      <c r="X63" s="453"/>
      <c r="Y63" s="453"/>
      <c r="Z63" s="453"/>
      <c r="AA63" s="453"/>
      <c r="AB63" s="453"/>
      <c r="AC63" s="453"/>
      <c r="AD63" s="453"/>
      <c r="AE63" s="454"/>
      <c r="AF63" s="447"/>
    </row>
    <row r="64" spans="2:32">
      <c r="B64" s="446"/>
      <c r="C64" s="446"/>
      <c r="V64" s="453"/>
      <c r="W64" s="456"/>
      <c r="X64" s="453"/>
      <c r="Y64" s="453"/>
      <c r="Z64" s="453"/>
      <c r="AA64" s="453"/>
      <c r="AB64" s="453"/>
      <c r="AC64" s="453"/>
      <c r="AD64" s="453"/>
      <c r="AE64" s="454"/>
      <c r="AF64" s="447"/>
    </row>
    <row r="65" spans="2:32">
      <c r="B65" s="446"/>
      <c r="C65" s="446"/>
      <c r="V65" s="453"/>
      <c r="W65" s="456"/>
      <c r="X65" s="453"/>
      <c r="Y65" s="453"/>
      <c r="Z65" s="453"/>
      <c r="AA65" s="453"/>
      <c r="AB65" s="453"/>
      <c r="AC65" s="453"/>
      <c r="AD65" s="453"/>
      <c r="AE65" s="454"/>
      <c r="AF65" s="447"/>
    </row>
    <row r="66" spans="2:32">
      <c r="B66" s="446"/>
      <c r="C66" s="446"/>
      <c r="V66" s="453"/>
      <c r="W66" s="456"/>
      <c r="X66" s="453"/>
      <c r="Y66" s="453"/>
      <c r="Z66" s="453"/>
      <c r="AA66" s="453"/>
      <c r="AB66" s="453"/>
      <c r="AC66" s="453"/>
      <c r="AD66" s="453"/>
      <c r="AE66" s="454"/>
      <c r="AF66" s="447"/>
    </row>
    <row r="67" spans="2:32" ht="15" thickBot="1">
      <c r="B67" s="446"/>
      <c r="C67" s="460"/>
      <c r="D67" s="461"/>
      <c r="E67" s="461"/>
      <c r="F67" s="461"/>
      <c r="G67" s="461"/>
      <c r="H67" s="461"/>
      <c r="I67" s="461"/>
      <c r="J67" s="461"/>
      <c r="K67" s="461"/>
      <c r="L67" s="461"/>
      <c r="M67" s="461"/>
      <c r="N67" s="461"/>
      <c r="O67" s="461"/>
      <c r="P67" s="461"/>
      <c r="Q67" s="461"/>
      <c r="R67" s="461"/>
      <c r="S67" s="461"/>
      <c r="T67" s="461"/>
      <c r="U67" s="461"/>
      <c r="V67" s="462"/>
      <c r="W67" s="463"/>
      <c r="X67" s="462"/>
      <c r="Y67" s="462"/>
      <c r="Z67" s="462"/>
      <c r="AA67" s="462"/>
      <c r="AB67" s="462"/>
      <c r="AC67" s="462"/>
      <c r="AD67" s="462"/>
      <c r="AE67" s="464"/>
      <c r="AF67" s="447"/>
    </row>
    <row r="68" spans="2:32" ht="6" customHeight="1" thickBot="1">
      <c r="B68" s="460"/>
      <c r="C68" s="461"/>
      <c r="D68" s="461"/>
      <c r="E68" s="461"/>
      <c r="F68" s="461"/>
      <c r="G68" s="461"/>
      <c r="H68" s="461"/>
      <c r="I68" s="461"/>
      <c r="J68" s="461"/>
      <c r="K68" s="461"/>
      <c r="L68" s="461"/>
      <c r="M68" s="461"/>
      <c r="N68" s="461"/>
      <c r="O68" s="461"/>
      <c r="P68" s="461"/>
      <c r="Q68" s="461"/>
      <c r="R68" s="461"/>
      <c r="S68" s="461"/>
      <c r="T68" s="461"/>
      <c r="U68" s="461"/>
      <c r="V68" s="461"/>
      <c r="W68" s="461"/>
      <c r="X68" s="461"/>
      <c r="Y68" s="461"/>
      <c r="Z68" s="461"/>
      <c r="AA68" s="461"/>
      <c r="AB68" s="461"/>
      <c r="AC68" s="461"/>
      <c r="AD68" s="461"/>
      <c r="AE68" s="461"/>
      <c r="AF68" s="465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  <col min="18" max="18" width="12.5" customWidth="1"/>
    <col min="20" max="20" width="12.5" customWidth="1"/>
    <col min="22" max="22" width="12.5" customWidth="1"/>
  </cols>
  <sheetData>
    <row r="1" spans="1:11" ht="48" customHeight="1">
      <c r="A1" s="367">
        <v>1</v>
      </c>
    </row>
    <row r="2" spans="1:11" ht="48" customHeight="1">
      <c r="A2" s="367">
        <v>3</v>
      </c>
    </row>
    <row r="4" spans="1:11" ht="48" customHeight="1">
      <c r="C4" s="367">
        <v>1</v>
      </c>
    </row>
    <row r="5" spans="1:11" ht="48" customHeight="1">
      <c r="C5" s="367">
        <v>3</v>
      </c>
    </row>
    <row r="7" spans="1:11" ht="48" customHeight="1">
      <c r="E7" s="367">
        <v>1</v>
      </c>
    </row>
    <row r="8" spans="1:11" ht="48" customHeight="1">
      <c r="E8" s="367">
        <v>3</v>
      </c>
    </row>
    <row r="10" spans="1:11" ht="48" customHeight="1">
      <c r="G10" s="367">
        <v>3</v>
      </c>
    </row>
    <row r="11" spans="1:11" ht="48" customHeight="1">
      <c r="G11" s="367">
        <v>1</v>
      </c>
    </row>
    <row r="13" spans="1:11" ht="48" customHeight="1">
      <c r="I13" s="367">
        <v>3</v>
      </c>
    </row>
    <row r="14" spans="1:11" ht="48" customHeight="1">
      <c r="I14" s="367">
        <v>1</v>
      </c>
    </row>
    <row r="16" spans="1:11" ht="48" customHeight="1">
      <c r="K16" s="367">
        <v>3</v>
      </c>
    </row>
    <row r="17" spans="11:21" ht="48" customHeight="1">
      <c r="K17" s="367">
        <v>1</v>
      </c>
    </row>
    <row r="19" spans="11:21" ht="48" customHeight="1">
      <c r="M19" s="367">
        <v>3</v>
      </c>
    </row>
    <row r="20" spans="11:21" ht="48" customHeight="1">
      <c r="M20" s="367">
        <v>1</v>
      </c>
    </row>
    <row r="22" spans="11:21" ht="48" customHeight="1">
      <c r="O22" s="367">
        <v>3</v>
      </c>
    </row>
    <row r="23" spans="11:21" ht="48" customHeight="1">
      <c r="O23" s="367">
        <v>1</v>
      </c>
    </row>
    <row r="25" spans="11:21" ht="57" customHeight="1">
      <c r="Q25" s="367">
        <v>3</v>
      </c>
    </row>
    <row r="26" spans="11:21" ht="57" customHeight="1">
      <c r="Q26" s="367">
        <v>1</v>
      </c>
    </row>
    <row r="28" spans="11:21" ht="57" customHeight="1">
      <c r="S28" s="367">
        <v>3</v>
      </c>
    </row>
    <row r="29" spans="11:21" ht="57" customHeight="1">
      <c r="S29" s="367">
        <v>1</v>
      </c>
    </row>
    <row r="31" spans="11:21" ht="57" customHeight="1">
      <c r="U31" s="367">
        <v>3</v>
      </c>
    </row>
    <row r="32" spans="11:21" ht="57" customHeight="1">
      <c r="U32" s="36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2023-09-15T07:33:08Z</dcterms:modified>
</cp:coreProperties>
</file>